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drawings/drawing5.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drawings/drawing6.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17.xml" ContentType="application/vnd.openxmlformats-officedocument.spreadsheetml.comments+xml"/>
  <Override PartName="/xl/comments18.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aveExternalLinkValues="0" codeName="ThisWorkbook"/>
  <mc:AlternateContent xmlns:mc="http://schemas.openxmlformats.org/markup-compatibility/2006">
    <mc:Choice Requires="x15">
      <x15ac:absPath xmlns:x15ac="http://schemas.microsoft.com/office/spreadsheetml/2010/11/ac" url="https://fldot-my.sharepoint.com/personal/ryan_buck_dot_state_fl_us/Documents/RB Docs/FDOTWorkingFiles/S&amp;SHWork/"/>
    </mc:Choice>
  </mc:AlternateContent>
  <xr:revisionPtr revIDLastSave="0" documentId="8_{DDAB80F7-A3E0-4945-97BF-338F4FFD24E3}" xr6:coauthVersionLast="47" xr6:coauthVersionMax="47" xr10:uidLastSave="{00000000-0000-0000-0000-000000000000}"/>
  <bookViews>
    <workbookView xWindow="-57720" yWindow="-4995" windowWidth="29040" windowHeight="15840" xr2:uid="{00000000-000D-0000-FFFF-FFFF00000000}"/>
  </bookViews>
  <sheets>
    <sheet name="Title" sheetId="46" r:id="rId1"/>
    <sheet name="Disclaimer" sheetId="1" r:id="rId2"/>
    <sheet name="Spreadsheet instructions" sheetId="2" r:id="rId3"/>
    <sheet name="Project Information" sheetId="53" r:id="rId4"/>
    <sheet name="Summary" sheetId="5" r:id="rId5"/>
    <sheet name="Staff Hour Summary--Grand Total" sheetId="6" r:id="rId6"/>
    <sheet name="Staff Hour Summary - Firm" sheetId="7" r:id="rId7"/>
    <sheet name="Fee Sheet - Prime" sheetId="8" r:id="rId8"/>
    <sheet name="Fee Sheet - Sub" sheetId="9" r:id="rId9"/>
    <sheet name="3. Project General Tasks" sheetId="11" r:id="rId10"/>
    <sheet name="Roadway Guidelines" sheetId="119" r:id="rId11"/>
    <sheet name="Roadway 3D Modeling Guidelines" sheetId="129" r:id="rId12"/>
    <sheet name="4. Roadway Analysis" sheetId="122" r:id="rId13"/>
    <sheet name="5. Roadway Plans" sheetId="123" r:id="rId14"/>
    <sheet name="6a. Drainage Analysis" sheetId="124" r:id="rId15"/>
    <sheet name="6b. Drainage Plans" sheetId="110" r:id="rId16"/>
    <sheet name="Selective C&amp;G Guidelines " sheetId="118" r:id="rId17"/>
    <sheet name="6c. Selective C&amp;G" sheetId="125" r:id="rId18"/>
    <sheet name="Utility Guidelines" sheetId="58" r:id="rId19"/>
    <sheet name="7. Utilities" sheetId="15" r:id="rId20"/>
    <sheet name="Environmental Permit Guidelines" sheetId="60" r:id="rId21"/>
    <sheet name="8. Env. Permits and Clearances" sheetId="16" r:id="rId22"/>
    <sheet name="Structures-Guidelines" sheetId="62" r:id="rId23"/>
    <sheet name="9. Structures Summary" sheetId="17" r:id="rId24"/>
    <sheet name="10. Structures-BDR" sheetId="18" r:id="rId25"/>
    <sheet name="11. Temporary Bridge" sheetId="19" r:id="rId26"/>
    <sheet name="12. Short Span Concrete" sheetId="20" r:id="rId27"/>
    <sheet name="13. Medium Span Concrete " sheetId="21" r:id="rId28"/>
    <sheet name="14. Structures-Structural Steel" sheetId="22" r:id="rId29"/>
    <sheet name="15.Str.-Segmental Concrete" sheetId="23" r:id="rId30"/>
    <sheet name="16. Structures-Movable Span" sheetId="24" r:id="rId31"/>
    <sheet name="17. Str-Retaining Walls" sheetId="25" r:id="rId32"/>
    <sheet name="18. Structures-Miscellaneous" sheetId="26" r:id="rId33"/>
    <sheet name="Signing &amp; Marking Guidelines" sheetId="73" r:id="rId34"/>
    <sheet name="19. Signing &amp; Marking Analysis " sheetId="117" r:id="rId35"/>
    <sheet name="20. Signing &amp; Marking Plans" sheetId="112" r:id="rId36"/>
    <sheet name="Signalization Guidelines" sheetId="76" r:id="rId37"/>
    <sheet name="21. Signalization Analysis" sheetId="29" r:id="rId38"/>
    <sheet name="22. Signalization Plans" sheetId="113" r:id="rId39"/>
    <sheet name="Lighting Guidelines" sheetId="79" r:id="rId40"/>
    <sheet name="23. Lighting Analysis" sheetId="31" r:id="rId41"/>
    <sheet name="24. Lighting Plans" sheetId="114" r:id="rId42"/>
    <sheet name="Landscape Guidelines" sheetId="121" r:id="rId43"/>
    <sheet name="25. Landscape Analysis" sheetId="126" r:id="rId44"/>
    <sheet name="26. Landscape Plans" sheetId="111" r:id="rId45"/>
    <sheet name="Survey Guidelines" sheetId="85" r:id="rId46"/>
    <sheet name="27. Survey" sheetId="48" r:id="rId47"/>
    <sheet name="28. Photogrammetry" sheetId="51" r:id="rId48"/>
    <sheet name="29. Mapping" sheetId="127" r:id="rId49"/>
    <sheet name="30. Terrestrial Mobile LiDAR" sheetId="50" r:id="rId50"/>
    <sheet name="Architecture Guidelines" sheetId="91" r:id="rId51"/>
    <sheet name="31. Architecture Development" sheetId="39" r:id="rId52"/>
    <sheet name="Noise Guidelines" sheetId="107" r:id="rId53"/>
    <sheet name="32. Noise Barrier Assessment" sheetId="40" r:id="rId54"/>
    <sheet name="ITS Guidelines" sheetId="94" r:id="rId55"/>
    <sheet name="33. ITS Analysis" sheetId="44" r:id="rId56"/>
    <sheet name="34. ITS Plans" sheetId="128" r:id="rId57"/>
    <sheet name="Geotechnical Guidelines" sheetId="97" r:id="rId58"/>
    <sheet name="35. Geotechnical" sheetId="38" r:id="rId59"/>
  </sheets>
  <externalReferences>
    <externalReference r:id="rId60"/>
  </externalReferences>
  <definedNames>
    <definedName name="\P" localSheetId="8">'Fee Sheet - Sub'!$U$1:$U$1</definedName>
    <definedName name="\P">'Fee Sheet - Prime'!$U$1:$U$1</definedName>
    <definedName name="_Toc528467648" localSheetId="50">'Architecture Guidelines'!$A$1</definedName>
    <definedName name="_Toc528467648" localSheetId="20">'Environmental Permit Guidelines'!$A$1</definedName>
    <definedName name="_Toc528467648" localSheetId="57">'Geotechnical Guidelines'!$A$1</definedName>
    <definedName name="_Toc528467648" localSheetId="10">'Roadway Guidelines'!$A$1</definedName>
    <definedName name="_Toc528467648" localSheetId="45">'Survey Guidelines'!$A$1</definedName>
    <definedName name="_Toc528467648" localSheetId="18">'Utility Guidelines'!$A$1</definedName>
    <definedName name="A_RDWY" localSheetId="34">#REF!</definedName>
    <definedName name="A_RDWY" localSheetId="43">#REF!</definedName>
    <definedName name="A_RDWY" localSheetId="48">#REF!</definedName>
    <definedName name="A_RDWY" localSheetId="56">#REF!</definedName>
    <definedName name="A_RDWY" localSheetId="12">#REF!</definedName>
    <definedName name="A_RDWY" localSheetId="13">#REF!</definedName>
    <definedName name="A_RDWY" localSheetId="14">#REF!</definedName>
    <definedName name="A_RDWY" localSheetId="17">#REF!</definedName>
    <definedName name="A_RDWY" localSheetId="42">#REF!</definedName>
    <definedName name="A_RDWY" localSheetId="52">#REF!</definedName>
    <definedName name="A_RDWY">#REF!</definedName>
    <definedName name="B_INTERCHG" localSheetId="34">#REF!</definedName>
    <definedName name="B_INTERCHG" localSheetId="43">#REF!</definedName>
    <definedName name="B_INTERCHG" localSheetId="48">#REF!</definedName>
    <definedName name="B_INTERCHG" localSheetId="56">#REF!</definedName>
    <definedName name="B_INTERCHG" localSheetId="12">#REF!</definedName>
    <definedName name="B_INTERCHG" localSheetId="13">#REF!</definedName>
    <definedName name="B_INTERCHG" localSheetId="14">#REF!</definedName>
    <definedName name="B_INTERCHG" localSheetId="17">#REF!</definedName>
    <definedName name="B_INTERCHG" localSheetId="42">#REF!</definedName>
    <definedName name="B_INTERCHG" localSheetId="52">#REF!</definedName>
    <definedName name="B_INTERCHG">#REF!</definedName>
    <definedName name="C_TCP" localSheetId="34">#REF!</definedName>
    <definedName name="C_TCP" localSheetId="43">#REF!</definedName>
    <definedName name="C_TCP" localSheetId="48">#REF!</definedName>
    <definedName name="C_TCP" localSheetId="56">#REF!</definedName>
    <definedName name="C_TCP" localSheetId="12">#REF!</definedName>
    <definedName name="C_TCP" localSheetId="13">#REF!</definedName>
    <definedName name="C_TCP" localSheetId="14">#REF!</definedName>
    <definedName name="C_TCP" localSheetId="17">#REF!</definedName>
    <definedName name="C_TCP" localSheetId="42">#REF!</definedName>
    <definedName name="C_TCP" localSheetId="52">#REF!</definedName>
    <definedName name="C_TCP">#REF!</definedName>
    <definedName name="D_DRAIN" localSheetId="34">#REF!</definedName>
    <definedName name="D_DRAIN" localSheetId="43">#REF!</definedName>
    <definedName name="D_DRAIN" localSheetId="48">#REF!</definedName>
    <definedName name="D_DRAIN" localSheetId="56">#REF!</definedName>
    <definedName name="D_DRAIN" localSheetId="12">#REF!</definedName>
    <definedName name="D_DRAIN" localSheetId="13">#REF!</definedName>
    <definedName name="D_DRAIN" localSheetId="14">#REF!</definedName>
    <definedName name="D_DRAIN" localSheetId="17">#REF!</definedName>
    <definedName name="D_DRAIN" localSheetId="42">#REF!</definedName>
    <definedName name="D_DRAIN" localSheetId="52">#REF!</definedName>
    <definedName name="D_DRAIN">#REF!</definedName>
    <definedName name="E_ENVIRON" localSheetId="34">#REF!</definedName>
    <definedName name="E_ENVIRON" localSheetId="43">#REF!</definedName>
    <definedName name="E_ENVIRON" localSheetId="48">#REF!</definedName>
    <definedName name="E_ENVIRON" localSheetId="56">#REF!</definedName>
    <definedName name="E_ENVIRON" localSheetId="12">#REF!</definedName>
    <definedName name="E_ENVIRON" localSheetId="13">#REF!</definedName>
    <definedName name="E_ENVIRON" localSheetId="14">#REF!</definedName>
    <definedName name="E_ENVIRON" localSheetId="17">#REF!</definedName>
    <definedName name="E_ENVIRON" localSheetId="42">#REF!</definedName>
    <definedName name="E_ENVIRON" localSheetId="52">#REF!</definedName>
    <definedName name="E_ENVIRON">#REF!</definedName>
    <definedName name="F_SIGNING" localSheetId="34">#REF!</definedName>
    <definedName name="F_SIGNING" localSheetId="43">#REF!</definedName>
    <definedName name="F_SIGNING" localSheetId="48">#REF!</definedName>
    <definedName name="F_SIGNING" localSheetId="56">#REF!</definedName>
    <definedName name="F_SIGNING" localSheetId="12">#REF!</definedName>
    <definedName name="F_SIGNING" localSheetId="13">#REF!</definedName>
    <definedName name="F_SIGNING" localSheetId="14">#REF!</definedName>
    <definedName name="F_SIGNING" localSheetId="17">#REF!</definedName>
    <definedName name="F_SIGNING" localSheetId="42">#REF!</definedName>
    <definedName name="F_SIGNING" localSheetId="52">#REF!</definedName>
    <definedName name="F_SIGNING">#REF!</definedName>
    <definedName name="FEE" localSheetId="8">'Fee Sheet - Sub'!$A$1:$S$60</definedName>
    <definedName name="FEE">'Fee Sheet - Prime'!$A$1:$S$73</definedName>
    <definedName name="G_SIGNAL" localSheetId="34">#REF!</definedName>
    <definedName name="G_SIGNAL" localSheetId="43">#REF!</definedName>
    <definedName name="G_SIGNAL" localSheetId="48">#REF!</definedName>
    <definedName name="G_SIGNAL" localSheetId="56">#REF!</definedName>
    <definedName name="G_SIGNAL" localSheetId="12">#REF!</definedName>
    <definedName name="G_SIGNAL" localSheetId="13">#REF!</definedName>
    <definedName name="G_SIGNAL" localSheetId="14">#REF!</definedName>
    <definedName name="G_SIGNAL" localSheetId="17">#REF!</definedName>
    <definedName name="G_SIGNAL" localSheetId="42">#REF!</definedName>
    <definedName name="G_SIGNAL" localSheetId="52">#REF!</definedName>
    <definedName name="G_SIGNAL">#REF!</definedName>
    <definedName name="H_LIGHT" localSheetId="34">#REF!</definedName>
    <definedName name="H_LIGHT" localSheetId="43">#REF!</definedName>
    <definedName name="H_LIGHT" localSheetId="48">#REF!</definedName>
    <definedName name="H_LIGHT" localSheetId="56">#REF!</definedName>
    <definedName name="H_LIGHT" localSheetId="12">#REF!</definedName>
    <definedName name="H_LIGHT" localSheetId="13">#REF!</definedName>
    <definedName name="H_LIGHT" localSheetId="14">#REF!</definedName>
    <definedName name="H_LIGHT" localSheetId="17">#REF!</definedName>
    <definedName name="H_LIGHT" localSheetId="42">#REF!</definedName>
    <definedName name="H_LIGHT" localSheetId="52">#REF!</definedName>
    <definedName name="H_LIGHT">#REF!</definedName>
    <definedName name="I_ROW" localSheetId="34">#REF!</definedName>
    <definedName name="I_ROW" localSheetId="43">#REF!</definedName>
    <definedName name="I_ROW" localSheetId="48">#REF!</definedName>
    <definedName name="I_ROW" localSheetId="56">#REF!</definedName>
    <definedName name="I_ROW" localSheetId="12">#REF!</definedName>
    <definedName name="I_ROW" localSheetId="13">#REF!</definedName>
    <definedName name="I_ROW" localSheetId="14">#REF!</definedName>
    <definedName name="I_ROW" localSheetId="17">#REF!</definedName>
    <definedName name="I_ROW" localSheetId="42">#REF!</definedName>
    <definedName name="I_ROW" localSheetId="52">#REF!</definedName>
    <definedName name="I_ROW">#REF!</definedName>
    <definedName name="J_UTIL" localSheetId="34">#REF!</definedName>
    <definedName name="J_UTIL" localSheetId="43">#REF!</definedName>
    <definedName name="J_UTIL" localSheetId="48">#REF!</definedName>
    <definedName name="J_UTIL" localSheetId="56">#REF!</definedName>
    <definedName name="J_UTIL" localSheetId="12">#REF!</definedName>
    <definedName name="J_UTIL" localSheetId="13">#REF!</definedName>
    <definedName name="J_UTIL" localSheetId="14">#REF!</definedName>
    <definedName name="J_UTIL" localSheetId="17">#REF!</definedName>
    <definedName name="J_UTIL" localSheetId="42">#REF!</definedName>
    <definedName name="J_UTIL" localSheetId="52">#REF!</definedName>
    <definedName name="J_UTIL">#REF!</definedName>
    <definedName name="K_LANDSCAPE" localSheetId="34">#REF!</definedName>
    <definedName name="K_LANDSCAPE" localSheetId="43">#REF!</definedName>
    <definedName name="K_LANDSCAPE" localSheetId="48">#REF!</definedName>
    <definedName name="K_LANDSCAPE" localSheetId="56">#REF!</definedName>
    <definedName name="K_LANDSCAPE" localSheetId="12">#REF!</definedName>
    <definedName name="K_LANDSCAPE" localSheetId="13">#REF!</definedName>
    <definedName name="K_LANDSCAPE" localSheetId="14">#REF!</definedName>
    <definedName name="K_LANDSCAPE" localSheetId="17">#REF!</definedName>
    <definedName name="K_LANDSCAPE" localSheetId="42">#REF!</definedName>
    <definedName name="K_LANDSCAPE" localSheetId="52">#REF!</definedName>
    <definedName name="K_LANDSCAPE">#REF!</definedName>
    <definedName name="L_PM" localSheetId="34">#REF!</definedName>
    <definedName name="L_PM" localSheetId="43">#REF!</definedName>
    <definedName name="L_PM" localSheetId="48">#REF!</definedName>
    <definedName name="L_PM" localSheetId="56">#REF!</definedName>
    <definedName name="L_PM" localSheetId="12">#REF!</definedName>
    <definedName name="L_PM" localSheetId="13">#REF!</definedName>
    <definedName name="L_PM" localSheetId="14">#REF!</definedName>
    <definedName name="L_PM" localSheetId="17">#REF!</definedName>
    <definedName name="L_PM" localSheetId="42">#REF!</definedName>
    <definedName name="L_PM" localSheetId="52">#REF!</definedName>
    <definedName name="L_PM">#REF!</definedName>
    <definedName name="M_COMMUNITY_AWARENESS" localSheetId="34">#REF!</definedName>
    <definedName name="M_COMMUNITY_AWARENESS" localSheetId="43">#REF!</definedName>
    <definedName name="M_COMMUNITY_AWARENESS" localSheetId="48">#REF!</definedName>
    <definedName name="M_COMMUNITY_AWARENESS" localSheetId="56">#REF!</definedName>
    <definedName name="M_COMMUNITY_AWARENESS" localSheetId="12">#REF!</definedName>
    <definedName name="M_COMMUNITY_AWARENESS" localSheetId="13">#REF!</definedName>
    <definedName name="M_COMMUNITY_AWARENESS" localSheetId="14">#REF!</definedName>
    <definedName name="M_COMMUNITY_AWARENESS" localSheetId="17">#REF!</definedName>
    <definedName name="M_COMMUNITY_AWARENESS" localSheetId="42">#REF!</definedName>
    <definedName name="M_COMMUNITY_AWARENESS" localSheetId="52">#REF!</definedName>
    <definedName name="M_COMMUNITY_AWARENESS">#REF!</definedName>
    <definedName name="N_SURVEY" localSheetId="34">#REF!</definedName>
    <definedName name="N_SURVEY" localSheetId="43">#REF!</definedName>
    <definedName name="N_SURVEY" localSheetId="48">#REF!</definedName>
    <definedName name="N_SURVEY" localSheetId="56">#REF!</definedName>
    <definedName name="N_SURVEY" localSheetId="12">#REF!</definedName>
    <definedName name="N_SURVEY" localSheetId="13">#REF!</definedName>
    <definedName name="N_SURVEY" localSheetId="14">#REF!</definedName>
    <definedName name="N_SURVEY" localSheetId="17">#REF!</definedName>
    <definedName name="N_SURVEY" localSheetId="42">#REF!</definedName>
    <definedName name="N_SURVEY" localSheetId="52">#REF!</definedName>
    <definedName name="N_SURVEY">#REF!</definedName>
    <definedName name="O_FIELD_SURVEY" localSheetId="34">#REF!</definedName>
    <definedName name="O_FIELD_SURVEY" localSheetId="43">#REF!</definedName>
    <definedName name="O_FIELD_SURVEY" localSheetId="48">#REF!</definedName>
    <definedName name="O_FIELD_SURVEY" localSheetId="56">#REF!</definedName>
    <definedName name="O_FIELD_SURVEY" localSheetId="12">#REF!</definedName>
    <definedName name="O_FIELD_SURVEY" localSheetId="13">#REF!</definedName>
    <definedName name="O_FIELD_SURVEY" localSheetId="14">#REF!</definedName>
    <definedName name="O_FIELD_SURVEY" localSheetId="17">#REF!</definedName>
    <definedName name="O_FIELD_SURVEY" localSheetId="42">#REF!</definedName>
    <definedName name="O_FIELD_SURVEY" localSheetId="52">#REF!</definedName>
    <definedName name="O_FIELD_SURVEY">#REF!</definedName>
    <definedName name="P_BDR" localSheetId="34">#REF!</definedName>
    <definedName name="P_BDR" localSheetId="43">#REF!</definedName>
    <definedName name="P_BDR" localSheetId="48">#REF!</definedName>
    <definedName name="P_BDR" localSheetId="56">#REF!</definedName>
    <definedName name="P_BDR" localSheetId="12">#REF!</definedName>
    <definedName name="P_BDR" localSheetId="13">#REF!</definedName>
    <definedName name="P_BDR" localSheetId="14">#REF!</definedName>
    <definedName name="P_BDR" localSheetId="17">#REF!</definedName>
    <definedName name="P_BDR" localSheetId="42">#REF!</definedName>
    <definedName name="P_BDR" localSheetId="52">#REF!</definedName>
    <definedName name="P_BDR">#REF!</definedName>
    <definedName name="_xlnm.Print_Area" localSheetId="26">'12. Short Span Concrete'!$A$1:$H$47</definedName>
    <definedName name="_xlnm.Print_Area" localSheetId="27">'13. Medium Span Concrete '!$A$1:$H$77</definedName>
    <definedName name="_xlnm.Print_Area" localSheetId="28">'14. Structures-Structural Steel'!$A$1:$H$83</definedName>
    <definedName name="_xlnm.Print_Area" localSheetId="32">'18. Structures-Miscellaneous'!$A$1:$H$55</definedName>
    <definedName name="_xlnm.Print_Area" localSheetId="34">'19. Signing &amp; Marking Analysis '!$A$1:$I$41</definedName>
    <definedName name="_xlnm.Print_Area" localSheetId="37">'21. Signalization Analysis'!$A$1:$I$46</definedName>
    <definedName name="_xlnm.Print_Area" localSheetId="40">'23. Lighting Analysis'!$A$1:$I$44</definedName>
    <definedName name="_xlnm.Print_Area" localSheetId="43">'25. Landscape Analysis'!$B$1:$K$45</definedName>
    <definedName name="_xlnm.Print_Area" localSheetId="44">'26. Landscape Plans'!$B$1:$K$27</definedName>
    <definedName name="_xlnm.Print_Area" localSheetId="46">'27. Survey'!$A$1:$K$127</definedName>
    <definedName name="_xlnm.Print_Area" localSheetId="47">'28. Photogrammetry'!$A$1:$N$93</definedName>
    <definedName name="_xlnm.Print_Area" localSheetId="48">#REF!</definedName>
    <definedName name="_xlnm.Print_Area" localSheetId="9">'3. Project General Tasks'!$A$1:$G$70</definedName>
    <definedName name="_xlnm.Print_Area" localSheetId="51">'31. Architecture Development'!$A$1:$M$232</definedName>
    <definedName name="_xlnm.Print_Area" localSheetId="53">'32. Noise Barrier Assessment'!$A$1:$I$32</definedName>
    <definedName name="_xlnm.Print_Area" localSheetId="55">'33. ITS Analysis'!$A$1:$I$46</definedName>
    <definedName name="_xlnm.Print_Area" localSheetId="56">'34. ITS Plans'!$B$1:$K$36</definedName>
    <definedName name="_xlnm.Print_Area" localSheetId="58">'35. Geotechnical'!$A$1:$I$84</definedName>
    <definedName name="_xlnm.Print_Area" localSheetId="12">#REF!</definedName>
    <definedName name="_xlnm.Print_Area" localSheetId="13">'5. Roadway Plans'!$B$1:$K$47</definedName>
    <definedName name="_xlnm.Print_Area" localSheetId="14">#REF!</definedName>
    <definedName name="_xlnm.Print_Area" localSheetId="15">'6b. Drainage Plans'!$B$1:$K$24</definedName>
    <definedName name="_xlnm.Print_Area" localSheetId="17">#REF!</definedName>
    <definedName name="_xlnm.Print_Area" localSheetId="19">'7. Utilities'!$A$1:$I$37</definedName>
    <definedName name="_xlnm.Print_Area" localSheetId="21">'8. Env. Permits and Clearances'!$A$1:$I$71</definedName>
    <definedName name="_xlnm.Print_Area" localSheetId="23">'9. Structures Summary'!$A$1:$L$61</definedName>
    <definedName name="_xlnm.Print_Area" localSheetId="50">'Architecture Guidelines'!$A$1:$A$56</definedName>
    <definedName name="_xlnm.Print_Area" localSheetId="1">Disclaimer!$A$1:$A$4</definedName>
    <definedName name="_xlnm.Print_Area" localSheetId="20">'Environmental Permit Guidelines'!$A$1:$A$63</definedName>
    <definedName name="_xlnm.Print_Area" localSheetId="7">'Fee Sheet - Prime'!$A$1:$Q$71</definedName>
    <definedName name="_xlnm.Print_Area" localSheetId="8">'Fee Sheet - Sub'!$A$1:$Q$58</definedName>
    <definedName name="_xlnm.Print_Area" localSheetId="57">'Geotechnical Guidelines'!$A$1:$A$19</definedName>
    <definedName name="_xlnm.Print_Area" localSheetId="54">'ITS Guidelines'!$A$1:$A$39</definedName>
    <definedName name="_xlnm.Print_Area" localSheetId="42">#REF!</definedName>
    <definedName name="_xlnm.Print_Area" localSheetId="39">'Lighting Guidelines'!$A$1:$A$36</definedName>
    <definedName name="_xlnm.Print_Area" localSheetId="52">'Noise Guidelines'!$A$1:$A$59</definedName>
    <definedName name="_xlnm.Print_Area" localSheetId="3">'Project Information'!$A$1:$N$52</definedName>
    <definedName name="_xlnm.Print_Area" localSheetId="10">'Roadway Guidelines'!$A$1:$A$44</definedName>
    <definedName name="_xlnm.Print_Area" localSheetId="36">'Signalization Guidelines'!$A$1:$A$38</definedName>
    <definedName name="_xlnm.Print_Area" localSheetId="33">'Signing &amp; Marking Guidelines'!$A$1:$A$44</definedName>
    <definedName name="_xlnm.Print_Area" localSheetId="2">'Spreadsheet instructions'!$A$1:$B$30</definedName>
    <definedName name="_xlnm.Print_Area" localSheetId="6">'Staff Hour Summary - Firm'!$A$1:$Q$99</definedName>
    <definedName name="_xlnm.Print_Area" localSheetId="5">'Staff Hour Summary--Grand Total'!$A$1:$Q$101</definedName>
    <definedName name="_xlnm.Print_Area" localSheetId="22">'Structures-Guidelines'!$A$1:$A$61</definedName>
    <definedName name="_xlnm.Print_Area" localSheetId="4">Summary!$A$1:$P$46</definedName>
    <definedName name="_xlnm.Print_Area" localSheetId="45">'Survey Guidelines'!$A$1:$A$47</definedName>
    <definedName name="_xlnm.Print_Area" localSheetId="0">Title!$A$1:$A$30</definedName>
    <definedName name="_xlnm.Print_Area" localSheetId="18">'Utility Guidelines'!$A$1:$A$46</definedName>
    <definedName name="_xlnm.Print_Area">#REF!</definedName>
    <definedName name="Print_Area_1" localSheetId="34">#REF!</definedName>
    <definedName name="Print_Area_1" localSheetId="43">#REF!</definedName>
    <definedName name="Print_Area_1" localSheetId="48">#REF!</definedName>
    <definedName name="Print_Area_1" localSheetId="56">#REF!</definedName>
    <definedName name="Print_Area_1" localSheetId="12">#REF!</definedName>
    <definedName name="Print_Area_1" localSheetId="13">#REF!</definedName>
    <definedName name="Print_Area_1" localSheetId="14">#REF!</definedName>
    <definedName name="Print_Area_1" localSheetId="17">#REF!</definedName>
    <definedName name="Print_Area_1" localSheetId="42">#REF!</definedName>
    <definedName name="Print_Area_1" localSheetId="52">#REF!</definedName>
    <definedName name="Print_Area_1">#REF!</definedName>
    <definedName name="Print_Area_2" localSheetId="34">#REF!</definedName>
    <definedName name="Print_Area_2" localSheetId="43">#REF!</definedName>
    <definedName name="Print_Area_2" localSheetId="48">#REF!</definedName>
    <definedName name="Print_Area_2" localSheetId="56">#REF!</definedName>
    <definedName name="Print_Area_2" localSheetId="12">#REF!</definedName>
    <definedName name="Print_Area_2" localSheetId="13">#REF!</definedName>
    <definedName name="Print_Area_2" localSheetId="14">#REF!</definedName>
    <definedName name="Print_Area_2" localSheetId="17">#REF!</definedName>
    <definedName name="Print_Area_2" localSheetId="42">#REF!</definedName>
    <definedName name="Print_Area_2">#REF!</definedName>
    <definedName name="Print_Area_3" localSheetId="34">#REF!</definedName>
    <definedName name="Print_Area_3" localSheetId="43">#REF!</definedName>
    <definedName name="Print_Area_3" localSheetId="48">#REF!</definedName>
    <definedName name="Print_Area_3" localSheetId="56">#REF!</definedName>
    <definedName name="Print_Area_3" localSheetId="12">#REF!</definedName>
    <definedName name="Print_Area_3" localSheetId="13">#REF!</definedName>
    <definedName name="Print_Area_3" localSheetId="14">#REF!</definedName>
    <definedName name="Print_Area_3" localSheetId="17">#REF!</definedName>
    <definedName name="Print_Area_3" localSheetId="42">#REF!</definedName>
    <definedName name="Print_Area_3">#REF!</definedName>
    <definedName name="_xlnm.Print_Titles" localSheetId="24">'10. Structures-BDR'!$9:$9</definedName>
    <definedName name="_xlnm.Print_Titles" localSheetId="25">'11. Temporary Bridge'!$A:$B</definedName>
    <definedName name="_xlnm.Print_Titles" localSheetId="26">'12. Short Span Concrete'!$A:$B,'12. Short Span Concrete'!$9:$9</definedName>
    <definedName name="_xlnm.Print_Titles" localSheetId="27">'13. Medium Span Concrete '!$9:$9</definedName>
    <definedName name="_xlnm.Print_Titles" localSheetId="28">'14. Structures-Structural Steel'!$9:$9</definedName>
    <definedName name="_xlnm.Print_Titles" localSheetId="29">'15.Str.-Segmental Concrete'!$9:$9</definedName>
    <definedName name="_xlnm.Print_Titles" localSheetId="30">'16. Structures-Movable Span'!$9:$9</definedName>
    <definedName name="_xlnm.Print_Titles" localSheetId="31">'17. Str-Retaining Walls'!$9:$9</definedName>
    <definedName name="_xlnm.Print_Titles" localSheetId="32">'18. Structures-Miscellaneous'!$A:$B</definedName>
    <definedName name="_xlnm.Print_Titles" localSheetId="34">'19. Signing &amp; Marking Analysis '!$9:$9</definedName>
    <definedName name="_xlnm.Print_Titles" localSheetId="44">'26. Landscape Plans'!$10:$10</definedName>
    <definedName name="_xlnm.Print_Titles" localSheetId="46">'27. Survey'!$9:$9</definedName>
    <definedName name="_xlnm.Print_Titles" localSheetId="47">'28. Photogrammetry'!$9:$9</definedName>
    <definedName name="_xlnm.Print_Titles" localSheetId="9">'3. Project General Tasks'!$9:$9</definedName>
    <definedName name="_xlnm.Print_Titles" localSheetId="49">'30. Terrestrial Mobile LiDAR'!$9:$10</definedName>
    <definedName name="_xlnm.Print_Titles" localSheetId="51">'31. Architecture Development'!$9:$9</definedName>
    <definedName name="_xlnm.Print_Titles" localSheetId="55">'33. ITS Analysis'!$9:$9</definedName>
    <definedName name="_xlnm.Print_Titles" localSheetId="58">'35. Geotechnical'!$9:$9</definedName>
    <definedName name="_xlnm.Print_Titles" localSheetId="21">'8. Env. Permits and Clearances'!$9:$9</definedName>
    <definedName name="Q_PRE_BRD" localSheetId="34">#REF!</definedName>
    <definedName name="Q_PRE_BRD" localSheetId="43">#REF!</definedName>
    <definedName name="Q_PRE_BRD" localSheetId="44">#REF!</definedName>
    <definedName name="Q_PRE_BRD" localSheetId="48">#REF!</definedName>
    <definedName name="Q_PRE_BRD" localSheetId="56">#REF!</definedName>
    <definedName name="Q_PRE_BRD" localSheetId="12">#REF!</definedName>
    <definedName name="Q_PRE_BRD" localSheetId="13">#REF!</definedName>
    <definedName name="Q_PRE_BRD" localSheetId="14">#REF!</definedName>
    <definedName name="Q_PRE_BRD" localSheetId="15">#REF!</definedName>
    <definedName name="Q_PRE_BRD" localSheetId="17">#REF!</definedName>
    <definedName name="Q_PRE_BRD" localSheetId="42">#REF!</definedName>
    <definedName name="Q_PRE_BRD" localSheetId="52">#REF!</definedName>
    <definedName name="Q_PRE_BRD">#REF!</definedName>
    <definedName name="R_STRUCTURE" localSheetId="34">#REF!</definedName>
    <definedName name="R_STRUCTURE" localSheetId="43">#REF!</definedName>
    <definedName name="R_STRUCTURE" localSheetId="48">#REF!</definedName>
    <definedName name="R_STRUCTURE" localSheetId="56">#REF!</definedName>
    <definedName name="R_STRUCTURE" localSheetId="12">#REF!</definedName>
    <definedName name="R_STRUCTURE" localSheetId="13">#REF!</definedName>
    <definedName name="R_STRUCTURE" localSheetId="14">#REF!</definedName>
    <definedName name="R_STRUCTURE" localSheetId="17">#REF!</definedName>
    <definedName name="R_STRUCTURE" localSheetId="42">#REF!</definedName>
    <definedName name="R_STRUCTURE" localSheetId="52">#REF!</definedName>
    <definedName name="R_STRUCTURE">#REF!</definedName>
    <definedName name="S_SUM_BRDG" localSheetId="34">#REF!</definedName>
    <definedName name="S_SUM_BRDG" localSheetId="43">#REF!</definedName>
    <definedName name="S_SUM_BRDG" localSheetId="48">#REF!</definedName>
    <definedName name="S_SUM_BRDG" localSheetId="56">#REF!</definedName>
    <definedName name="S_SUM_BRDG" localSheetId="12">#REF!</definedName>
    <definedName name="S_SUM_BRDG" localSheetId="13">#REF!</definedName>
    <definedName name="S_SUM_BRDG" localSheetId="14">#REF!</definedName>
    <definedName name="S_SUM_BRDG" localSheetId="17">#REF!</definedName>
    <definedName name="S_SUM_BRDG" localSheetId="42">#REF!</definedName>
    <definedName name="S_SUM_BRDG" localSheetId="52">#REF!</definedName>
    <definedName name="S_SUM_BRDG">#REF!</definedName>
    <definedName name="T_MISC_STRUCTURE" localSheetId="34">#REF!</definedName>
    <definedName name="T_MISC_STRUCTURE" localSheetId="43">#REF!</definedName>
    <definedName name="T_MISC_STRUCTURE" localSheetId="48">#REF!</definedName>
    <definedName name="T_MISC_STRUCTURE" localSheetId="56">#REF!</definedName>
    <definedName name="T_MISC_STRUCTURE" localSheetId="12">#REF!</definedName>
    <definedName name="T_MISC_STRUCTURE" localSheetId="13">#REF!</definedName>
    <definedName name="T_MISC_STRUCTURE" localSheetId="14">#REF!</definedName>
    <definedName name="T_MISC_STRUCTURE" localSheetId="17">#REF!</definedName>
    <definedName name="T_MISC_STRUCTURE" localSheetId="42">#REF!</definedName>
    <definedName name="T_MISC_STRUCTURE" localSheetId="52">#REF!</definedName>
    <definedName name="T_MISC_STRUCTURE">#REF!</definedName>
    <definedName name="U_UTIL" localSheetId="34">#REF!</definedName>
    <definedName name="U_UTIL" localSheetId="43">#REF!</definedName>
    <definedName name="U_UTIL" localSheetId="48">#REF!</definedName>
    <definedName name="U_UTIL" localSheetId="56">#REF!</definedName>
    <definedName name="U_UTIL" localSheetId="12">#REF!</definedName>
    <definedName name="U_UTIL" localSheetId="13">#REF!</definedName>
    <definedName name="U_UTIL" localSheetId="14">#REF!</definedName>
    <definedName name="U_UTIL" localSheetId="17">#REF!</definedName>
    <definedName name="U_UTIL" localSheetId="42">#REF!</definedName>
    <definedName name="U_UTIL" localSheetId="52">#REF!</definedName>
    <definedName name="U_UTIL">#REF!</definedName>
    <definedName name="U_WALL" localSheetId="34">#REF!</definedName>
    <definedName name="U_WALL" localSheetId="43">#REF!</definedName>
    <definedName name="U_WALL" localSheetId="48">#REF!</definedName>
    <definedName name="U_WALL" localSheetId="56">#REF!</definedName>
    <definedName name="U_WALL" localSheetId="12">#REF!</definedName>
    <definedName name="U_WALL" localSheetId="13">#REF!</definedName>
    <definedName name="U_WALL" localSheetId="14">#REF!</definedName>
    <definedName name="U_WALL" localSheetId="17">#REF!</definedName>
    <definedName name="U_WALL" localSheetId="42">#REF!</definedName>
    <definedName name="U_WALL" localSheetId="52">#REF!</definedName>
    <definedName name="U_WALL">#REF!</definedName>
    <definedName name="V_SUB_SUM" localSheetId="34">#REF!</definedName>
    <definedName name="V_SUB_SUM" localSheetId="43">#REF!</definedName>
    <definedName name="V_SUB_SUM" localSheetId="48">#REF!</definedName>
    <definedName name="V_SUB_SUM" localSheetId="56">#REF!</definedName>
    <definedName name="V_SUB_SUM" localSheetId="12">#REF!</definedName>
    <definedName name="V_SUB_SUM" localSheetId="13">#REF!</definedName>
    <definedName name="V_SUB_SUM" localSheetId="14">#REF!</definedName>
    <definedName name="V_SUB_SUM" localSheetId="17">#REF!</definedName>
    <definedName name="V_SUB_SUM" localSheetId="42">#REF!</definedName>
    <definedName name="V_SUB_SUM" localSheetId="52">#REF!</definedName>
    <definedName name="V_SUB_SUM">#REF!</definedName>
    <definedName name="X_FINAL_HRS" localSheetId="34">#REF!</definedName>
    <definedName name="X_FINAL_HRS" localSheetId="43">#REF!</definedName>
    <definedName name="X_FINAL_HRS" localSheetId="48">#REF!</definedName>
    <definedName name="X_FINAL_HRS" localSheetId="56">#REF!</definedName>
    <definedName name="X_FINAL_HRS" localSheetId="12">#REF!</definedName>
    <definedName name="X_FINAL_HRS" localSheetId="13">#REF!</definedName>
    <definedName name="X_FINAL_HRS" localSheetId="14">#REF!</definedName>
    <definedName name="X_FINAL_HRS" localSheetId="17">#REF!</definedName>
    <definedName name="X_FINAL_HRS" localSheetId="42">#REF!</definedName>
    <definedName name="X_FINAL_HRS" localSheetId="52">#REF!</definedName>
    <definedName name="X_FINAL_HRS">#REF!</definedName>
    <definedName name="X_FINAL_SUM" localSheetId="6">'Staff Hour Summary - Firm'!$A$1:$Q$62</definedName>
    <definedName name="X_FINAL_SUM">'Staff Hour Summary--Grand Total'!$A$1:$Q$63</definedName>
    <definedName name="yesno" localSheetId="43">#REF!</definedName>
    <definedName name="yesno" localSheetId="48">#REF!</definedName>
    <definedName name="yesno" localSheetId="56">#REF!</definedName>
    <definedName name="yesno" localSheetId="12">#REF!</definedName>
    <definedName name="yesno" localSheetId="13">'[1]4. Roadway Analysis'!$O$49:$O$50</definedName>
    <definedName name="yesno" localSheetId="14">#REF!</definedName>
    <definedName name="yesno" localSheetId="17">#REF!</definedName>
    <definedName name="yesno" localSheetId="42">#REF!</definedName>
    <definedName name="yesno" localSheetId="11">#REF!</definedName>
    <definedName name="yesno" localSheetId="10">#REF!</definedName>
    <definedName name="yesno" localSheetId="16">#REF!</definedName>
    <definedName name="yesno">#REF!</definedName>
    <definedName name="Z_4FEDB3BD_111A_4B7D_AA97_E67173A5F707_.wvu.PrintArea" localSheetId="50" hidden="1">'Architecture Guidelines'!$A$1:$A$56</definedName>
    <definedName name="Z_4FEDB3BD_111A_4B7D_AA97_E67173A5F707_.wvu.PrintArea" localSheetId="20" hidden="1">'Environmental Permit Guidelines'!$A$1:$A$63</definedName>
    <definedName name="Z_4FEDB3BD_111A_4B7D_AA97_E67173A5F707_.wvu.PrintArea" localSheetId="57" hidden="1">'Geotechnical Guidelines'!$A$1:$A$19</definedName>
    <definedName name="Z_4FEDB3BD_111A_4B7D_AA97_E67173A5F707_.wvu.PrintArea" localSheetId="39" hidden="1">'Lighting Guidelines'!$A$1:$A$36</definedName>
    <definedName name="Z_4FEDB3BD_111A_4B7D_AA97_E67173A5F707_.wvu.PrintArea" localSheetId="10" hidden="1">'Roadway Guidelines'!$A$1:$A$44</definedName>
    <definedName name="Z_4FEDB3BD_111A_4B7D_AA97_E67173A5F707_.wvu.PrintArea" localSheetId="36" hidden="1">'Signalization Guidelines'!$A$1:$A$38</definedName>
    <definedName name="Z_4FEDB3BD_111A_4B7D_AA97_E67173A5F707_.wvu.PrintArea" localSheetId="33" hidden="1">'Signing &amp; Marking Guidelines'!$A$1:$A$44</definedName>
    <definedName name="Z_4FEDB3BD_111A_4B7D_AA97_E67173A5F707_.wvu.PrintArea" localSheetId="22" hidden="1">'Structures-Guidelines'!$A$1:$A$61</definedName>
    <definedName name="Z_4FEDB3BD_111A_4B7D_AA97_E67173A5F707_.wvu.PrintArea" localSheetId="45" hidden="1">'Survey Guidelines'!$A$1:$A$48</definedName>
    <definedName name="Z_4FEDB3BD_111A_4B7D_AA97_E67173A5F707_.wvu.PrintArea" localSheetId="18" hidden="1">'Utility Guidelines'!$A$1:$A$46</definedName>
    <definedName name="Z_60E4326C_3B00_4FE4_9F0D_DCD952285ADA_.wvu.Cols" localSheetId="15" hidden="1">'6b. Drainage Plans'!#REF!</definedName>
    <definedName name="Z_60E4326C_3B00_4FE4_9F0D_DCD952285ADA_.wvu.PrintArea" localSheetId="26" hidden="1">'12. Short Span Concrete'!$A$1:$H$47</definedName>
    <definedName name="Z_60E4326C_3B00_4FE4_9F0D_DCD952285ADA_.wvu.PrintArea" localSheetId="27" hidden="1">'13. Medium Span Concrete '!$A$1:$H$77</definedName>
    <definedName name="Z_60E4326C_3B00_4FE4_9F0D_DCD952285ADA_.wvu.PrintArea" localSheetId="28" hidden="1">'14. Structures-Structural Steel'!$A$1:$H$83</definedName>
    <definedName name="Z_60E4326C_3B00_4FE4_9F0D_DCD952285ADA_.wvu.PrintArea" localSheetId="32" hidden="1">'18. Structures-Miscellaneous'!$A$1:$H$55</definedName>
    <definedName name="Z_60E4326C_3B00_4FE4_9F0D_DCD952285ADA_.wvu.PrintArea" localSheetId="34" hidden="1">'19. Signing &amp; Marking Analysis '!$A$1:$H$41</definedName>
    <definedName name="Z_60E4326C_3B00_4FE4_9F0D_DCD952285ADA_.wvu.PrintArea" localSheetId="37" hidden="1">'21. Signalization Analysis'!$A$1:$H$32</definedName>
    <definedName name="Z_60E4326C_3B00_4FE4_9F0D_DCD952285ADA_.wvu.PrintArea" localSheetId="40" hidden="1">'23. Lighting Analysis'!$A$1:$H$44</definedName>
    <definedName name="Z_60E4326C_3B00_4FE4_9F0D_DCD952285ADA_.wvu.PrintArea" localSheetId="44" hidden="1">'26. Landscape Plans'!$B$1:$K$27</definedName>
    <definedName name="Z_60E4326C_3B00_4FE4_9F0D_DCD952285ADA_.wvu.PrintArea" localSheetId="9" hidden="1">'3. Project General Tasks'!$A$1:$G$70</definedName>
    <definedName name="Z_60E4326C_3B00_4FE4_9F0D_DCD952285ADA_.wvu.PrintArea" localSheetId="51" hidden="1">'31. Architecture Development'!$A$1:$L$232</definedName>
    <definedName name="Z_60E4326C_3B00_4FE4_9F0D_DCD952285ADA_.wvu.PrintArea" localSheetId="53" hidden="1">'32. Noise Barrier Assessment'!$A$1:$H$32</definedName>
    <definedName name="Z_60E4326C_3B00_4FE4_9F0D_DCD952285ADA_.wvu.PrintArea" localSheetId="55" hidden="1">'33. ITS Analysis'!$A$1:$H$46</definedName>
    <definedName name="Z_60E4326C_3B00_4FE4_9F0D_DCD952285ADA_.wvu.PrintArea" localSheetId="58" hidden="1">'35. Geotechnical'!$A$1:$H$84</definedName>
    <definedName name="Z_60E4326C_3B00_4FE4_9F0D_DCD952285ADA_.wvu.PrintArea" localSheetId="19" hidden="1">'7. Utilities'!$A$1:$H$37</definedName>
    <definedName name="Z_60E4326C_3B00_4FE4_9F0D_DCD952285ADA_.wvu.PrintArea" localSheetId="21" hidden="1">'8. Env. Permits and Clearances'!$A$1:$H$72</definedName>
    <definedName name="Z_60E4326C_3B00_4FE4_9F0D_DCD952285ADA_.wvu.PrintArea" localSheetId="23" hidden="1">'9. Structures Summary'!$A$1:$L$61</definedName>
    <definedName name="Z_60E4326C_3B00_4FE4_9F0D_DCD952285ADA_.wvu.PrintArea" localSheetId="7" hidden="1">'Fee Sheet - Prime'!$A$1:$Q$71</definedName>
    <definedName name="Z_60E4326C_3B00_4FE4_9F0D_DCD952285ADA_.wvu.PrintArea" localSheetId="8" hidden="1">'Fee Sheet - Sub'!$A$1:$Q$58</definedName>
    <definedName name="Z_60E4326C_3B00_4FE4_9F0D_DCD952285ADA_.wvu.PrintArea" localSheetId="3" hidden="1">'Project Information'!$A$1:$N$24</definedName>
    <definedName name="Z_60E4326C_3B00_4FE4_9F0D_DCD952285ADA_.wvu.PrintArea" localSheetId="2" hidden="1">'Spreadsheet instructions'!$A$1:$B$31</definedName>
    <definedName name="Z_60E4326C_3B00_4FE4_9F0D_DCD952285ADA_.wvu.PrintArea" localSheetId="6" hidden="1">'Staff Hour Summary - Firm'!$A$1:$Q$97</definedName>
    <definedName name="Z_60E4326C_3B00_4FE4_9F0D_DCD952285ADA_.wvu.PrintArea" localSheetId="5" hidden="1">'Staff Hour Summary--Grand Total'!$A$1:$Q$102</definedName>
    <definedName name="Z_60E4326C_3B00_4FE4_9F0D_DCD952285ADA_.wvu.PrintArea" localSheetId="4" hidden="1">Summary!$A$1:$P$46</definedName>
    <definedName name="Z_60E4326C_3B00_4FE4_9F0D_DCD952285ADA_.wvu.PrintTitles" localSheetId="24" hidden="1">'10. Structures-BDR'!$9:$9</definedName>
    <definedName name="Z_60E4326C_3B00_4FE4_9F0D_DCD952285ADA_.wvu.PrintTitles" localSheetId="25" hidden="1">'11. Temporary Bridge'!$A:$B</definedName>
    <definedName name="Z_60E4326C_3B00_4FE4_9F0D_DCD952285ADA_.wvu.PrintTitles" localSheetId="26" hidden="1">'12. Short Span Concrete'!$A:$B,'12. Short Span Concrete'!$9:$9</definedName>
    <definedName name="Z_60E4326C_3B00_4FE4_9F0D_DCD952285ADA_.wvu.PrintTitles" localSheetId="27" hidden="1">'13. Medium Span Concrete '!$9:$9</definedName>
    <definedName name="Z_60E4326C_3B00_4FE4_9F0D_DCD952285ADA_.wvu.PrintTitles" localSheetId="28" hidden="1">'14. Structures-Structural Steel'!$9:$9</definedName>
    <definedName name="Z_60E4326C_3B00_4FE4_9F0D_DCD952285ADA_.wvu.PrintTitles" localSheetId="29" hidden="1">'15.Str.-Segmental Concrete'!$9:$9</definedName>
    <definedName name="Z_60E4326C_3B00_4FE4_9F0D_DCD952285ADA_.wvu.PrintTitles" localSheetId="30" hidden="1">'16. Structures-Movable Span'!$9:$9</definedName>
    <definedName name="Z_60E4326C_3B00_4FE4_9F0D_DCD952285ADA_.wvu.PrintTitles" localSheetId="31" hidden="1">'17. Str-Retaining Walls'!$9:$9</definedName>
    <definedName name="Z_60E4326C_3B00_4FE4_9F0D_DCD952285ADA_.wvu.PrintTitles" localSheetId="32" hidden="1">'18. Structures-Miscellaneous'!$A:$B</definedName>
    <definedName name="Z_60E4326C_3B00_4FE4_9F0D_DCD952285ADA_.wvu.PrintTitles" localSheetId="34" hidden="1">'19. Signing &amp; Marking Analysis '!$9:$9</definedName>
    <definedName name="Z_60E4326C_3B00_4FE4_9F0D_DCD952285ADA_.wvu.PrintTitles" localSheetId="44" hidden="1">'26. Landscape Plans'!$10:$10</definedName>
    <definedName name="Z_60E4326C_3B00_4FE4_9F0D_DCD952285ADA_.wvu.PrintTitles" localSheetId="9" hidden="1">'3. Project General Tasks'!$9:$9</definedName>
    <definedName name="Z_60E4326C_3B00_4FE4_9F0D_DCD952285ADA_.wvu.PrintTitles" localSheetId="51" hidden="1">'31. Architecture Development'!$9:$9</definedName>
    <definedName name="Z_60E4326C_3B00_4FE4_9F0D_DCD952285ADA_.wvu.PrintTitles" localSheetId="53" hidden="1">'32. Noise Barrier Assessment'!$9:$9</definedName>
    <definedName name="Z_60E4326C_3B00_4FE4_9F0D_DCD952285ADA_.wvu.PrintTitles" localSheetId="55" hidden="1">'33. ITS Analysis'!$9:$9</definedName>
    <definedName name="Z_60E4326C_3B00_4FE4_9F0D_DCD952285ADA_.wvu.PrintTitles" localSheetId="58" hidden="1">'35. Geotechnical'!$9:$9</definedName>
    <definedName name="Z_60E4326C_3B00_4FE4_9F0D_DCD952285ADA_.wvu.PrintTitles" localSheetId="15" hidden="1">'6b. Drainage Plans'!#REF!</definedName>
    <definedName name="Z_60E4326C_3B00_4FE4_9F0D_DCD952285ADA_.wvu.PrintTitles" localSheetId="21" hidden="1">'8. Env. Permits and Clearances'!$9:$9</definedName>
    <definedName name="Z_60E4326C_3B00_4FE4_9F0D_DCD952285ADA_.wvu.Rows" localSheetId="23" hidden="1">'9. Structures Summary'!$28:$34</definedName>
    <definedName name="Z_7AB36DFF_8FA7_4277_BB8E_931BBD7445B5_.wvu.Cols" localSheetId="15" hidden="1">'6b. Drainage Plans'!#REF!</definedName>
    <definedName name="Z_7AB36DFF_8FA7_4277_BB8E_931BBD7445B5_.wvu.PrintArea" localSheetId="26" hidden="1">'12. Short Span Concrete'!$A$1:$H$47</definedName>
    <definedName name="Z_7AB36DFF_8FA7_4277_BB8E_931BBD7445B5_.wvu.PrintArea" localSheetId="27" hidden="1">'13. Medium Span Concrete '!$A$1:$H$77</definedName>
    <definedName name="Z_7AB36DFF_8FA7_4277_BB8E_931BBD7445B5_.wvu.PrintArea" localSheetId="28" hidden="1">'14. Structures-Structural Steel'!$A$1:$H$83</definedName>
    <definedName name="Z_7AB36DFF_8FA7_4277_BB8E_931BBD7445B5_.wvu.PrintArea" localSheetId="32" hidden="1">'18. Structures-Miscellaneous'!$A$1:$H$55</definedName>
    <definedName name="Z_7AB36DFF_8FA7_4277_BB8E_931BBD7445B5_.wvu.PrintArea" localSheetId="34" hidden="1">'19. Signing &amp; Marking Analysis '!$A$1:$H$41</definedName>
    <definedName name="Z_7AB36DFF_8FA7_4277_BB8E_931BBD7445B5_.wvu.PrintArea" localSheetId="37" hidden="1">'21. Signalization Analysis'!$A$1:$H$32</definedName>
    <definedName name="Z_7AB36DFF_8FA7_4277_BB8E_931BBD7445B5_.wvu.PrintArea" localSheetId="40" hidden="1">'23. Lighting Analysis'!$A$1:$H$44</definedName>
    <definedName name="Z_7AB36DFF_8FA7_4277_BB8E_931BBD7445B5_.wvu.PrintArea" localSheetId="44" hidden="1">'26. Landscape Plans'!$B$1:$K$27</definedName>
    <definedName name="Z_7AB36DFF_8FA7_4277_BB8E_931BBD7445B5_.wvu.PrintArea" localSheetId="9" hidden="1">'3. Project General Tasks'!$A$1:$G$70</definedName>
    <definedName name="Z_7AB36DFF_8FA7_4277_BB8E_931BBD7445B5_.wvu.PrintArea" localSheetId="51" hidden="1">'31. Architecture Development'!$A$1:$L$232</definedName>
    <definedName name="Z_7AB36DFF_8FA7_4277_BB8E_931BBD7445B5_.wvu.PrintArea" localSheetId="53" hidden="1">'32. Noise Barrier Assessment'!$A$1:$H$32</definedName>
    <definedName name="Z_7AB36DFF_8FA7_4277_BB8E_931BBD7445B5_.wvu.PrintArea" localSheetId="55" hidden="1">'33. ITS Analysis'!$A$1:$H$46</definedName>
    <definedName name="Z_7AB36DFF_8FA7_4277_BB8E_931BBD7445B5_.wvu.PrintArea" localSheetId="58" hidden="1">'35. Geotechnical'!$A$1:$H$84</definedName>
    <definedName name="Z_7AB36DFF_8FA7_4277_BB8E_931BBD7445B5_.wvu.PrintArea" localSheetId="19" hidden="1">'7. Utilities'!$A$1:$H$37</definedName>
    <definedName name="Z_7AB36DFF_8FA7_4277_BB8E_931BBD7445B5_.wvu.PrintArea" localSheetId="21" hidden="1">'8. Env. Permits and Clearances'!$A$1:$H$72</definedName>
    <definedName name="Z_7AB36DFF_8FA7_4277_BB8E_931BBD7445B5_.wvu.PrintArea" localSheetId="23" hidden="1">'9. Structures Summary'!$A$1:$L$61</definedName>
    <definedName name="Z_7AB36DFF_8FA7_4277_BB8E_931BBD7445B5_.wvu.PrintArea" localSheetId="7" hidden="1">'Fee Sheet - Prime'!$A$1:$Q$71</definedName>
    <definedName name="Z_7AB36DFF_8FA7_4277_BB8E_931BBD7445B5_.wvu.PrintArea" localSheetId="8" hidden="1">'Fee Sheet - Sub'!$A$1:$Q$58</definedName>
    <definedName name="Z_7AB36DFF_8FA7_4277_BB8E_931BBD7445B5_.wvu.PrintArea" localSheetId="3" hidden="1">'Project Information'!$A$1:$N$24</definedName>
    <definedName name="Z_7AB36DFF_8FA7_4277_BB8E_931BBD7445B5_.wvu.PrintArea" localSheetId="2" hidden="1">'Spreadsheet instructions'!$A$1:$B$31</definedName>
    <definedName name="Z_7AB36DFF_8FA7_4277_BB8E_931BBD7445B5_.wvu.PrintArea" localSheetId="6" hidden="1">'Staff Hour Summary - Firm'!$A$1:$Q$97</definedName>
    <definedName name="Z_7AB36DFF_8FA7_4277_BB8E_931BBD7445B5_.wvu.PrintArea" localSheetId="5" hidden="1">'Staff Hour Summary--Grand Total'!$A$1:$Q$102</definedName>
    <definedName name="Z_7AB36DFF_8FA7_4277_BB8E_931BBD7445B5_.wvu.PrintArea" localSheetId="4" hidden="1">Summary!$A$1:$P$46</definedName>
    <definedName name="Z_7AB36DFF_8FA7_4277_BB8E_931BBD7445B5_.wvu.PrintTitles" localSheetId="24" hidden="1">'10. Structures-BDR'!$9:$9</definedName>
    <definedName name="Z_7AB36DFF_8FA7_4277_BB8E_931BBD7445B5_.wvu.PrintTitles" localSheetId="25" hidden="1">'11. Temporary Bridge'!$A:$B</definedName>
    <definedName name="Z_7AB36DFF_8FA7_4277_BB8E_931BBD7445B5_.wvu.PrintTitles" localSheetId="26" hidden="1">'12. Short Span Concrete'!$A:$B,'12. Short Span Concrete'!$9:$9</definedName>
    <definedName name="Z_7AB36DFF_8FA7_4277_BB8E_931BBD7445B5_.wvu.PrintTitles" localSheetId="27" hidden="1">'13. Medium Span Concrete '!$9:$9</definedName>
    <definedName name="Z_7AB36DFF_8FA7_4277_BB8E_931BBD7445B5_.wvu.PrintTitles" localSheetId="28" hidden="1">'14. Structures-Structural Steel'!$9:$9</definedName>
    <definedName name="Z_7AB36DFF_8FA7_4277_BB8E_931BBD7445B5_.wvu.PrintTitles" localSheetId="29" hidden="1">'15.Str.-Segmental Concrete'!$9:$9</definedName>
    <definedName name="Z_7AB36DFF_8FA7_4277_BB8E_931BBD7445B5_.wvu.PrintTitles" localSheetId="30" hidden="1">'16. Structures-Movable Span'!$9:$9</definedName>
    <definedName name="Z_7AB36DFF_8FA7_4277_BB8E_931BBD7445B5_.wvu.PrintTitles" localSheetId="31" hidden="1">'17. Str-Retaining Walls'!$9:$9</definedName>
    <definedName name="Z_7AB36DFF_8FA7_4277_BB8E_931BBD7445B5_.wvu.PrintTitles" localSheetId="32" hidden="1">'18. Structures-Miscellaneous'!$A:$B</definedName>
    <definedName name="Z_7AB36DFF_8FA7_4277_BB8E_931BBD7445B5_.wvu.PrintTitles" localSheetId="34" hidden="1">'19. Signing &amp; Marking Analysis '!$9:$9</definedName>
    <definedName name="Z_7AB36DFF_8FA7_4277_BB8E_931BBD7445B5_.wvu.PrintTitles" localSheetId="44" hidden="1">'26. Landscape Plans'!$10:$10</definedName>
    <definedName name="Z_7AB36DFF_8FA7_4277_BB8E_931BBD7445B5_.wvu.PrintTitles" localSheetId="9" hidden="1">'3. Project General Tasks'!$9:$9</definedName>
    <definedName name="Z_7AB36DFF_8FA7_4277_BB8E_931BBD7445B5_.wvu.PrintTitles" localSheetId="51" hidden="1">'31. Architecture Development'!$9:$9</definedName>
    <definedName name="Z_7AB36DFF_8FA7_4277_BB8E_931BBD7445B5_.wvu.PrintTitles" localSheetId="53" hidden="1">'32. Noise Barrier Assessment'!$9:$9</definedName>
    <definedName name="Z_7AB36DFF_8FA7_4277_BB8E_931BBD7445B5_.wvu.PrintTitles" localSheetId="55" hidden="1">'33. ITS Analysis'!$9:$9</definedName>
    <definedName name="Z_7AB36DFF_8FA7_4277_BB8E_931BBD7445B5_.wvu.PrintTitles" localSheetId="58" hidden="1">'35. Geotechnical'!$9:$9</definedName>
    <definedName name="Z_7AB36DFF_8FA7_4277_BB8E_931BBD7445B5_.wvu.PrintTitles" localSheetId="15" hidden="1">'6b. Drainage Plans'!#REF!</definedName>
    <definedName name="Z_7AB36DFF_8FA7_4277_BB8E_931BBD7445B5_.wvu.PrintTitles" localSheetId="21" hidden="1">'8. Env. Permits and Clearances'!$9:$9</definedName>
    <definedName name="Z_7AB36DFF_8FA7_4277_BB8E_931BBD7445B5_.wvu.Rows" localSheetId="23" hidden="1">'9. Structures Summary'!$28:$34</definedName>
    <definedName name="Z_960FB4AF_B150_4523_972C_3F7C93F049F3_.wvu.PrintArea" localSheetId="50" hidden="1">'Architecture Guidelines'!$A$1:$A$56</definedName>
    <definedName name="Z_960FB4AF_B150_4523_972C_3F7C93F049F3_.wvu.PrintArea" localSheetId="20" hidden="1">'Environmental Permit Guidelines'!$A$1:$A$63</definedName>
    <definedName name="Z_960FB4AF_B150_4523_972C_3F7C93F049F3_.wvu.PrintArea" localSheetId="57" hidden="1">'Geotechnical Guidelines'!$A$1:$A$19</definedName>
    <definedName name="Z_960FB4AF_B150_4523_972C_3F7C93F049F3_.wvu.PrintArea" localSheetId="39" hidden="1">'Lighting Guidelines'!$A$1:$A$36</definedName>
    <definedName name="Z_960FB4AF_B150_4523_972C_3F7C93F049F3_.wvu.PrintArea" localSheetId="10" hidden="1">'Roadway Guidelines'!$A$1:$A$44</definedName>
    <definedName name="Z_960FB4AF_B150_4523_972C_3F7C93F049F3_.wvu.PrintArea" localSheetId="36" hidden="1">'Signalization Guidelines'!$A$1:$A$38</definedName>
    <definedName name="Z_960FB4AF_B150_4523_972C_3F7C93F049F3_.wvu.PrintArea" localSheetId="33" hidden="1">'Signing &amp; Marking Guidelines'!$A$1:$A$44</definedName>
    <definedName name="Z_960FB4AF_B150_4523_972C_3F7C93F049F3_.wvu.PrintArea" localSheetId="22" hidden="1">'Structures-Guidelines'!$A$1:$A$61</definedName>
    <definedName name="Z_960FB4AF_B150_4523_972C_3F7C93F049F3_.wvu.PrintArea" localSheetId="45" hidden="1">'Survey Guidelines'!$A$1:$A$48</definedName>
    <definedName name="Z_960FB4AF_B150_4523_972C_3F7C93F049F3_.wvu.PrintArea" localSheetId="18" hidden="1">'Utility Guidelines'!$A$1:$A$46</definedName>
    <definedName name="Z_9A49CBDC_5824_479B_A57D_2870A1FAA7B5_.wvu.Cols" localSheetId="15" hidden="1">'6b. Drainage Plans'!#REF!</definedName>
    <definedName name="Z_9A49CBDC_5824_479B_A57D_2870A1FAA7B5_.wvu.PrintArea" localSheetId="53" hidden="1">'32. Noise Barrier Assessment'!$A$1:$H$22</definedName>
    <definedName name="Z_9A49CBDC_5824_479B_A57D_2870A1FAA7B5_.wvu.PrintArea" localSheetId="55" hidden="1">'33. ITS Analysis'!$A$1:$H$34</definedName>
    <definedName name="Z_9A49CBDC_5824_479B_A57D_2870A1FAA7B5_.wvu.PrintArea" localSheetId="3" hidden="1">'Project Information'!$A$1:$N$24</definedName>
    <definedName name="Z_9A49CBDC_5824_479B_A57D_2870A1FAA7B5_.wvu.PrintTitles" localSheetId="53" hidden="1">'32. Noise Barrier Assessment'!$9:$9</definedName>
    <definedName name="Z_9A49CBDC_5824_479B_A57D_2870A1FAA7B5_.wvu.PrintTitles" localSheetId="55" hidden="1">'33. ITS Analysis'!$9:$9</definedName>
    <definedName name="Z_9A49CBDC_5824_479B_A57D_2870A1FAA7B5_.wvu.PrintTitles" localSheetId="15" hidden="1">'6b. Drainage Plans'!#REF!</definedName>
    <definedName name="Z_D5FFA8DD_F2DB_47F2_B4D2_3681726B2E8F_.wvu.PrintArea" localSheetId="20" hidden="1">'Environmental Permit Guidelines'!$A$1:$A$63</definedName>
    <definedName name="Z_D5FFA8DD_F2DB_47F2_B4D2_3681726B2E8F_.wvu.PrintArea" localSheetId="10" hidden="1">'Roadway Guidelines'!$A$1:$A$44</definedName>
    <definedName name="Z_D5FFA8DD_F2DB_47F2_B4D2_3681726B2E8F_.wvu.PrintArea" localSheetId="18" hidden="1">'Utility Guidelines'!$A$1:$A$46</definedName>
    <definedName name="Z_D6E4F54A_545A_412E_8F8E_5B84FD797FEB_.wvu.Cols" localSheetId="15" hidden="1">'6b. Drainage Plans'!#REF!</definedName>
    <definedName name="Z_D6E4F54A_545A_412E_8F8E_5B84FD797FEB_.wvu.PrintArea" localSheetId="26" hidden="1">'12. Short Span Concrete'!$A$1:$H$47</definedName>
    <definedName name="Z_D6E4F54A_545A_412E_8F8E_5B84FD797FEB_.wvu.PrintArea" localSheetId="27" hidden="1">'13. Medium Span Concrete '!$A$1:$H$77</definedName>
    <definedName name="Z_D6E4F54A_545A_412E_8F8E_5B84FD797FEB_.wvu.PrintArea" localSheetId="28" hidden="1">'14. Structures-Structural Steel'!$A$1:$H$83</definedName>
    <definedName name="Z_D6E4F54A_545A_412E_8F8E_5B84FD797FEB_.wvu.PrintArea" localSheetId="32" hidden="1">'18. Structures-Miscellaneous'!$A$1:$H$55</definedName>
    <definedName name="Z_D6E4F54A_545A_412E_8F8E_5B84FD797FEB_.wvu.PrintArea" localSheetId="34" hidden="1">'19. Signing &amp; Marking Analysis '!$A$1:$H$30</definedName>
    <definedName name="Z_D6E4F54A_545A_412E_8F8E_5B84FD797FEB_.wvu.PrintArea" localSheetId="37" hidden="1">'21. Signalization Analysis'!$A$1:$H$32</definedName>
    <definedName name="Z_D6E4F54A_545A_412E_8F8E_5B84FD797FEB_.wvu.PrintArea" localSheetId="40" hidden="1">'23. Lighting Analysis'!$A$1:$H$30</definedName>
    <definedName name="Z_D6E4F54A_545A_412E_8F8E_5B84FD797FEB_.wvu.PrintArea" localSheetId="44" hidden="1">'26. Landscape Plans'!$B$1:$K$27</definedName>
    <definedName name="Z_D6E4F54A_545A_412E_8F8E_5B84FD797FEB_.wvu.PrintArea" localSheetId="9" hidden="1">'3. Project General Tasks'!$A$1:$G$65</definedName>
    <definedName name="Z_D6E4F54A_545A_412E_8F8E_5B84FD797FEB_.wvu.PrintArea" localSheetId="51" hidden="1">'31. Architecture Development'!$A$1:$L$217</definedName>
    <definedName name="Z_D6E4F54A_545A_412E_8F8E_5B84FD797FEB_.wvu.PrintArea" localSheetId="53" hidden="1">'32. Noise Barrier Assessment'!$A$1:$H$22</definedName>
    <definedName name="Z_D6E4F54A_545A_412E_8F8E_5B84FD797FEB_.wvu.PrintArea" localSheetId="55" hidden="1">'33. ITS Analysis'!$A$1:$H$34</definedName>
    <definedName name="Z_D6E4F54A_545A_412E_8F8E_5B84FD797FEB_.wvu.PrintArea" localSheetId="58" hidden="1">'35. Geotechnical'!$A$1:$H$71</definedName>
    <definedName name="Z_D6E4F54A_545A_412E_8F8E_5B84FD797FEB_.wvu.PrintArea" localSheetId="19" hidden="1">'7. Utilities'!$A$1:$H$27</definedName>
    <definedName name="Z_D6E4F54A_545A_412E_8F8E_5B84FD797FEB_.wvu.PrintArea" localSheetId="21" hidden="1">'8. Env. Permits and Clearances'!$A$1:$H$56</definedName>
    <definedName name="Z_D6E4F54A_545A_412E_8F8E_5B84FD797FEB_.wvu.PrintArea" localSheetId="23" hidden="1">'9. Structures Summary'!$A$1:$L$47</definedName>
    <definedName name="Z_D6E4F54A_545A_412E_8F8E_5B84FD797FEB_.wvu.PrintArea" localSheetId="7" hidden="1">'Fee Sheet - Prime'!$A$1:$Q$71</definedName>
    <definedName name="Z_D6E4F54A_545A_412E_8F8E_5B84FD797FEB_.wvu.PrintArea" localSheetId="8" hidden="1">'Fee Sheet - Sub'!$A$1:$Q$58</definedName>
    <definedName name="Z_D6E4F54A_545A_412E_8F8E_5B84FD797FEB_.wvu.PrintArea" localSheetId="3" hidden="1">'Project Information'!$A$1:$N$24</definedName>
    <definedName name="Z_D6E4F54A_545A_412E_8F8E_5B84FD797FEB_.wvu.PrintArea" localSheetId="2" hidden="1">'Spreadsheet instructions'!$A$1:$B$31</definedName>
    <definedName name="Z_D6E4F54A_545A_412E_8F8E_5B84FD797FEB_.wvu.PrintArea" localSheetId="6" hidden="1">'Staff Hour Summary - Firm'!$A$1:$Q$95</definedName>
    <definedName name="Z_D6E4F54A_545A_412E_8F8E_5B84FD797FEB_.wvu.PrintArea" localSheetId="5" hidden="1">'Staff Hour Summary--Grand Total'!$A$1:$Q$102</definedName>
    <definedName name="Z_D6E4F54A_545A_412E_8F8E_5B84FD797FEB_.wvu.PrintArea" localSheetId="4" hidden="1">Summary!$A$1:$P$46</definedName>
    <definedName name="Z_D6E4F54A_545A_412E_8F8E_5B84FD797FEB_.wvu.PrintTitles" localSheetId="24" hidden="1">'10. Structures-BDR'!$9:$9</definedName>
    <definedName name="Z_D6E4F54A_545A_412E_8F8E_5B84FD797FEB_.wvu.PrintTitles" localSheetId="25" hidden="1">'11. Temporary Bridge'!$A:$B</definedName>
    <definedName name="Z_D6E4F54A_545A_412E_8F8E_5B84FD797FEB_.wvu.PrintTitles" localSheetId="26" hidden="1">'12. Short Span Concrete'!$A:$B,'12. Short Span Concrete'!$9:$9</definedName>
    <definedName name="Z_D6E4F54A_545A_412E_8F8E_5B84FD797FEB_.wvu.PrintTitles" localSheetId="27" hidden="1">'13. Medium Span Concrete '!$9:$9</definedName>
    <definedName name="Z_D6E4F54A_545A_412E_8F8E_5B84FD797FEB_.wvu.PrintTitles" localSheetId="28" hidden="1">'14. Structures-Structural Steel'!$9:$9</definedName>
    <definedName name="Z_D6E4F54A_545A_412E_8F8E_5B84FD797FEB_.wvu.PrintTitles" localSheetId="29" hidden="1">'15.Str.-Segmental Concrete'!$9:$9</definedName>
    <definedName name="Z_D6E4F54A_545A_412E_8F8E_5B84FD797FEB_.wvu.PrintTitles" localSheetId="30" hidden="1">'16. Structures-Movable Span'!$9:$9</definedName>
    <definedName name="Z_D6E4F54A_545A_412E_8F8E_5B84FD797FEB_.wvu.PrintTitles" localSheetId="31" hidden="1">'17. Str-Retaining Walls'!$9:$9</definedName>
    <definedName name="Z_D6E4F54A_545A_412E_8F8E_5B84FD797FEB_.wvu.PrintTitles" localSheetId="32" hidden="1">'18. Structures-Miscellaneous'!$A:$B</definedName>
    <definedName name="Z_D6E4F54A_545A_412E_8F8E_5B84FD797FEB_.wvu.PrintTitles" localSheetId="34" hidden="1">'19. Signing &amp; Marking Analysis '!$9:$9</definedName>
    <definedName name="Z_D6E4F54A_545A_412E_8F8E_5B84FD797FEB_.wvu.PrintTitles" localSheetId="44" hidden="1">'26. Landscape Plans'!$10:$10</definedName>
    <definedName name="Z_D6E4F54A_545A_412E_8F8E_5B84FD797FEB_.wvu.PrintTitles" localSheetId="9" hidden="1">'3. Project General Tasks'!$9:$9</definedName>
    <definedName name="Z_D6E4F54A_545A_412E_8F8E_5B84FD797FEB_.wvu.PrintTitles" localSheetId="51" hidden="1">'31. Architecture Development'!$9:$9</definedName>
    <definedName name="Z_D6E4F54A_545A_412E_8F8E_5B84FD797FEB_.wvu.PrintTitles" localSheetId="53" hidden="1">'32. Noise Barrier Assessment'!$9:$9</definedName>
    <definedName name="Z_D6E4F54A_545A_412E_8F8E_5B84FD797FEB_.wvu.PrintTitles" localSheetId="55" hidden="1">'33. ITS Analysis'!$9:$9</definedName>
    <definedName name="Z_D6E4F54A_545A_412E_8F8E_5B84FD797FEB_.wvu.PrintTitles" localSheetId="58" hidden="1">'35. Geotechnical'!$9:$9</definedName>
    <definedName name="Z_D6E4F54A_545A_412E_8F8E_5B84FD797FEB_.wvu.PrintTitles" localSheetId="15" hidden="1">'6b. Drainage Plans'!#REF!</definedName>
    <definedName name="Z_D6E4F54A_545A_412E_8F8E_5B84FD797FEB_.wvu.PrintTitles" localSheetId="21" hidden="1">'8. Env. Permits and Clearances'!$9:$9</definedName>
    <definedName name="Z_D6E4F54A_545A_412E_8F8E_5B84FD797FEB_.wvu.Rows" localSheetId="23" hidden="1">'9. Structures Summary'!$28:$34</definedName>
    <definedName name="Z_DF3BD4C9_2986_4236_8E90_D96736404377_.wvu.PrintArea" localSheetId="50" hidden="1">'Architecture Guidelines'!$A$1:$A$56</definedName>
    <definedName name="Z_DF3BD4C9_2986_4236_8E90_D96736404377_.wvu.PrintArea" localSheetId="20" hidden="1">'Environmental Permit Guidelines'!$A$1:$A$63</definedName>
    <definedName name="Z_DF3BD4C9_2986_4236_8E90_D96736404377_.wvu.PrintArea" localSheetId="57" hidden="1">'Geotechnical Guidelines'!$A$1:$A$19</definedName>
    <definedName name="Z_DF3BD4C9_2986_4236_8E90_D96736404377_.wvu.PrintArea" localSheetId="39" hidden="1">'Lighting Guidelines'!$A$1:$A$36</definedName>
    <definedName name="Z_DF3BD4C9_2986_4236_8E90_D96736404377_.wvu.PrintArea" localSheetId="10" hidden="1">'Roadway Guidelines'!$A$1:$A$44</definedName>
    <definedName name="Z_DF3BD4C9_2986_4236_8E90_D96736404377_.wvu.PrintArea" localSheetId="36" hidden="1">'Signalization Guidelines'!$A$1:$A$38</definedName>
    <definedName name="Z_DF3BD4C9_2986_4236_8E90_D96736404377_.wvu.PrintArea" localSheetId="33" hidden="1">'Signing &amp; Marking Guidelines'!$A$1:$A$44</definedName>
    <definedName name="Z_DF3BD4C9_2986_4236_8E90_D96736404377_.wvu.PrintArea" localSheetId="22" hidden="1">'Structures-Guidelines'!$A$1:$A$61</definedName>
    <definedName name="Z_DF3BD4C9_2986_4236_8E90_D96736404377_.wvu.PrintArea" localSheetId="45" hidden="1">'Survey Guidelines'!$A$1:$A$48</definedName>
    <definedName name="Z_DF3BD4C9_2986_4236_8E90_D96736404377_.wvu.PrintArea" localSheetId="18" hidden="1">'Utility Guidelines'!$A$1:$A$46</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8" i="123" l="1"/>
  <c r="F35" i="123"/>
  <c r="F17" i="111"/>
  <c r="F16" i="111"/>
  <c r="F34" i="126"/>
  <c r="F33" i="126"/>
  <c r="F32" i="126"/>
  <c r="F23" i="126"/>
  <c r="F22" i="126"/>
  <c r="F21" i="126"/>
  <c r="F20" i="126"/>
  <c r="F19" i="126"/>
  <c r="F16" i="126"/>
  <c r="F15" i="126"/>
  <c r="F29" i="113"/>
  <c r="F28" i="113"/>
  <c r="F16" i="113"/>
  <c r="F15" i="113"/>
  <c r="F20" i="125"/>
  <c r="F19" i="125"/>
  <c r="F17" i="125"/>
  <c r="F16" i="125"/>
  <c r="F14" i="125"/>
  <c r="F13" i="125"/>
  <c r="F12" i="125"/>
  <c r="F21" i="123"/>
  <c r="F53" i="122"/>
  <c r="F52" i="122"/>
  <c r="F50" i="122"/>
  <c r="F48" i="122"/>
  <c r="F47" i="122"/>
  <c r="F44" i="122"/>
  <c r="F43" i="122"/>
  <c r="F42" i="122"/>
  <c r="F41" i="122"/>
  <c r="F40" i="122"/>
  <c r="F39" i="122"/>
  <c r="F38" i="122"/>
  <c r="F37" i="122"/>
  <c r="F36" i="122"/>
  <c r="F35" i="122"/>
  <c r="F26" i="122"/>
  <c r="F25" i="122"/>
  <c r="F17" i="122"/>
  <c r="I44" i="123"/>
  <c r="G37" i="123"/>
  <c r="G11" i="110"/>
  <c r="G20" i="128"/>
  <c r="G14" i="128" l="1"/>
  <c r="G16" i="114"/>
  <c r="G13" i="110" l="1"/>
  <c r="G35" i="123"/>
  <c r="G20" i="123" l="1"/>
  <c r="G19" i="123"/>
  <c r="G28" i="126"/>
  <c r="G26" i="126"/>
  <c r="N17" i="7" l="1"/>
  <c r="D17" i="7"/>
  <c r="E17" i="7"/>
  <c r="F17" i="7"/>
  <c r="G17" i="7"/>
  <c r="H17" i="7"/>
  <c r="I17" i="7"/>
  <c r="J17" i="7"/>
  <c r="K17" i="7"/>
  <c r="L17" i="7"/>
  <c r="M17" i="7"/>
  <c r="C17" i="7"/>
  <c r="D17" i="6"/>
  <c r="E17" i="6"/>
  <c r="F17" i="6"/>
  <c r="G17" i="6"/>
  <c r="H17" i="6"/>
  <c r="I17" i="6"/>
  <c r="J17" i="6"/>
  <c r="K17" i="6"/>
  <c r="L17" i="6"/>
  <c r="M17" i="6"/>
  <c r="N17" i="6"/>
  <c r="C17" i="6"/>
  <c r="N46" i="7"/>
  <c r="M46" i="7"/>
  <c r="L46" i="7"/>
  <c r="K46" i="7"/>
  <c r="J46" i="7"/>
  <c r="I46" i="7"/>
  <c r="H46" i="7"/>
  <c r="G46" i="7"/>
  <c r="F46" i="7"/>
  <c r="E46" i="7"/>
  <c r="D46" i="7"/>
  <c r="C46" i="7"/>
  <c r="N45" i="7"/>
  <c r="M45" i="7"/>
  <c r="L45" i="7"/>
  <c r="K45" i="7"/>
  <c r="J45" i="7"/>
  <c r="I45" i="7"/>
  <c r="H45" i="7"/>
  <c r="G45" i="7"/>
  <c r="F45" i="7"/>
  <c r="E45" i="7"/>
  <c r="D45" i="7"/>
  <c r="C45" i="7"/>
  <c r="N44" i="7"/>
  <c r="M44" i="7"/>
  <c r="L44" i="7"/>
  <c r="K44" i="7"/>
  <c r="J44" i="7"/>
  <c r="I44" i="7"/>
  <c r="H44" i="7"/>
  <c r="G44" i="7"/>
  <c r="F44" i="7"/>
  <c r="E44" i="7"/>
  <c r="D44" i="7"/>
  <c r="C44" i="7"/>
  <c r="N43" i="7"/>
  <c r="M43" i="7"/>
  <c r="L43" i="7"/>
  <c r="K43" i="7"/>
  <c r="J43" i="7"/>
  <c r="I43" i="7"/>
  <c r="H43" i="7"/>
  <c r="G43" i="7"/>
  <c r="F43" i="7"/>
  <c r="E43" i="7"/>
  <c r="D43" i="7"/>
  <c r="C43" i="7"/>
  <c r="N42" i="7"/>
  <c r="M42" i="7"/>
  <c r="L42" i="7"/>
  <c r="K42" i="7"/>
  <c r="J42" i="7"/>
  <c r="I42" i="7"/>
  <c r="H42" i="7"/>
  <c r="G42" i="7"/>
  <c r="F42" i="7"/>
  <c r="E42" i="7"/>
  <c r="D42" i="7"/>
  <c r="C42" i="7"/>
  <c r="N41" i="7"/>
  <c r="M41" i="7"/>
  <c r="L41" i="7"/>
  <c r="K41" i="7"/>
  <c r="J41" i="7"/>
  <c r="I41" i="7"/>
  <c r="H41" i="7"/>
  <c r="G41" i="7"/>
  <c r="F41" i="7"/>
  <c r="E41" i="7"/>
  <c r="D41" i="7"/>
  <c r="C41" i="7"/>
  <c r="N39" i="7"/>
  <c r="M39" i="7"/>
  <c r="L39" i="7"/>
  <c r="K39" i="7"/>
  <c r="J39" i="7"/>
  <c r="I39" i="7"/>
  <c r="H39" i="7"/>
  <c r="G39" i="7"/>
  <c r="F39" i="7"/>
  <c r="E39" i="7"/>
  <c r="D39" i="7"/>
  <c r="C39" i="7"/>
  <c r="N38" i="7"/>
  <c r="M38" i="7"/>
  <c r="L38" i="7"/>
  <c r="K38" i="7"/>
  <c r="J38" i="7"/>
  <c r="I38" i="7"/>
  <c r="H38" i="7"/>
  <c r="G38" i="7"/>
  <c r="F38" i="7"/>
  <c r="E38" i="7"/>
  <c r="D38" i="7"/>
  <c r="C38" i="7"/>
  <c r="N37" i="7"/>
  <c r="M37" i="7"/>
  <c r="L37" i="7"/>
  <c r="K37" i="7"/>
  <c r="J37" i="7"/>
  <c r="I37" i="7"/>
  <c r="H37" i="7"/>
  <c r="G37" i="7"/>
  <c r="F37" i="7"/>
  <c r="E37" i="7"/>
  <c r="D37" i="7"/>
  <c r="C37" i="7"/>
  <c r="N36" i="7"/>
  <c r="M36" i="7"/>
  <c r="L36" i="7"/>
  <c r="K36" i="7"/>
  <c r="J36" i="7"/>
  <c r="I36" i="7"/>
  <c r="H36" i="7"/>
  <c r="G36" i="7"/>
  <c r="F36" i="7"/>
  <c r="E36" i="7"/>
  <c r="D36" i="7"/>
  <c r="C36" i="7"/>
  <c r="N35" i="7"/>
  <c r="M35" i="7"/>
  <c r="L35" i="7"/>
  <c r="K35" i="7"/>
  <c r="J35" i="7"/>
  <c r="I35" i="7"/>
  <c r="H35" i="7"/>
  <c r="G35" i="7"/>
  <c r="F35" i="7"/>
  <c r="E35" i="7"/>
  <c r="D35" i="7"/>
  <c r="C35" i="7"/>
  <c r="N34" i="7"/>
  <c r="M34" i="7"/>
  <c r="L34" i="7"/>
  <c r="K34" i="7"/>
  <c r="J34" i="7"/>
  <c r="I34" i="7"/>
  <c r="H34" i="7"/>
  <c r="G34" i="7"/>
  <c r="F34" i="7"/>
  <c r="E34" i="7"/>
  <c r="D34" i="7"/>
  <c r="C34" i="7"/>
  <c r="N33" i="7"/>
  <c r="M33" i="7"/>
  <c r="L33" i="7"/>
  <c r="K33" i="7"/>
  <c r="J33" i="7"/>
  <c r="I33" i="7"/>
  <c r="H33" i="7"/>
  <c r="G33" i="7"/>
  <c r="F33" i="7"/>
  <c r="E33" i="7"/>
  <c r="D33" i="7"/>
  <c r="C33" i="7"/>
  <c r="N32" i="7"/>
  <c r="M32" i="7"/>
  <c r="L32" i="7"/>
  <c r="K32" i="7"/>
  <c r="J32" i="7"/>
  <c r="I32" i="7"/>
  <c r="H32" i="7"/>
  <c r="G32" i="7"/>
  <c r="F32" i="7"/>
  <c r="E32" i="7"/>
  <c r="D32" i="7"/>
  <c r="C32" i="7"/>
  <c r="N31" i="7"/>
  <c r="M31" i="7"/>
  <c r="L31" i="7"/>
  <c r="K31" i="7"/>
  <c r="J31" i="7"/>
  <c r="I31" i="7"/>
  <c r="H31" i="7"/>
  <c r="G31" i="7"/>
  <c r="F31" i="7"/>
  <c r="E31" i="7"/>
  <c r="D31" i="7"/>
  <c r="C31" i="7"/>
  <c r="N30" i="7"/>
  <c r="M30" i="7"/>
  <c r="L30" i="7"/>
  <c r="K30" i="7"/>
  <c r="J30" i="7"/>
  <c r="I30" i="7"/>
  <c r="H30" i="7"/>
  <c r="G30" i="7"/>
  <c r="F30" i="7"/>
  <c r="E30" i="7"/>
  <c r="D30" i="7"/>
  <c r="C30" i="7"/>
  <c r="N29" i="7"/>
  <c r="M29" i="7"/>
  <c r="L29" i="7"/>
  <c r="K29" i="7"/>
  <c r="J29" i="7"/>
  <c r="I29" i="7"/>
  <c r="H29" i="7"/>
  <c r="G29" i="7"/>
  <c r="F29" i="7"/>
  <c r="E29" i="7"/>
  <c r="D29" i="7"/>
  <c r="C29" i="7"/>
  <c r="N28" i="7"/>
  <c r="M28" i="7"/>
  <c r="L28" i="7"/>
  <c r="K28" i="7"/>
  <c r="J28" i="7"/>
  <c r="I28" i="7"/>
  <c r="H28" i="7"/>
  <c r="G28" i="7"/>
  <c r="F28" i="7"/>
  <c r="E28" i="7"/>
  <c r="D28" i="7"/>
  <c r="C28" i="7"/>
  <c r="N27" i="7"/>
  <c r="M27" i="7"/>
  <c r="L27" i="7"/>
  <c r="K27" i="7"/>
  <c r="J27" i="7"/>
  <c r="I27" i="7"/>
  <c r="H27" i="7"/>
  <c r="G27" i="7"/>
  <c r="F27" i="7"/>
  <c r="E27" i="7"/>
  <c r="D27" i="7"/>
  <c r="C27" i="7"/>
  <c r="N26" i="7"/>
  <c r="M26" i="7"/>
  <c r="L26" i="7"/>
  <c r="K26" i="7"/>
  <c r="J26" i="7"/>
  <c r="I26" i="7"/>
  <c r="H26" i="7"/>
  <c r="G26" i="7"/>
  <c r="F26" i="7"/>
  <c r="E26" i="7"/>
  <c r="D26" i="7"/>
  <c r="C26" i="7"/>
  <c r="N25" i="7"/>
  <c r="M25" i="7"/>
  <c r="L25" i="7"/>
  <c r="K25" i="7"/>
  <c r="J25" i="7"/>
  <c r="I25" i="7"/>
  <c r="H25" i="7"/>
  <c r="G25" i="7"/>
  <c r="F25" i="7"/>
  <c r="E25" i="7"/>
  <c r="D25" i="7"/>
  <c r="C25" i="7"/>
  <c r="N24" i="7"/>
  <c r="M24" i="7"/>
  <c r="L24" i="7"/>
  <c r="K24" i="7"/>
  <c r="J24" i="7"/>
  <c r="I24" i="7"/>
  <c r="H24" i="7"/>
  <c r="G24" i="7"/>
  <c r="F24" i="7"/>
  <c r="E24" i="7"/>
  <c r="D24" i="7"/>
  <c r="C24" i="7"/>
  <c r="N23" i="7"/>
  <c r="M23" i="7"/>
  <c r="L23" i="7"/>
  <c r="K23" i="7"/>
  <c r="J23" i="7"/>
  <c r="I23" i="7"/>
  <c r="H23" i="7"/>
  <c r="G23" i="7"/>
  <c r="F23" i="7"/>
  <c r="E23" i="7"/>
  <c r="D23" i="7"/>
  <c r="C23" i="7"/>
  <c r="N22" i="7"/>
  <c r="M22" i="7"/>
  <c r="L22" i="7"/>
  <c r="K22" i="7"/>
  <c r="J22" i="7"/>
  <c r="I22" i="7"/>
  <c r="H22" i="7"/>
  <c r="G22" i="7"/>
  <c r="F22" i="7"/>
  <c r="E22" i="7"/>
  <c r="D22" i="7"/>
  <c r="C22" i="7"/>
  <c r="N21" i="7"/>
  <c r="M21" i="7"/>
  <c r="L21" i="7"/>
  <c r="K21" i="7"/>
  <c r="J21" i="7"/>
  <c r="I21" i="7"/>
  <c r="H21" i="7"/>
  <c r="G21" i="7"/>
  <c r="F21" i="7"/>
  <c r="E21" i="7"/>
  <c r="D21" i="7"/>
  <c r="C21" i="7"/>
  <c r="N20" i="7"/>
  <c r="M20" i="7"/>
  <c r="L20" i="7"/>
  <c r="K20" i="7"/>
  <c r="J20" i="7"/>
  <c r="I20" i="7"/>
  <c r="H20" i="7"/>
  <c r="G20" i="7"/>
  <c r="F20" i="7"/>
  <c r="E20" i="7"/>
  <c r="D20" i="7"/>
  <c r="C20" i="7"/>
  <c r="N19" i="7"/>
  <c r="M19" i="7"/>
  <c r="L19" i="7"/>
  <c r="K19" i="7"/>
  <c r="J19" i="7"/>
  <c r="I19" i="7"/>
  <c r="H19" i="7"/>
  <c r="G19" i="7"/>
  <c r="F19" i="7"/>
  <c r="E19" i="7"/>
  <c r="D19" i="7"/>
  <c r="C19" i="7"/>
  <c r="N18" i="7"/>
  <c r="M18" i="7"/>
  <c r="L18" i="7"/>
  <c r="K18" i="7"/>
  <c r="J18" i="7"/>
  <c r="I18" i="7"/>
  <c r="H18" i="7"/>
  <c r="G18" i="7"/>
  <c r="F18" i="7"/>
  <c r="E18" i="7"/>
  <c r="D18" i="7"/>
  <c r="C18" i="7"/>
  <c r="N16" i="7"/>
  <c r="M16" i="7"/>
  <c r="L16" i="7"/>
  <c r="K16" i="7"/>
  <c r="J16" i="7"/>
  <c r="I16" i="7"/>
  <c r="H16" i="7"/>
  <c r="G16" i="7"/>
  <c r="F16" i="7"/>
  <c r="E16" i="7"/>
  <c r="D16" i="7"/>
  <c r="C16" i="7"/>
  <c r="N15" i="7"/>
  <c r="M15" i="7"/>
  <c r="L15" i="7"/>
  <c r="K15" i="7"/>
  <c r="J15" i="7"/>
  <c r="I15" i="7"/>
  <c r="H15" i="7"/>
  <c r="G15" i="7"/>
  <c r="F15" i="7"/>
  <c r="E15" i="7"/>
  <c r="D15" i="7"/>
  <c r="C15" i="7"/>
  <c r="N13" i="7"/>
  <c r="M13" i="7"/>
  <c r="L13" i="7"/>
  <c r="K13" i="7"/>
  <c r="J13" i="7"/>
  <c r="I13" i="7"/>
  <c r="H13" i="7"/>
  <c r="G13" i="7"/>
  <c r="F13" i="7"/>
  <c r="E13" i="7"/>
  <c r="D13" i="7"/>
  <c r="C13" i="7"/>
  <c r="N12" i="7"/>
  <c r="M12" i="7"/>
  <c r="L12" i="7"/>
  <c r="K12" i="7"/>
  <c r="J12" i="7"/>
  <c r="I12" i="7"/>
  <c r="H12" i="7"/>
  <c r="G12" i="7"/>
  <c r="F12" i="7"/>
  <c r="E12" i="7"/>
  <c r="D12" i="7"/>
  <c r="C12" i="7"/>
  <c r="N46" i="6"/>
  <c r="M46" i="6"/>
  <c r="L46" i="6"/>
  <c r="K46" i="6"/>
  <c r="J46" i="6"/>
  <c r="I46" i="6"/>
  <c r="H46" i="6"/>
  <c r="G46" i="6"/>
  <c r="F46" i="6"/>
  <c r="E46" i="6"/>
  <c r="D46" i="6"/>
  <c r="C46" i="6"/>
  <c r="N45" i="6"/>
  <c r="M45" i="6"/>
  <c r="L45" i="6"/>
  <c r="K45" i="6"/>
  <c r="J45" i="6"/>
  <c r="I45" i="6"/>
  <c r="H45" i="6"/>
  <c r="G45" i="6"/>
  <c r="F45" i="6"/>
  <c r="E45" i="6"/>
  <c r="D45" i="6"/>
  <c r="C45" i="6"/>
  <c r="N44" i="6"/>
  <c r="M44" i="6"/>
  <c r="L44" i="6"/>
  <c r="K44" i="6"/>
  <c r="J44" i="6"/>
  <c r="I44" i="6"/>
  <c r="H44" i="6"/>
  <c r="G44" i="6"/>
  <c r="F44" i="6"/>
  <c r="E44" i="6"/>
  <c r="D44" i="6"/>
  <c r="C44" i="6"/>
  <c r="N43" i="6"/>
  <c r="M43" i="6"/>
  <c r="L43" i="6"/>
  <c r="K43" i="6"/>
  <c r="J43" i="6"/>
  <c r="I43" i="6"/>
  <c r="H43" i="6"/>
  <c r="G43" i="6"/>
  <c r="F43" i="6"/>
  <c r="E43" i="6"/>
  <c r="D43" i="6"/>
  <c r="C43" i="6"/>
  <c r="N42" i="6"/>
  <c r="M42" i="6"/>
  <c r="L42" i="6"/>
  <c r="K42" i="6"/>
  <c r="J42" i="6"/>
  <c r="I42" i="6"/>
  <c r="H42" i="6"/>
  <c r="G42" i="6"/>
  <c r="F42" i="6"/>
  <c r="E42" i="6"/>
  <c r="D42" i="6"/>
  <c r="C42" i="6"/>
  <c r="N41" i="6"/>
  <c r="M41" i="6"/>
  <c r="L41" i="6"/>
  <c r="K41" i="6"/>
  <c r="J41" i="6"/>
  <c r="I41" i="6"/>
  <c r="H41" i="6"/>
  <c r="G41" i="6"/>
  <c r="F41" i="6"/>
  <c r="E41" i="6"/>
  <c r="D41" i="6"/>
  <c r="C41" i="6"/>
  <c r="N39" i="6"/>
  <c r="M39" i="6"/>
  <c r="L39" i="6"/>
  <c r="K39" i="6"/>
  <c r="J39" i="6"/>
  <c r="I39" i="6"/>
  <c r="H39" i="6"/>
  <c r="G39" i="6"/>
  <c r="F39" i="6"/>
  <c r="E39" i="6"/>
  <c r="D39" i="6"/>
  <c r="C39" i="6"/>
  <c r="N38" i="6"/>
  <c r="M38" i="6"/>
  <c r="L38" i="6"/>
  <c r="K38" i="6"/>
  <c r="J38" i="6"/>
  <c r="I38" i="6"/>
  <c r="H38" i="6"/>
  <c r="G38" i="6"/>
  <c r="F38" i="6"/>
  <c r="E38" i="6"/>
  <c r="D38" i="6"/>
  <c r="C38" i="6"/>
  <c r="N37" i="6"/>
  <c r="M37" i="6"/>
  <c r="L37" i="6"/>
  <c r="K37" i="6"/>
  <c r="J37" i="6"/>
  <c r="I37" i="6"/>
  <c r="H37" i="6"/>
  <c r="G37" i="6"/>
  <c r="F37" i="6"/>
  <c r="E37" i="6"/>
  <c r="D37" i="6"/>
  <c r="C37" i="6"/>
  <c r="N36" i="6"/>
  <c r="M36" i="6"/>
  <c r="L36" i="6"/>
  <c r="K36" i="6"/>
  <c r="J36" i="6"/>
  <c r="I36" i="6"/>
  <c r="H36" i="6"/>
  <c r="G36" i="6"/>
  <c r="F36" i="6"/>
  <c r="E36" i="6"/>
  <c r="D36" i="6"/>
  <c r="C36" i="6"/>
  <c r="N35" i="6"/>
  <c r="M35" i="6"/>
  <c r="L35" i="6"/>
  <c r="K35" i="6"/>
  <c r="J35" i="6"/>
  <c r="I35" i="6"/>
  <c r="H35" i="6"/>
  <c r="G35" i="6"/>
  <c r="F35" i="6"/>
  <c r="E35" i="6"/>
  <c r="D35" i="6"/>
  <c r="C35" i="6"/>
  <c r="N34" i="6"/>
  <c r="M34" i="6"/>
  <c r="L34" i="6"/>
  <c r="K34" i="6"/>
  <c r="J34" i="6"/>
  <c r="I34" i="6"/>
  <c r="H34" i="6"/>
  <c r="G34" i="6"/>
  <c r="F34" i="6"/>
  <c r="E34" i="6"/>
  <c r="D34" i="6"/>
  <c r="C34" i="6"/>
  <c r="N33" i="6"/>
  <c r="M33" i="6"/>
  <c r="L33" i="6"/>
  <c r="K33" i="6"/>
  <c r="J33" i="6"/>
  <c r="I33" i="6"/>
  <c r="H33" i="6"/>
  <c r="G33" i="6"/>
  <c r="F33" i="6"/>
  <c r="E33" i="6"/>
  <c r="D33" i="6"/>
  <c r="C33" i="6"/>
  <c r="N32" i="6"/>
  <c r="M32" i="6"/>
  <c r="L32" i="6"/>
  <c r="K32" i="6"/>
  <c r="J32" i="6"/>
  <c r="I32" i="6"/>
  <c r="H32" i="6"/>
  <c r="G32" i="6"/>
  <c r="F32" i="6"/>
  <c r="E32" i="6"/>
  <c r="D32" i="6"/>
  <c r="C32" i="6"/>
  <c r="N31" i="6"/>
  <c r="M31" i="6"/>
  <c r="L31" i="6"/>
  <c r="K31" i="6"/>
  <c r="J31" i="6"/>
  <c r="I31" i="6"/>
  <c r="H31" i="6"/>
  <c r="G31" i="6"/>
  <c r="F31" i="6"/>
  <c r="E31" i="6"/>
  <c r="D31" i="6"/>
  <c r="C31" i="6"/>
  <c r="N30" i="6"/>
  <c r="M30" i="6"/>
  <c r="L30" i="6"/>
  <c r="K30" i="6"/>
  <c r="J30" i="6"/>
  <c r="I30" i="6"/>
  <c r="H30" i="6"/>
  <c r="G30" i="6"/>
  <c r="F30" i="6"/>
  <c r="E30" i="6"/>
  <c r="D30" i="6"/>
  <c r="C30" i="6"/>
  <c r="N29" i="6"/>
  <c r="M29" i="6"/>
  <c r="L29" i="6"/>
  <c r="K29" i="6"/>
  <c r="J29" i="6"/>
  <c r="I29" i="6"/>
  <c r="H29" i="6"/>
  <c r="G29" i="6"/>
  <c r="F29" i="6"/>
  <c r="E29" i="6"/>
  <c r="D29" i="6"/>
  <c r="C29" i="6"/>
  <c r="N28" i="6"/>
  <c r="M28" i="6"/>
  <c r="L28" i="6"/>
  <c r="K28" i="6"/>
  <c r="J28" i="6"/>
  <c r="I28" i="6"/>
  <c r="H28" i="6"/>
  <c r="G28" i="6"/>
  <c r="F28" i="6"/>
  <c r="E28" i="6"/>
  <c r="D28" i="6"/>
  <c r="C28" i="6"/>
  <c r="N27" i="6"/>
  <c r="M27" i="6"/>
  <c r="L27" i="6"/>
  <c r="K27" i="6"/>
  <c r="J27" i="6"/>
  <c r="I27" i="6"/>
  <c r="H27" i="6"/>
  <c r="G27" i="6"/>
  <c r="F27" i="6"/>
  <c r="E27" i="6"/>
  <c r="D27" i="6"/>
  <c r="C27" i="6"/>
  <c r="N26" i="6"/>
  <c r="M26" i="6"/>
  <c r="L26" i="6"/>
  <c r="K26" i="6"/>
  <c r="J26" i="6"/>
  <c r="I26" i="6"/>
  <c r="H26" i="6"/>
  <c r="G26" i="6"/>
  <c r="F26" i="6"/>
  <c r="E26" i="6"/>
  <c r="D26" i="6"/>
  <c r="C26" i="6"/>
  <c r="N25" i="6"/>
  <c r="M25" i="6"/>
  <c r="L25" i="6"/>
  <c r="K25" i="6"/>
  <c r="J25" i="6"/>
  <c r="I25" i="6"/>
  <c r="H25" i="6"/>
  <c r="G25" i="6"/>
  <c r="F25" i="6"/>
  <c r="E25" i="6"/>
  <c r="D25" i="6"/>
  <c r="C25" i="6"/>
  <c r="N24" i="6"/>
  <c r="M24" i="6"/>
  <c r="L24" i="6"/>
  <c r="K24" i="6"/>
  <c r="J24" i="6"/>
  <c r="I24" i="6"/>
  <c r="H24" i="6"/>
  <c r="G24" i="6"/>
  <c r="F24" i="6"/>
  <c r="E24" i="6"/>
  <c r="D24" i="6"/>
  <c r="C24" i="6"/>
  <c r="N23" i="6"/>
  <c r="M23" i="6"/>
  <c r="L23" i="6"/>
  <c r="K23" i="6"/>
  <c r="J23" i="6"/>
  <c r="I23" i="6"/>
  <c r="H23" i="6"/>
  <c r="G23" i="6"/>
  <c r="F23" i="6"/>
  <c r="E23" i="6"/>
  <c r="D23" i="6"/>
  <c r="C23" i="6"/>
  <c r="P23" i="6" s="1"/>
  <c r="N22" i="6"/>
  <c r="M22" i="6"/>
  <c r="L22" i="6"/>
  <c r="K22" i="6"/>
  <c r="J22" i="6"/>
  <c r="I22" i="6"/>
  <c r="H22" i="6"/>
  <c r="G22" i="6"/>
  <c r="F22" i="6"/>
  <c r="E22" i="6"/>
  <c r="D22" i="6"/>
  <c r="C22" i="6"/>
  <c r="O22" i="6" s="1"/>
  <c r="N21" i="6"/>
  <c r="M21" i="6"/>
  <c r="L21" i="6"/>
  <c r="K21" i="6"/>
  <c r="J21" i="6"/>
  <c r="I21" i="6"/>
  <c r="H21" i="6"/>
  <c r="G21" i="6"/>
  <c r="F21" i="6"/>
  <c r="E21" i="6"/>
  <c r="D21" i="6"/>
  <c r="C21" i="6"/>
  <c r="P21" i="6" s="1"/>
  <c r="N20" i="6"/>
  <c r="M20" i="6"/>
  <c r="L20" i="6"/>
  <c r="K20" i="6"/>
  <c r="J20" i="6"/>
  <c r="I20" i="6"/>
  <c r="H20" i="6"/>
  <c r="G20" i="6"/>
  <c r="F20" i="6"/>
  <c r="E20" i="6"/>
  <c r="D20" i="6"/>
  <c r="C20" i="6"/>
  <c r="P20" i="6" s="1"/>
  <c r="N19" i="6"/>
  <c r="M19" i="6"/>
  <c r="L19" i="6"/>
  <c r="K19" i="6"/>
  <c r="J19" i="6"/>
  <c r="I19" i="6"/>
  <c r="H19" i="6"/>
  <c r="G19" i="6"/>
  <c r="F19" i="6"/>
  <c r="E19" i="6"/>
  <c r="D19" i="6"/>
  <c r="C19" i="6"/>
  <c r="O19" i="6" s="1"/>
  <c r="N18" i="6"/>
  <c r="M18" i="6"/>
  <c r="L18" i="6"/>
  <c r="K18" i="6"/>
  <c r="J18" i="6"/>
  <c r="I18" i="6"/>
  <c r="H18" i="6"/>
  <c r="G18" i="6"/>
  <c r="F18" i="6"/>
  <c r="E18" i="6"/>
  <c r="D18" i="6"/>
  <c r="C18" i="6"/>
  <c r="O18" i="6" s="1"/>
  <c r="N16" i="6"/>
  <c r="M16" i="6"/>
  <c r="L16" i="6"/>
  <c r="K16" i="6"/>
  <c r="J16" i="6"/>
  <c r="I16" i="6"/>
  <c r="H16" i="6"/>
  <c r="G16" i="6"/>
  <c r="F16" i="6"/>
  <c r="E16" i="6"/>
  <c r="D16" i="6"/>
  <c r="C16" i="6"/>
  <c r="O16" i="6" s="1"/>
  <c r="N15" i="6"/>
  <c r="M15" i="6"/>
  <c r="L15" i="6"/>
  <c r="K15" i="6"/>
  <c r="J15" i="6"/>
  <c r="I15" i="6"/>
  <c r="H15" i="6"/>
  <c r="G15" i="6"/>
  <c r="F15" i="6"/>
  <c r="E15" i="6"/>
  <c r="D15" i="6"/>
  <c r="C15" i="6"/>
  <c r="O15" i="6" s="1"/>
  <c r="N13" i="6"/>
  <c r="M13" i="6"/>
  <c r="L13" i="6"/>
  <c r="K13" i="6"/>
  <c r="J13" i="6"/>
  <c r="I13" i="6"/>
  <c r="H13" i="6"/>
  <c r="G13" i="6"/>
  <c r="F13" i="6"/>
  <c r="E13" i="6"/>
  <c r="D13" i="6"/>
  <c r="C13" i="6"/>
  <c r="O13" i="6" s="1"/>
  <c r="N12" i="6"/>
  <c r="M12" i="6"/>
  <c r="L12" i="6"/>
  <c r="K12" i="6"/>
  <c r="J12" i="6"/>
  <c r="I12" i="6"/>
  <c r="H12" i="6"/>
  <c r="G12" i="6"/>
  <c r="F12" i="6"/>
  <c r="E12" i="6"/>
  <c r="D12" i="6"/>
  <c r="C12" i="6"/>
  <c r="O12" i="6" s="1"/>
  <c r="O20" i="6"/>
  <c r="O17" i="6" l="1"/>
  <c r="P19" i="6"/>
  <c r="P17" i="6"/>
  <c r="O23" i="6"/>
  <c r="P22" i="6"/>
  <c r="O21" i="6"/>
  <c r="P16" i="6"/>
  <c r="P15" i="6"/>
  <c r="P13" i="6"/>
  <c r="P18" i="6"/>
  <c r="P12" i="6"/>
  <c r="I35" i="15" l="1"/>
  <c r="I31" i="15"/>
  <c r="I32" i="15"/>
  <c r="I33" i="15"/>
  <c r="I34" i="15"/>
  <c r="I30" i="15"/>
  <c r="G21" i="111" l="1"/>
  <c r="G18" i="111"/>
  <c r="G32" i="122" l="1"/>
  <c r="F43" i="16" l="1"/>
  <c r="F36" i="16" l="1"/>
  <c r="A15" i="9" l="1"/>
  <c r="A15" i="8"/>
  <c r="A69" i="7"/>
  <c r="O69" i="7"/>
  <c r="A70" i="6"/>
  <c r="O70" i="6"/>
  <c r="G46" i="124" l="1"/>
  <c r="G44" i="124" l="1"/>
  <c r="D46" i="11" l="1"/>
  <c r="F46" i="11" s="1"/>
  <c r="G47" i="122"/>
  <c r="K2" i="128" l="1"/>
  <c r="K1" i="128"/>
  <c r="K2" i="127"/>
  <c r="K1" i="127"/>
  <c r="K2" i="126"/>
  <c r="K1" i="126"/>
  <c r="K2" i="125"/>
  <c r="K1" i="125"/>
  <c r="K2" i="124"/>
  <c r="K1" i="124"/>
  <c r="K2" i="123"/>
  <c r="K1" i="123"/>
  <c r="K2" i="122"/>
  <c r="K1" i="122"/>
  <c r="H44" i="126" l="1"/>
  <c r="G20" i="110" l="1"/>
  <c r="G17" i="110"/>
  <c r="G14" i="110"/>
  <c r="G12" i="110"/>
  <c r="G25" i="112"/>
  <c r="G24" i="112"/>
  <c r="G16" i="112"/>
  <c r="G17" i="112"/>
  <c r="G18" i="112"/>
  <c r="G14" i="112"/>
  <c r="G12" i="112"/>
  <c r="G11" i="112"/>
  <c r="G30" i="113"/>
  <c r="G27" i="113"/>
  <c r="G26" i="113"/>
  <c r="G25" i="113"/>
  <c r="G19" i="113"/>
  <c r="G18" i="113"/>
  <c r="G17" i="113"/>
  <c r="G13" i="113"/>
  <c r="G12" i="113"/>
  <c r="G18" i="114"/>
  <c r="G17" i="114"/>
  <c r="G15" i="114"/>
  <c r="G12" i="114"/>
  <c r="G11" i="114"/>
  <c r="G17" i="111"/>
  <c r="G16" i="111"/>
  <c r="G23" i="111"/>
  <c r="G20" i="111"/>
  <c r="G19" i="111"/>
  <c r="G13" i="111"/>
  <c r="G12" i="111"/>
  <c r="G29" i="113" l="1"/>
  <c r="G28" i="113"/>
  <c r="G16" i="113"/>
  <c r="G15" i="113"/>
  <c r="G15" i="112"/>
  <c r="G38" i="123"/>
  <c r="G57" i="124" l="1"/>
  <c r="G56" i="124"/>
  <c r="G12" i="123" l="1"/>
  <c r="G45" i="122"/>
  <c r="G48" i="122"/>
  <c r="G50" i="122"/>
  <c r="G46" i="122"/>
  <c r="G44" i="122"/>
  <c r="G26" i="122"/>
  <c r="J33" i="128" l="1"/>
  <c r="I33" i="128"/>
  <c r="H33" i="128"/>
  <c r="H34" i="128" s="1"/>
  <c r="G32" i="128"/>
  <c r="G31" i="128"/>
  <c r="G30" i="128"/>
  <c r="G29" i="128"/>
  <c r="G28" i="128"/>
  <c r="G27" i="128"/>
  <c r="G26" i="128"/>
  <c r="G25" i="128"/>
  <c r="G24" i="128"/>
  <c r="G23" i="128"/>
  <c r="G22" i="128"/>
  <c r="G21" i="128"/>
  <c r="G19" i="128"/>
  <c r="G18" i="128"/>
  <c r="G17" i="128"/>
  <c r="G16" i="128"/>
  <c r="G15" i="128"/>
  <c r="G13" i="128"/>
  <c r="G12" i="128"/>
  <c r="G11" i="128"/>
  <c r="G71" i="127"/>
  <c r="G70" i="127"/>
  <c r="G69" i="127"/>
  <c r="G68" i="127"/>
  <c r="G67" i="127"/>
  <c r="G72" i="127" s="1"/>
  <c r="G49" i="127" s="1"/>
  <c r="D64" i="127"/>
  <c r="E47" i="127" s="1"/>
  <c r="G47" i="127" s="1"/>
  <c r="F61" i="127"/>
  <c r="D56" i="11" s="1"/>
  <c r="E61" i="127"/>
  <c r="D61" i="127"/>
  <c r="J44" i="127"/>
  <c r="I44" i="127"/>
  <c r="H44" i="127"/>
  <c r="G43" i="127"/>
  <c r="G42" i="127"/>
  <c r="G41" i="127"/>
  <c r="G40" i="127"/>
  <c r="G39" i="127"/>
  <c r="G38" i="127"/>
  <c r="G37" i="127"/>
  <c r="G36" i="127"/>
  <c r="G34" i="127"/>
  <c r="G33" i="127"/>
  <c r="G32" i="127"/>
  <c r="G31" i="127"/>
  <c r="G30" i="127"/>
  <c r="G29" i="127"/>
  <c r="G28" i="127"/>
  <c r="G27" i="127"/>
  <c r="G26" i="127"/>
  <c r="G25" i="127"/>
  <c r="G24" i="127"/>
  <c r="G23" i="127"/>
  <c r="G21" i="127"/>
  <c r="G20" i="127"/>
  <c r="G19" i="127"/>
  <c r="G18" i="127"/>
  <c r="G17" i="127"/>
  <c r="G16" i="127"/>
  <c r="G15" i="127"/>
  <c r="G14" i="127"/>
  <c r="G13" i="127"/>
  <c r="G12" i="127"/>
  <c r="G65" i="126"/>
  <c r="G64" i="126"/>
  <c r="G63" i="126"/>
  <c r="G62" i="126"/>
  <c r="G61" i="126"/>
  <c r="F55" i="126"/>
  <c r="D53" i="11" s="1"/>
  <c r="E55" i="126"/>
  <c r="E58" i="126" s="1"/>
  <c r="G41" i="126" s="1"/>
  <c r="D55" i="126"/>
  <c r="D58" i="126" s="1"/>
  <c r="E40" i="126" s="1"/>
  <c r="G40" i="126" s="1"/>
  <c r="J37" i="126"/>
  <c r="J38" i="126" s="1"/>
  <c r="I37" i="126"/>
  <c r="I39" i="126" s="1"/>
  <c r="H37" i="126"/>
  <c r="H38" i="126" s="1"/>
  <c r="G35" i="126"/>
  <c r="G34" i="126"/>
  <c r="G33" i="126"/>
  <c r="G32" i="126"/>
  <c r="G31" i="126"/>
  <c r="G30" i="126"/>
  <c r="G29" i="126"/>
  <c r="G27" i="126"/>
  <c r="G25" i="126"/>
  <c r="G24" i="126"/>
  <c r="G23" i="126"/>
  <c r="G22" i="126"/>
  <c r="G21" i="126"/>
  <c r="G20" i="126"/>
  <c r="G19" i="126"/>
  <c r="G18" i="126"/>
  <c r="G17" i="126"/>
  <c r="G16" i="126"/>
  <c r="G15" i="126"/>
  <c r="G14" i="126"/>
  <c r="G13" i="126"/>
  <c r="G12" i="126"/>
  <c r="G47" i="125"/>
  <c r="G46" i="125"/>
  <c r="G45" i="125"/>
  <c r="G44" i="125"/>
  <c r="G43" i="125"/>
  <c r="G48" i="125" s="1"/>
  <c r="G26" i="125" s="1"/>
  <c r="F37" i="125"/>
  <c r="E37" i="125"/>
  <c r="E40" i="125" s="1"/>
  <c r="G25" i="125" s="1"/>
  <c r="D37" i="125"/>
  <c r="D40" i="125" s="1"/>
  <c r="E24" i="125" s="1"/>
  <c r="G24" i="125" s="1"/>
  <c r="H22" i="125"/>
  <c r="J21" i="125"/>
  <c r="I21" i="125"/>
  <c r="H21" i="125"/>
  <c r="G20" i="125"/>
  <c r="G19" i="125"/>
  <c r="G18" i="125"/>
  <c r="G17" i="125"/>
  <c r="G16" i="125"/>
  <c r="G15" i="125"/>
  <c r="G14" i="125"/>
  <c r="G13" i="125"/>
  <c r="G12" i="125"/>
  <c r="G88" i="124"/>
  <c r="G87" i="124"/>
  <c r="G86" i="124"/>
  <c r="G85" i="124"/>
  <c r="G84" i="124"/>
  <c r="G89" i="124" s="1"/>
  <c r="G64" i="124" s="1"/>
  <c r="F78" i="124"/>
  <c r="D45" i="11" s="1"/>
  <c r="E78" i="124"/>
  <c r="E81" i="124" s="1"/>
  <c r="G63" i="124" s="1"/>
  <c r="D78" i="124"/>
  <c r="D81" i="124" s="1"/>
  <c r="E62" i="124" s="1"/>
  <c r="G62" i="124" s="1"/>
  <c r="J59" i="124"/>
  <c r="I59" i="124"/>
  <c r="H59" i="124"/>
  <c r="G58" i="124"/>
  <c r="G55" i="124"/>
  <c r="G54" i="124"/>
  <c r="G53" i="124"/>
  <c r="G51" i="124"/>
  <c r="G50" i="124"/>
  <c r="G49" i="124"/>
  <c r="G48" i="124"/>
  <c r="G47" i="124"/>
  <c r="G45" i="124"/>
  <c r="G43" i="124"/>
  <c r="G42" i="124"/>
  <c r="G41" i="124"/>
  <c r="G40" i="124"/>
  <c r="G39" i="124"/>
  <c r="G38" i="124"/>
  <c r="G37" i="124"/>
  <c r="G36" i="124"/>
  <c r="G35" i="124"/>
  <c r="G34" i="124"/>
  <c r="G33" i="124"/>
  <c r="G32" i="124"/>
  <c r="G31" i="124"/>
  <c r="G30" i="124"/>
  <c r="G29" i="124"/>
  <c r="G28" i="124"/>
  <c r="G27" i="124"/>
  <c r="G26" i="124"/>
  <c r="G25" i="124"/>
  <c r="G24" i="124"/>
  <c r="G23" i="124"/>
  <c r="G22" i="124"/>
  <c r="G21" i="124"/>
  <c r="G20" i="124"/>
  <c r="G19" i="124"/>
  <c r="G18" i="124"/>
  <c r="G17" i="124"/>
  <c r="G16" i="124"/>
  <c r="G15" i="124"/>
  <c r="G14" i="124"/>
  <c r="G13" i="124"/>
  <c r="G12" i="124"/>
  <c r="G11" i="124"/>
  <c r="J44" i="123"/>
  <c r="J45" i="123" s="1"/>
  <c r="I45" i="123"/>
  <c r="H44" i="123"/>
  <c r="H45" i="123" s="1"/>
  <c r="G43" i="123"/>
  <c r="G42" i="123"/>
  <c r="G41" i="123"/>
  <c r="G40" i="123"/>
  <c r="G39" i="123"/>
  <c r="G36" i="123"/>
  <c r="G34" i="123"/>
  <c r="G33" i="123"/>
  <c r="G32" i="123"/>
  <c r="G31" i="123"/>
  <c r="G30" i="123"/>
  <c r="G29" i="123"/>
  <c r="G28" i="123"/>
  <c r="G27" i="123"/>
  <c r="G26" i="123"/>
  <c r="G25" i="123"/>
  <c r="G24" i="123"/>
  <c r="G23" i="123"/>
  <c r="G22" i="123"/>
  <c r="G21" i="123"/>
  <c r="G18" i="123"/>
  <c r="G17" i="123"/>
  <c r="G16" i="123"/>
  <c r="G15" i="123"/>
  <c r="G14" i="123"/>
  <c r="G13" i="123"/>
  <c r="G88" i="122"/>
  <c r="G87" i="122"/>
  <c r="G86" i="122"/>
  <c r="G85" i="122"/>
  <c r="G84" i="122"/>
  <c r="F78" i="122"/>
  <c r="D44" i="11" s="1"/>
  <c r="E78" i="122"/>
  <c r="E81" i="122" s="1"/>
  <c r="G60" i="122" s="1"/>
  <c r="D78" i="122"/>
  <c r="D81" i="122" s="1"/>
  <c r="J56" i="122"/>
  <c r="I56" i="122"/>
  <c r="H56" i="122"/>
  <c r="H57" i="122" s="1"/>
  <c r="G54" i="122"/>
  <c r="G53" i="122"/>
  <c r="G52" i="122"/>
  <c r="G51" i="122"/>
  <c r="G49" i="122"/>
  <c r="G43" i="122"/>
  <c r="G42" i="122"/>
  <c r="T41" i="122"/>
  <c r="S41" i="122"/>
  <c r="R41" i="122"/>
  <c r="Q41" i="122"/>
  <c r="P41" i="122"/>
  <c r="G41" i="122"/>
  <c r="T40" i="122"/>
  <c r="S40" i="122"/>
  <c r="R40" i="122"/>
  <c r="Q40" i="122"/>
  <c r="P40" i="122"/>
  <c r="G40" i="122"/>
  <c r="T39" i="122"/>
  <c r="S39" i="122"/>
  <c r="R39" i="122"/>
  <c r="Q39" i="122"/>
  <c r="P39" i="122"/>
  <c r="G39" i="122"/>
  <c r="G38" i="122"/>
  <c r="G37" i="122"/>
  <c r="G36" i="122"/>
  <c r="G35" i="122"/>
  <c r="G34" i="122"/>
  <c r="G33" i="122"/>
  <c r="G30" i="122"/>
  <c r="G29" i="122"/>
  <c r="G28" i="122"/>
  <c r="G27" i="122"/>
  <c r="G25" i="122"/>
  <c r="G24" i="122"/>
  <c r="G23" i="122"/>
  <c r="G22" i="122"/>
  <c r="G21" i="122"/>
  <c r="G20" i="122"/>
  <c r="G19" i="122"/>
  <c r="G18" i="122"/>
  <c r="G17" i="122"/>
  <c r="G16" i="122"/>
  <c r="G15" i="122"/>
  <c r="G14" i="122"/>
  <c r="G13" i="122"/>
  <c r="G12" i="122"/>
  <c r="E59" i="122" l="1"/>
  <c r="G59" i="122" s="1"/>
  <c r="G56" i="122"/>
  <c r="G58" i="122" s="1"/>
  <c r="E64" i="127"/>
  <c r="G48" i="127" s="1"/>
  <c r="G44" i="127"/>
  <c r="H46" i="127"/>
  <c r="I46" i="127"/>
  <c r="J46" i="127"/>
  <c r="J39" i="126"/>
  <c r="J43" i="126"/>
  <c r="J44" i="126" s="1"/>
  <c r="I38" i="126"/>
  <c r="I43" i="126" s="1"/>
  <c r="G66" i="126"/>
  <c r="G42" i="126" s="1"/>
  <c r="G21" i="125"/>
  <c r="G23" i="125" s="1"/>
  <c r="G89" i="122"/>
  <c r="G61" i="122" s="1"/>
  <c r="G44" i="123"/>
  <c r="J46" i="123"/>
  <c r="J47" i="123" s="1"/>
  <c r="G37" i="126"/>
  <c r="G39" i="126" s="1"/>
  <c r="G59" i="124"/>
  <c r="G61" i="124" s="1"/>
  <c r="H45" i="127"/>
  <c r="G33" i="128"/>
  <c r="G34" i="128" s="1"/>
  <c r="I34" i="128"/>
  <c r="I36" i="128" s="1"/>
  <c r="I35" i="128"/>
  <c r="H39" i="126"/>
  <c r="H43" i="126" s="1"/>
  <c r="J34" i="128"/>
  <c r="J36" i="128" s="1"/>
  <c r="H35" i="128"/>
  <c r="H36" i="128" s="1"/>
  <c r="J35" i="128"/>
  <c r="I45" i="127"/>
  <c r="J45" i="127"/>
  <c r="I22" i="125"/>
  <c r="J22" i="125"/>
  <c r="J27" i="125" s="1"/>
  <c r="J28" i="125" s="1"/>
  <c r="H23" i="125"/>
  <c r="H27" i="125" s="1"/>
  <c r="I23" i="125"/>
  <c r="J23" i="125"/>
  <c r="H60" i="124"/>
  <c r="J60" i="124"/>
  <c r="J65" i="124" s="1"/>
  <c r="J66" i="124" s="1"/>
  <c r="H61" i="124"/>
  <c r="I61" i="124"/>
  <c r="I60" i="124"/>
  <c r="J61" i="124"/>
  <c r="H46" i="123"/>
  <c r="H47" i="123" s="1"/>
  <c r="I46" i="123"/>
  <c r="I47" i="123" s="1"/>
  <c r="J57" i="122"/>
  <c r="H58" i="122"/>
  <c r="H62" i="122" s="1"/>
  <c r="I57" i="122"/>
  <c r="I58" i="122"/>
  <c r="J58" i="122"/>
  <c r="G35" i="128" l="1"/>
  <c r="G36" i="128" s="1"/>
  <c r="H50" i="127"/>
  <c r="H51" i="127" s="1"/>
  <c r="H53" i="127" s="1"/>
  <c r="G45" i="127"/>
  <c r="G46" i="127"/>
  <c r="G46" i="123"/>
  <c r="G45" i="123"/>
  <c r="C38" i="5"/>
  <c r="C7" i="5"/>
  <c r="I44" i="126"/>
  <c r="I45" i="126" s="1"/>
  <c r="J45" i="126"/>
  <c r="G22" i="125"/>
  <c r="G27" i="125" s="1"/>
  <c r="G28" i="125" s="1"/>
  <c r="G29" i="125" s="1"/>
  <c r="I27" i="125"/>
  <c r="G38" i="126"/>
  <c r="G43" i="126" s="1"/>
  <c r="I62" i="122"/>
  <c r="I63" i="122" s="1"/>
  <c r="I64" i="122" s="1"/>
  <c r="J62" i="122"/>
  <c r="J63" i="122" s="1"/>
  <c r="J64" i="122" s="1"/>
  <c r="G57" i="122"/>
  <c r="G62" i="122" s="1"/>
  <c r="G60" i="124"/>
  <c r="G65" i="124" s="1"/>
  <c r="H45" i="126"/>
  <c r="C29" i="5" s="1"/>
  <c r="J50" i="127"/>
  <c r="I50" i="127"/>
  <c r="H28" i="125"/>
  <c r="H29" i="125" s="1"/>
  <c r="J29" i="125"/>
  <c r="J67" i="124"/>
  <c r="I65" i="124"/>
  <c r="H65" i="124"/>
  <c r="H63" i="122"/>
  <c r="H64" i="122" s="1"/>
  <c r="G50" i="127" l="1"/>
  <c r="G51" i="127" s="1"/>
  <c r="G53" i="127" s="1"/>
  <c r="G47" i="123"/>
  <c r="I51" i="127"/>
  <c r="I53" i="127" s="1"/>
  <c r="J51" i="127"/>
  <c r="J53" i="127" s="1"/>
  <c r="C6" i="5"/>
  <c r="I28" i="125"/>
  <c r="I29" i="125" s="1"/>
  <c r="C10" i="5" s="1"/>
  <c r="G63" i="122"/>
  <c r="G64" i="122" s="1"/>
  <c r="G66" i="124"/>
  <c r="G67" i="124" s="1"/>
  <c r="G44" i="126"/>
  <c r="G45" i="126" s="1"/>
  <c r="H66" i="124"/>
  <c r="H67" i="124" s="1"/>
  <c r="I66" i="124"/>
  <c r="I67" i="124" s="1"/>
  <c r="P10" i="5" l="1"/>
  <c r="B69" i="7"/>
  <c r="B17" i="7"/>
  <c r="C33" i="5"/>
  <c r="C8" i="5"/>
  <c r="E19" i="121"/>
  <c r="E16" i="121"/>
  <c r="E13" i="121"/>
  <c r="E10" i="121"/>
  <c r="E7" i="121"/>
  <c r="E4" i="121"/>
  <c r="B15" i="9" l="1"/>
  <c r="B15" i="8"/>
  <c r="B17" i="6"/>
  <c r="B70" i="6"/>
  <c r="E22" i="121"/>
  <c r="G22" i="121" s="1"/>
  <c r="E40" i="118"/>
  <c r="E36" i="118"/>
  <c r="E32" i="118"/>
  <c r="E28" i="118"/>
  <c r="E24" i="118"/>
  <c r="E20" i="118"/>
  <c r="E16" i="118"/>
  <c r="E12" i="118"/>
  <c r="E8" i="118"/>
  <c r="E4" i="118"/>
  <c r="E44" i="118" l="1"/>
  <c r="G44" i="118" s="1"/>
  <c r="F55" i="26"/>
  <c r="G27" i="112" l="1"/>
  <c r="G26" i="112"/>
  <c r="G24" i="17" l="1"/>
  <c r="F24" i="17"/>
  <c r="I82" i="38" l="1"/>
  <c r="F82" i="38"/>
  <c r="F81" i="38"/>
  <c r="F80" i="38"/>
  <c r="I79" i="38"/>
  <c r="F79" i="38"/>
  <c r="F78" i="38"/>
  <c r="F77" i="38"/>
  <c r="F76" i="38"/>
  <c r="F75" i="38"/>
  <c r="F74" i="38"/>
  <c r="F71" i="38"/>
  <c r="F70" i="38"/>
  <c r="F69" i="38"/>
  <c r="F68" i="38"/>
  <c r="F67" i="38"/>
  <c r="F66" i="38"/>
  <c r="E66" i="38"/>
  <c r="F65" i="38"/>
  <c r="F64" i="38"/>
  <c r="F63" i="38"/>
  <c r="F62" i="38"/>
  <c r="F61" i="38"/>
  <c r="F60" i="38"/>
  <c r="F59" i="38"/>
  <c r="F58" i="38"/>
  <c r="F57" i="38"/>
  <c r="F56" i="38"/>
  <c r="F55" i="38"/>
  <c r="F54" i="38"/>
  <c r="F53" i="38"/>
  <c r="F52" i="38"/>
  <c r="F51" i="38"/>
  <c r="F50" i="38"/>
  <c r="F49" i="38"/>
  <c r="F48" i="38"/>
  <c r="F47" i="38"/>
  <c r="F46" i="38"/>
  <c r="F45" i="38"/>
  <c r="F44" i="38"/>
  <c r="F43" i="38"/>
  <c r="F42" i="38"/>
  <c r="F41" i="38"/>
  <c r="F40" i="38"/>
  <c r="F39" i="38"/>
  <c r="F37" i="38"/>
  <c r="F36" i="38"/>
  <c r="F35" i="38"/>
  <c r="F34" i="38"/>
  <c r="F33" i="38"/>
  <c r="F32" i="38"/>
  <c r="F31" i="38"/>
  <c r="F30" i="38"/>
  <c r="F29" i="38"/>
  <c r="F28" i="38"/>
  <c r="F27" i="38"/>
  <c r="F26" i="38"/>
  <c r="F25" i="38"/>
  <c r="F24" i="38"/>
  <c r="F23" i="38"/>
  <c r="F22" i="38"/>
  <c r="F21" i="38"/>
  <c r="F20" i="38"/>
  <c r="F19" i="38"/>
  <c r="F18" i="38"/>
  <c r="F17" i="38"/>
  <c r="F16" i="38"/>
  <c r="F15" i="38"/>
  <c r="F14" i="38"/>
  <c r="F13" i="38"/>
  <c r="F12" i="38"/>
  <c r="F11" i="38"/>
  <c r="I2" i="38"/>
  <c r="I1" i="38"/>
  <c r="I45" i="44"/>
  <c r="F45" i="44"/>
  <c r="F44" i="44"/>
  <c r="F43" i="44"/>
  <c r="I42" i="44"/>
  <c r="F42" i="44"/>
  <c r="F41" i="44"/>
  <c r="F40" i="44"/>
  <c r="F39" i="44"/>
  <c r="F38" i="44"/>
  <c r="F37" i="44"/>
  <c r="F34" i="44"/>
  <c r="F33" i="44"/>
  <c r="F32" i="44"/>
  <c r="F31" i="44"/>
  <c r="F30" i="44"/>
  <c r="F29" i="44"/>
  <c r="E29" i="44"/>
  <c r="F28" i="44"/>
  <c r="F27" i="44"/>
  <c r="F26" i="44"/>
  <c r="F25" i="44"/>
  <c r="F24" i="44"/>
  <c r="E23" i="44"/>
  <c r="F21" i="44"/>
  <c r="F20" i="44"/>
  <c r="F19" i="44"/>
  <c r="F18" i="44"/>
  <c r="F17" i="44"/>
  <c r="F16" i="44"/>
  <c r="F15" i="44"/>
  <c r="F14" i="44"/>
  <c r="F13" i="44"/>
  <c r="F12" i="44"/>
  <c r="F11" i="44"/>
  <c r="F10" i="44"/>
  <c r="I2" i="44"/>
  <c r="I1" i="44"/>
  <c r="I31" i="40"/>
  <c r="F31" i="40"/>
  <c r="F30" i="40"/>
  <c r="F29" i="40"/>
  <c r="I28" i="40"/>
  <c r="F28" i="40"/>
  <c r="F27" i="40"/>
  <c r="F26" i="40"/>
  <c r="F25" i="40"/>
  <c r="F24" i="40"/>
  <c r="F21" i="40"/>
  <c r="F20" i="40"/>
  <c r="F19" i="40"/>
  <c r="F18" i="40"/>
  <c r="F17" i="40"/>
  <c r="F16" i="40"/>
  <c r="E16" i="40"/>
  <c r="F15" i="40"/>
  <c r="F14" i="40"/>
  <c r="F13" i="40"/>
  <c r="F12" i="40"/>
  <c r="F11" i="40"/>
  <c r="F10" i="40"/>
  <c r="I2" i="40"/>
  <c r="I1" i="40"/>
  <c r="M230" i="39"/>
  <c r="J230" i="39"/>
  <c r="I230" i="39"/>
  <c r="J229" i="39"/>
  <c r="I229" i="39"/>
  <c r="H229" i="39"/>
  <c r="G229" i="39"/>
  <c r="F229" i="39"/>
  <c r="E229" i="39"/>
  <c r="D229" i="39"/>
  <c r="C229" i="39"/>
  <c r="J228" i="39"/>
  <c r="I228" i="39"/>
  <c r="H228" i="39"/>
  <c r="G228" i="39"/>
  <c r="F228" i="39"/>
  <c r="E228" i="39"/>
  <c r="D228" i="39"/>
  <c r="C228" i="39"/>
  <c r="M227" i="39"/>
  <c r="J227" i="39"/>
  <c r="I227" i="39"/>
  <c r="J226" i="39"/>
  <c r="I226" i="39"/>
  <c r="H226" i="39"/>
  <c r="G226" i="39"/>
  <c r="F226" i="39"/>
  <c r="E226" i="39"/>
  <c r="D226" i="39"/>
  <c r="C226" i="39"/>
  <c r="J225" i="39"/>
  <c r="I225" i="39"/>
  <c r="H225" i="39"/>
  <c r="G225" i="39"/>
  <c r="F225" i="39"/>
  <c r="E225" i="39"/>
  <c r="D225" i="39"/>
  <c r="C225" i="39"/>
  <c r="J224" i="39"/>
  <c r="I224" i="39"/>
  <c r="H224" i="39"/>
  <c r="G224" i="39"/>
  <c r="F224" i="39"/>
  <c r="E224" i="39"/>
  <c r="D224" i="39"/>
  <c r="C224" i="39"/>
  <c r="J223" i="39"/>
  <c r="I223" i="39"/>
  <c r="H223" i="39"/>
  <c r="G223" i="39"/>
  <c r="F223" i="39"/>
  <c r="E223" i="39"/>
  <c r="D223" i="39"/>
  <c r="C223" i="39"/>
  <c r="I217" i="39"/>
  <c r="H217" i="39"/>
  <c r="I215" i="39"/>
  <c r="I214" i="39"/>
  <c r="I213" i="39"/>
  <c r="I212" i="39"/>
  <c r="I211" i="39"/>
  <c r="I210" i="39"/>
  <c r="H210" i="39"/>
  <c r="I209" i="39"/>
  <c r="H209" i="39"/>
  <c r="I208" i="39"/>
  <c r="I207" i="39"/>
  <c r="I206" i="39"/>
  <c r="I205" i="39"/>
  <c r="I204" i="39"/>
  <c r="I203" i="39"/>
  <c r="I202" i="39"/>
  <c r="I201" i="39"/>
  <c r="I200" i="39"/>
  <c r="I199" i="39"/>
  <c r="I197" i="39"/>
  <c r="I196" i="39"/>
  <c r="H196" i="39"/>
  <c r="I195" i="39"/>
  <c r="A195" i="39"/>
  <c r="I194" i="39"/>
  <c r="A194" i="39"/>
  <c r="I193" i="39"/>
  <c r="A193" i="39"/>
  <c r="I192" i="39"/>
  <c r="A192" i="39"/>
  <c r="I191" i="39"/>
  <c r="A191" i="39"/>
  <c r="I190" i="39"/>
  <c r="H190" i="39"/>
  <c r="A190" i="39"/>
  <c r="I189" i="39"/>
  <c r="H189" i="39"/>
  <c r="A189" i="39"/>
  <c r="I188" i="39"/>
  <c r="H188" i="39"/>
  <c r="A188" i="39"/>
  <c r="I187" i="39"/>
  <c r="H187" i="39"/>
  <c r="A187" i="39"/>
  <c r="I186" i="39"/>
  <c r="H186" i="39"/>
  <c r="A186" i="39"/>
  <c r="I185" i="39"/>
  <c r="H185" i="39"/>
  <c r="A185" i="39"/>
  <c r="I184" i="39"/>
  <c r="H184" i="39"/>
  <c r="A184" i="39"/>
  <c r="I183" i="39"/>
  <c r="H183" i="39"/>
  <c r="A183" i="39"/>
  <c r="I182" i="39"/>
  <c r="H182" i="39"/>
  <c r="A182" i="39"/>
  <c r="I181" i="39"/>
  <c r="H181" i="39"/>
  <c r="A181" i="39"/>
  <c r="I180" i="39"/>
  <c r="H180" i="39"/>
  <c r="A180" i="39"/>
  <c r="I179" i="39"/>
  <c r="H179" i="39"/>
  <c r="A179" i="39"/>
  <c r="I178" i="39"/>
  <c r="H178" i="39"/>
  <c r="A178" i="39"/>
  <c r="I177" i="39"/>
  <c r="H177" i="39"/>
  <c r="A177" i="39"/>
  <c r="I176" i="39"/>
  <c r="H176" i="39"/>
  <c r="A176" i="39"/>
  <c r="I175" i="39"/>
  <c r="H175" i="39"/>
  <c r="I173" i="39"/>
  <c r="H173" i="39"/>
  <c r="I172" i="39"/>
  <c r="I171" i="39"/>
  <c r="I170" i="39"/>
  <c r="I169" i="39"/>
  <c r="I168" i="39"/>
  <c r="I167" i="39"/>
  <c r="I166" i="39"/>
  <c r="I165" i="39"/>
  <c r="I164" i="39"/>
  <c r="I163" i="39"/>
  <c r="I161" i="39"/>
  <c r="I160" i="39"/>
  <c r="H160" i="39"/>
  <c r="I159" i="39"/>
  <c r="A159" i="39"/>
  <c r="I158" i="39"/>
  <c r="A158" i="39"/>
  <c r="I157" i="39"/>
  <c r="A157" i="39"/>
  <c r="I156" i="39"/>
  <c r="H156" i="39"/>
  <c r="A156" i="39"/>
  <c r="I155" i="39"/>
  <c r="H155" i="39"/>
  <c r="A155" i="39"/>
  <c r="I154" i="39"/>
  <c r="H154" i="39"/>
  <c r="A154" i="39"/>
  <c r="I153" i="39"/>
  <c r="H153" i="39"/>
  <c r="A153" i="39"/>
  <c r="I152" i="39"/>
  <c r="H152" i="39"/>
  <c r="I150" i="39"/>
  <c r="H150" i="39"/>
  <c r="I149" i="39"/>
  <c r="I148" i="39"/>
  <c r="I147" i="39"/>
  <c r="I146" i="39"/>
  <c r="I145" i="39"/>
  <c r="I144" i="39"/>
  <c r="I143" i="39"/>
  <c r="I142" i="39"/>
  <c r="I141" i="39"/>
  <c r="I140" i="39"/>
  <c r="I138" i="39"/>
  <c r="I137" i="39"/>
  <c r="H137" i="39"/>
  <c r="I136" i="39"/>
  <c r="A136" i="39"/>
  <c r="I135" i="39"/>
  <c r="A135" i="39"/>
  <c r="I134" i="39"/>
  <c r="A134" i="39"/>
  <c r="I133" i="39"/>
  <c r="H133" i="39"/>
  <c r="A133" i="39"/>
  <c r="I132" i="39"/>
  <c r="H132" i="39"/>
  <c r="A132" i="39"/>
  <c r="I131" i="39"/>
  <c r="H131" i="39"/>
  <c r="A131" i="39"/>
  <c r="I130" i="39"/>
  <c r="H130" i="39"/>
  <c r="A130" i="39"/>
  <c r="I129" i="39"/>
  <c r="H129" i="39"/>
  <c r="A129" i="39"/>
  <c r="I128" i="39"/>
  <c r="H128" i="39"/>
  <c r="A128" i="39"/>
  <c r="I127" i="39"/>
  <c r="H127" i="39"/>
  <c r="I125" i="39"/>
  <c r="H125" i="39"/>
  <c r="I124" i="39"/>
  <c r="I123" i="39"/>
  <c r="I122" i="39"/>
  <c r="I121" i="39"/>
  <c r="I120" i="39"/>
  <c r="I119" i="39"/>
  <c r="I118" i="39"/>
  <c r="I117" i="39"/>
  <c r="I116" i="39"/>
  <c r="I115" i="39"/>
  <c r="I113" i="39"/>
  <c r="I112" i="39"/>
  <c r="H112" i="39"/>
  <c r="I111" i="39"/>
  <c r="A111" i="39"/>
  <c r="I110" i="39"/>
  <c r="A110" i="39"/>
  <c r="I109" i="39"/>
  <c r="A109" i="39"/>
  <c r="I108" i="39"/>
  <c r="A108" i="39"/>
  <c r="I107" i="39"/>
  <c r="H107" i="39"/>
  <c r="A107" i="39"/>
  <c r="I106" i="39"/>
  <c r="H106" i="39"/>
  <c r="A106" i="39"/>
  <c r="I105" i="39"/>
  <c r="H105" i="39"/>
  <c r="A105" i="39"/>
  <c r="I104" i="39"/>
  <c r="H104" i="39"/>
  <c r="A104" i="39"/>
  <c r="I103" i="39"/>
  <c r="H103" i="39"/>
  <c r="A103" i="39"/>
  <c r="I102" i="39"/>
  <c r="H102" i="39"/>
  <c r="A102" i="39"/>
  <c r="I101" i="39"/>
  <c r="H101" i="39"/>
  <c r="A101" i="39"/>
  <c r="I100" i="39"/>
  <c r="H100" i="39"/>
  <c r="A100" i="39"/>
  <c r="I99" i="39"/>
  <c r="H99" i="39"/>
  <c r="A99" i="39"/>
  <c r="I98" i="39"/>
  <c r="H98" i="39"/>
  <c r="I96" i="39"/>
  <c r="H96" i="39"/>
  <c r="I95" i="39"/>
  <c r="I94" i="39"/>
  <c r="I93" i="39"/>
  <c r="I92" i="39"/>
  <c r="I91" i="39"/>
  <c r="I90" i="39"/>
  <c r="I89" i="39"/>
  <c r="I88" i="39"/>
  <c r="I87" i="39"/>
  <c r="I86" i="39"/>
  <c r="I84" i="39"/>
  <c r="I83" i="39"/>
  <c r="H83" i="39"/>
  <c r="I82" i="39"/>
  <c r="A82" i="39"/>
  <c r="I81" i="39"/>
  <c r="A81" i="39"/>
  <c r="I80" i="39"/>
  <c r="A80" i="39"/>
  <c r="I79" i="39"/>
  <c r="H79" i="39"/>
  <c r="A79" i="39"/>
  <c r="I78" i="39"/>
  <c r="H78" i="39"/>
  <c r="A78" i="39"/>
  <c r="I77" i="39"/>
  <c r="H77" i="39"/>
  <c r="A77" i="39"/>
  <c r="I76" i="39"/>
  <c r="H76" i="39"/>
  <c r="A76" i="39"/>
  <c r="I75" i="39"/>
  <c r="H75" i="39"/>
  <c r="A75" i="39"/>
  <c r="I74" i="39"/>
  <c r="H74" i="39"/>
  <c r="A74" i="39"/>
  <c r="I73" i="39"/>
  <c r="H73" i="39"/>
  <c r="A73" i="39"/>
  <c r="I72" i="39"/>
  <c r="H72" i="39"/>
  <c r="A72" i="39"/>
  <c r="I71" i="39"/>
  <c r="H71" i="39"/>
  <c r="A71" i="39"/>
  <c r="I70" i="39"/>
  <c r="H70" i="39"/>
  <c r="A70" i="39"/>
  <c r="I69" i="39"/>
  <c r="H69" i="39"/>
  <c r="A69" i="39"/>
  <c r="I68" i="39"/>
  <c r="H68" i="39"/>
  <c r="A68" i="39"/>
  <c r="I67" i="39"/>
  <c r="H67" i="39"/>
  <c r="A67" i="39"/>
  <c r="I66" i="39"/>
  <c r="H66" i="39"/>
  <c r="A66" i="39"/>
  <c r="I65" i="39"/>
  <c r="H65" i="39"/>
  <c r="A65" i="39"/>
  <c r="I64" i="39"/>
  <c r="H64" i="39"/>
  <c r="A64" i="39"/>
  <c r="I63" i="39"/>
  <c r="H63" i="39"/>
  <c r="A63" i="39"/>
  <c r="I62" i="39"/>
  <c r="H62" i="39"/>
  <c r="A62" i="39"/>
  <c r="I61" i="39"/>
  <c r="H61" i="39"/>
  <c r="A61" i="39"/>
  <c r="I60" i="39"/>
  <c r="H60" i="39"/>
  <c r="A60" i="39"/>
  <c r="I59" i="39"/>
  <c r="H59" i="39"/>
  <c r="A59" i="39"/>
  <c r="I58" i="39"/>
  <c r="H58" i="39"/>
  <c r="I56" i="39"/>
  <c r="H56" i="39"/>
  <c r="I55" i="39"/>
  <c r="I54" i="39"/>
  <c r="I53" i="39"/>
  <c r="I52" i="39"/>
  <c r="I51" i="39"/>
  <c r="I50" i="39"/>
  <c r="I49" i="39"/>
  <c r="I48" i="39"/>
  <c r="I47" i="39"/>
  <c r="I46" i="39"/>
  <c r="A45" i="39"/>
  <c r="I44" i="39"/>
  <c r="A44" i="39"/>
  <c r="I43" i="39"/>
  <c r="H43" i="39"/>
  <c r="I42" i="39"/>
  <c r="A42" i="39"/>
  <c r="I41" i="39"/>
  <c r="A41" i="39"/>
  <c r="I40" i="39"/>
  <c r="A40" i="39"/>
  <c r="I39" i="39"/>
  <c r="A39" i="39"/>
  <c r="I38" i="39"/>
  <c r="A38" i="39"/>
  <c r="I37" i="39"/>
  <c r="H37" i="39"/>
  <c r="A37" i="39"/>
  <c r="I36" i="39"/>
  <c r="H36" i="39"/>
  <c r="A36" i="39"/>
  <c r="I35" i="39"/>
  <c r="H35" i="39"/>
  <c r="A35" i="39"/>
  <c r="I34" i="39"/>
  <c r="H34" i="39"/>
  <c r="A34" i="39"/>
  <c r="I33" i="39"/>
  <c r="H33" i="39"/>
  <c r="A33" i="39"/>
  <c r="I32" i="39"/>
  <c r="H32" i="39"/>
  <c r="A32" i="39"/>
  <c r="I31" i="39"/>
  <c r="H31" i="39"/>
  <c r="A31" i="39"/>
  <c r="I30" i="39"/>
  <c r="H30" i="39"/>
  <c r="A30" i="39"/>
  <c r="I29" i="39"/>
  <c r="H29" i="39"/>
  <c r="A29" i="39"/>
  <c r="I28" i="39"/>
  <c r="H28" i="39"/>
  <c r="A28" i="39"/>
  <c r="I27" i="39"/>
  <c r="H27" i="39"/>
  <c r="A27" i="39"/>
  <c r="I26" i="39"/>
  <c r="H26" i="39"/>
  <c r="A26" i="39"/>
  <c r="I25" i="39"/>
  <c r="H25" i="39"/>
  <c r="A25" i="39"/>
  <c r="I24" i="39"/>
  <c r="H24" i="39"/>
  <c r="A24" i="39"/>
  <c r="I23" i="39"/>
  <c r="H23" i="39"/>
  <c r="A23" i="39"/>
  <c r="I22" i="39"/>
  <c r="H22" i="39"/>
  <c r="A22" i="39"/>
  <c r="I21" i="39"/>
  <c r="H21" i="39"/>
  <c r="A21" i="39"/>
  <c r="I20" i="39"/>
  <c r="H20" i="39"/>
  <c r="I19" i="39"/>
  <c r="H19" i="39"/>
  <c r="A19" i="39"/>
  <c r="I18" i="39"/>
  <c r="H18" i="39"/>
  <c r="A18" i="39"/>
  <c r="I17" i="39"/>
  <c r="H17" i="39"/>
  <c r="A17" i="39"/>
  <c r="I16" i="39"/>
  <c r="H16" i="39"/>
  <c r="A16" i="39"/>
  <c r="I15" i="39"/>
  <c r="H15" i="39"/>
  <c r="A15" i="39"/>
  <c r="I14" i="39"/>
  <c r="H14" i="39"/>
  <c r="A14" i="39"/>
  <c r="I13" i="39"/>
  <c r="H13" i="39"/>
  <c r="A13" i="39"/>
  <c r="I12" i="39"/>
  <c r="H12" i="39"/>
  <c r="A12" i="39"/>
  <c r="I11" i="39"/>
  <c r="H11" i="39"/>
  <c r="M2" i="39"/>
  <c r="M1" i="39"/>
  <c r="M94" i="50"/>
  <c r="G94" i="50"/>
  <c r="G93" i="50"/>
  <c r="G92" i="50"/>
  <c r="M91" i="50"/>
  <c r="G91" i="50"/>
  <c r="G90" i="50"/>
  <c r="G89" i="50"/>
  <c r="K85" i="50"/>
  <c r="K83" i="50"/>
  <c r="K81" i="50"/>
  <c r="K79" i="50"/>
  <c r="K76" i="50"/>
  <c r="K73" i="50"/>
  <c r="K70" i="50"/>
  <c r="K69" i="50"/>
  <c r="K67" i="50"/>
  <c r="K66" i="50"/>
  <c r="J66" i="50"/>
  <c r="K65" i="50"/>
  <c r="I65" i="50"/>
  <c r="K64" i="50"/>
  <c r="H64" i="50"/>
  <c r="K63" i="50"/>
  <c r="G63" i="50"/>
  <c r="K62" i="50"/>
  <c r="F62" i="50"/>
  <c r="K60" i="50"/>
  <c r="H60" i="50"/>
  <c r="D60" i="50"/>
  <c r="K59" i="50"/>
  <c r="G59" i="50"/>
  <c r="D59" i="50"/>
  <c r="K58" i="50"/>
  <c r="F58" i="50"/>
  <c r="B58" i="50"/>
  <c r="K56" i="50"/>
  <c r="H56" i="50"/>
  <c r="D56" i="50"/>
  <c r="K55" i="50"/>
  <c r="G55" i="50"/>
  <c r="D55" i="50"/>
  <c r="K54" i="50"/>
  <c r="F54" i="50"/>
  <c r="B54" i="50"/>
  <c r="K52" i="50"/>
  <c r="H52" i="50"/>
  <c r="D52" i="50"/>
  <c r="K51" i="50"/>
  <c r="G51" i="50"/>
  <c r="D51" i="50"/>
  <c r="K50" i="50"/>
  <c r="F50" i="50"/>
  <c r="B50" i="50"/>
  <c r="K48" i="50"/>
  <c r="H48" i="50"/>
  <c r="D48" i="50"/>
  <c r="K47" i="50"/>
  <c r="G47" i="50"/>
  <c r="D47" i="50"/>
  <c r="K46" i="50"/>
  <c r="F46" i="50"/>
  <c r="B46" i="50"/>
  <c r="K44" i="50"/>
  <c r="H44" i="50"/>
  <c r="D44" i="50"/>
  <c r="K43" i="50"/>
  <c r="G43" i="50"/>
  <c r="D43" i="50"/>
  <c r="K42" i="50"/>
  <c r="F42" i="50"/>
  <c r="B42" i="50"/>
  <c r="K40" i="50"/>
  <c r="H40" i="50"/>
  <c r="D40" i="50"/>
  <c r="K39" i="50"/>
  <c r="G39" i="50"/>
  <c r="D39" i="50"/>
  <c r="K38" i="50"/>
  <c r="F38" i="50"/>
  <c r="B38" i="50"/>
  <c r="K36" i="50"/>
  <c r="H36" i="50"/>
  <c r="D36" i="50"/>
  <c r="K35" i="50"/>
  <c r="G35" i="50"/>
  <c r="D35" i="50"/>
  <c r="K34" i="50"/>
  <c r="F34" i="50"/>
  <c r="D34" i="50"/>
  <c r="B34" i="50"/>
  <c r="K32" i="50"/>
  <c r="H32" i="50"/>
  <c r="D32" i="50"/>
  <c r="K31" i="50"/>
  <c r="G31" i="50"/>
  <c r="D31" i="50"/>
  <c r="K30" i="50"/>
  <c r="F30" i="50"/>
  <c r="D30" i="50"/>
  <c r="B30" i="50"/>
  <c r="K28" i="50"/>
  <c r="I28" i="50"/>
  <c r="D28" i="50"/>
  <c r="K27" i="50"/>
  <c r="G27" i="50"/>
  <c r="D27" i="50"/>
  <c r="K26" i="50"/>
  <c r="F26" i="50"/>
  <c r="D26" i="50"/>
  <c r="B26" i="50"/>
  <c r="K24" i="50"/>
  <c r="J24" i="50"/>
  <c r="I24" i="50"/>
  <c r="D24" i="50"/>
  <c r="K23" i="50"/>
  <c r="I23" i="50"/>
  <c r="D23" i="50"/>
  <c r="B23" i="50"/>
  <c r="K21" i="50"/>
  <c r="J21" i="50"/>
  <c r="K20" i="50"/>
  <c r="I20" i="50"/>
  <c r="B20" i="50"/>
  <c r="K18" i="50"/>
  <c r="H18" i="50"/>
  <c r="D18" i="50"/>
  <c r="K17" i="50"/>
  <c r="G17" i="50"/>
  <c r="D17" i="50"/>
  <c r="K16" i="50"/>
  <c r="F16" i="50"/>
  <c r="B16" i="50"/>
  <c r="K14" i="50"/>
  <c r="H14" i="50"/>
  <c r="D14" i="50"/>
  <c r="K13" i="50"/>
  <c r="G13" i="50"/>
  <c r="D13" i="50"/>
  <c r="K12" i="50"/>
  <c r="F12" i="50"/>
  <c r="M2" i="50"/>
  <c r="M1" i="50"/>
  <c r="L90" i="51"/>
  <c r="F90" i="51"/>
  <c r="F89" i="51"/>
  <c r="F88" i="51"/>
  <c r="L87" i="51"/>
  <c r="F87" i="51"/>
  <c r="F86" i="51"/>
  <c r="F85" i="51"/>
  <c r="K82" i="51"/>
  <c r="L81" i="51"/>
  <c r="K81" i="51"/>
  <c r="J81" i="51"/>
  <c r="I81" i="51"/>
  <c r="H81" i="51"/>
  <c r="G81" i="51"/>
  <c r="F81" i="51"/>
  <c r="L80" i="51"/>
  <c r="F80" i="51"/>
  <c r="L79" i="51"/>
  <c r="L78" i="51"/>
  <c r="F78" i="51"/>
  <c r="L76" i="51"/>
  <c r="F76" i="51"/>
  <c r="L74" i="51"/>
  <c r="F74" i="51"/>
  <c r="L72" i="51"/>
  <c r="L71" i="51"/>
  <c r="L70" i="51"/>
  <c r="L68" i="51"/>
  <c r="K68" i="51"/>
  <c r="L67" i="51"/>
  <c r="J67" i="51"/>
  <c r="L66" i="51"/>
  <c r="I66" i="51"/>
  <c r="L65" i="51"/>
  <c r="H65" i="51"/>
  <c r="L64" i="51"/>
  <c r="G64" i="51"/>
  <c r="L63" i="51"/>
  <c r="F63" i="51"/>
  <c r="L61" i="51"/>
  <c r="G61" i="51"/>
  <c r="L60" i="51"/>
  <c r="H60" i="51"/>
  <c r="L58" i="51"/>
  <c r="J58" i="51"/>
  <c r="I58" i="51"/>
  <c r="H58" i="51"/>
  <c r="G58" i="51"/>
  <c r="L56" i="51"/>
  <c r="I56" i="51"/>
  <c r="L55" i="51"/>
  <c r="H55" i="51"/>
  <c r="L53" i="51"/>
  <c r="G53" i="51"/>
  <c r="L51" i="51"/>
  <c r="G51" i="51"/>
  <c r="L49" i="51"/>
  <c r="I49" i="51"/>
  <c r="L48" i="51"/>
  <c r="H48" i="51"/>
  <c r="L46" i="51"/>
  <c r="I46" i="51"/>
  <c r="L44" i="51"/>
  <c r="I44" i="51"/>
  <c r="L42" i="51"/>
  <c r="I42" i="51"/>
  <c r="L40" i="51"/>
  <c r="G40" i="51"/>
  <c r="L39" i="51"/>
  <c r="G39" i="51"/>
  <c r="L36" i="51"/>
  <c r="G36" i="51"/>
  <c r="L35" i="51"/>
  <c r="F35" i="51"/>
  <c r="L34" i="51"/>
  <c r="G34" i="51"/>
  <c r="L33" i="51"/>
  <c r="F33" i="51"/>
  <c r="L30" i="51"/>
  <c r="H30" i="51"/>
  <c r="L29" i="51"/>
  <c r="G29" i="51"/>
  <c r="L28" i="51"/>
  <c r="F28" i="51"/>
  <c r="L26" i="51"/>
  <c r="J26" i="51"/>
  <c r="L24" i="51"/>
  <c r="K24" i="51"/>
  <c r="L23" i="51"/>
  <c r="K23" i="51"/>
  <c r="L20" i="51"/>
  <c r="K20" i="51"/>
  <c r="L19" i="51"/>
  <c r="K19" i="51"/>
  <c r="L16" i="51"/>
  <c r="G16" i="51"/>
  <c r="L15" i="51"/>
  <c r="F15" i="51"/>
  <c r="L12" i="51"/>
  <c r="G12" i="51"/>
  <c r="L11" i="51"/>
  <c r="K11" i="51"/>
  <c r="N2" i="51"/>
  <c r="N1" i="51"/>
  <c r="J124" i="48"/>
  <c r="F124" i="48"/>
  <c r="F123" i="48"/>
  <c r="F122" i="48"/>
  <c r="J121" i="48"/>
  <c r="F121" i="48"/>
  <c r="F120" i="48"/>
  <c r="F119" i="48"/>
  <c r="F118" i="48"/>
  <c r="F117" i="48"/>
  <c r="F116" i="48"/>
  <c r="F115" i="48"/>
  <c r="F114" i="48"/>
  <c r="J111" i="48"/>
  <c r="J107" i="48"/>
  <c r="H107" i="48"/>
  <c r="F107" i="48"/>
  <c r="J106" i="48"/>
  <c r="J104" i="48"/>
  <c r="J102" i="48"/>
  <c r="J100" i="48"/>
  <c r="D100" i="48"/>
  <c r="J98" i="48"/>
  <c r="J96" i="48"/>
  <c r="J94" i="48"/>
  <c r="H94" i="48"/>
  <c r="F94" i="48"/>
  <c r="E94" i="48"/>
  <c r="J92" i="48"/>
  <c r="H92" i="48"/>
  <c r="F92" i="48"/>
  <c r="J91" i="48"/>
  <c r="H91" i="48"/>
  <c r="F91" i="48"/>
  <c r="J89" i="48"/>
  <c r="J87" i="48"/>
  <c r="F85" i="48"/>
  <c r="F83" i="48"/>
  <c r="J81" i="48"/>
  <c r="H81" i="48"/>
  <c r="F81" i="48"/>
  <c r="J78" i="48"/>
  <c r="H78" i="48"/>
  <c r="F78" i="48"/>
  <c r="J77" i="48"/>
  <c r="H77" i="48"/>
  <c r="F77" i="48"/>
  <c r="J75" i="48"/>
  <c r="H75" i="48"/>
  <c r="F75" i="48"/>
  <c r="J73" i="48"/>
  <c r="H73" i="48"/>
  <c r="F73" i="48"/>
  <c r="J71" i="48"/>
  <c r="H71" i="48"/>
  <c r="F71" i="48"/>
  <c r="J69" i="48"/>
  <c r="H69" i="48"/>
  <c r="F69" i="48"/>
  <c r="J67" i="48"/>
  <c r="H67" i="48"/>
  <c r="F67" i="48"/>
  <c r="J66" i="48"/>
  <c r="H66" i="48"/>
  <c r="F66" i="48"/>
  <c r="J64" i="48"/>
  <c r="H64" i="48"/>
  <c r="F64" i="48"/>
  <c r="J62" i="48"/>
  <c r="H62" i="48"/>
  <c r="F62" i="48"/>
  <c r="J60" i="48"/>
  <c r="H60" i="48"/>
  <c r="F60" i="48"/>
  <c r="J58" i="48"/>
  <c r="H58" i="48"/>
  <c r="F58" i="48"/>
  <c r="J56" i="48"/>
  <c r="H56" i="48"/>
  <c r="F56" i="48"/>
  <c r="J53" i="48"/>
  <c r="H53" i="48"/>
  <c r="F53" i="48"/>
  <c r="J51" i="48"/>
  <c r="H51" i="48"/>
  <c r="F51" i="48"/>
  <c r="J49" i="48"/>
  <c r="H49" i="48"/>
  <c r="F49" i="48"/>
  <c r="J46" i="48"/>
  <c r="H46" i="48"/>
  <c r="F46" i="48"/>
  <c r="E46" i="48"/>
  <c r="J45" i="48"/>
  <c r="H45" i="48"/>
  <c r="F45" i="48"/>
  <c r="J44" i="48"/>
  <c r="H44" i="48"/>
  <c r="F44" i="48"/>
  <c r="J42" i="48"/>
  <c r="H42" i="48"/>
  <c r="F42" i="48"/>
  <c r="J40" i="48"/>
  <c r="H40" i="48"/>
  <c r="F40" i="48"/>
  <c r="J38" i="48"/>
  <c r="H38" i="48"/>
  <c r="F38" i="48"/>
  <c r="J36" i="48"/>
  <c r="H36" i="48"/>
  <c r="F36" i="48"/>
  <c r="J33" i="48"/>
  <c r="H33" i="48"/>
  <c r="F33" i="48"/>
  <c r="J30" i="48"/>
  <c r="H30" i="48"/>
  <c r="F30" i="48"/>
  <c r="J29" i="48"/>
  <c r="H29" i="48"/>
  <c r="F29" i="48"/>
  <c r="J28" i="48"/>
  <c r="H28" i="48"/>
  <c r="F28" i="48"/>
  <c r="J25" i="48"/>
  <c r="H25" i="48"/>
  <c r="F25" i="48"/>
  <c r="J24" i="48"/>
  <c r="H24" i="48"/>
  <c r="F24" i="48"/>
  <c r="J23" i="48"/>
  <c r="H23" i="48"/>
  <c r="F23" i="48"/>
  <c r="J21" i="48"/>
  <c r="H21" i="48"/>
  <c r="F21" i="48"/>
  <c r="J18" i="48"/>
  <c r="H18" i="48"/>
  <c r="F18" i="48"/>
  <c r="J17" i="48"/>
  <c r="H17" i="48"/>
  <c r="F17" i="48"/>
  <c r="J16" i="48"/>
  <c r="H16" i="48"/>
  <c r="F16" i="48"/>
  <c r="J13" i="48"/>
  <c r="H13" i="48"/>
  <c r="F13" i="48"/>
  <c r="J12" i="48"/>
  <c r="H12" i="48"/>
  <c r="F12" i="48"/>
  <c r="J11" i="48"/>
  <c r="H11" i="48"/>
  <c r="F11" i="48"/>
  <c r="K2" i="48"/>
  <c r="K1" i="48"/>
  <c r="J24" i="111"/>
  <c r="I24" i="111"/>
  <c r="H24" i="111"/>
  <c r="G22" i="111"/>
  <c r="G15" i="111"/>
  <c r="K2" i="111"/>
  <c r="K1" i="111"/>
  <c r="J26" i="114"/>
  <c r="I26" i="114"/>
  <c r="H26" i="114"/>
  <c r="G25" i="114"/>
  <c r="G24" i="114"/>
  <c r="G23" i="114"/>
  <c r="G22" i="114"/>
  <c r="G21" i="114"/>
  <c r="G20" i="114"/>
  <c r="G19" i="114"/>
  <c r="O14" i="114"/>
  <c r="G14" i="114"/>
  <c r="O13" i="114"/>
  <c r="G13" i="114"/>
  <c r="K2" i="114"/>
  <c r="K1" i="114"/>
  <c r="I43" i="31"/>
  <c r="F43" i="31"/>
  <c r="F42" i="31"/>
  <c r="F41" i="31"/>
  <c r="I40" i="31"/>
  <c r="F40" i="31"/>
  <c r="F39" i="31"/>
  <c r="F38" i="31"/>
  <c r="F37" i="31"/>
  <c r="F36" i="31"/>
  <c r="F35" i="31"/>
  <c r="F34" i="31"/>
  <c r="F33" i="31"/>
  <c r="F30" i="31"/>
  <c r="F29" i="31"/>
  <c r="F28" i="31"/>
  <c r="F27" i="31"/>
  <c r="F26" i="31"/>
  <c r="F25" i="31"/>
  <c r="F24" i="31"/>
  <c r="E24" i="31"/>
  <c r="F23" i="31"/>
  <c r="F22" i="31"/>
  <c r="F21" i="31"/>
  <c r="F20" i="31"/>
  <c r="F19" i="31"/>
  <c r="E18" i="31"/>
  <c r="F16" i="31"/>
  <c r="F15" i="31"/>
  <c r="F14" i="31"/>
  <c r="F13" i="31"/>
  <c r="F12" i="31"/>
  <c r="F11" i="31"/>
  <c r="F10" i="31"/>
  <c r="I2" i="31"/>
  <c r="I1" i="31"/>
  <c r="J31" i="113"/>
  <c r="I31" i="113"/>
  <c r="H31" i="113"/>
  <c r="G24" i="113"/>
  <c r="G23" i="113"/>
  <c r="G22" i="113"/>
  <c r="G21" i="113"/>
  <c r="G20" i="113"/>
  <c r="O17" i="113"/>
  <c r="O16" i="113"/>
  <c r="O15" i="113"/>
  <c r="O14" i="113"/>
  <c r="G14" i="113"/>
  <c r="O12" i="113"/>
  <c r="K2" i="113"/>
  <c r="K1" i="113"/>
  <c r="I44" i="29"/>
  <c r="F44" i="29"/>
  <c r="F43" i="29"/>
  <c r="F42" i="29"/>
  <c r="I41" i="29"/>
  <c r="F41" i="29"/>
  <c r="F40" i="29"/>
  <c r="F39" i="29"/>
  <c r="F38" i="29"/>
  <c r="F37" i="29"/>
  <c r="F36" i="29"/>
  <c r="F35" i="29"/>
  <c r="F32" i="29"/>
  <c r="F31" i="29"/>
  <c r="F30" i="29"/>
  <c r="F29" i="29"/>
  <c r="F28" i="29"/>
  <c r="F27" i="29"/>
  <c r="F26" i="29"/>
  <c r="E26" i="29"/>
  <c r="F25" i="29"/>
  <c r="F24" i="29"/>
  <c r="F23" i="29"/>
  <c r="F22" i="29"/>
  <c r="F21" i="29"/>
  <c r="E20" i="29"/>
  <c r="F18" i="29"/>
  <c r="F17" i="29"/>
  <c r="F16" i="29"/>
  <c r="F15" i="29"/>
  <c r="F14" i="29"/>
  <c r="F13" i="29"/>
  <c r="F12" i="29"/>
  <c r="F11" i="29"/>
  <c r="F10" i="29"/>
  <c r="I2" i="29"/>
  <c r="I1" i="29"/>
  <c r="J28" i="112"/>
  <c r="I28" i="112"/>
  <c r="H28" i="112"/>
  <c r="G23" i="112"/>
  <c r="G22" i="112"/>
  <c r="G21" i="112"/>
  <c r="G20" i="112"/>
  <c r="G19" i="112"/>
  <c r="G13" i="112"/>
  <c r="K2" i="112"/>
  <c r="K1" i="112"/>
  <c r="I40" i="117"/>
  <c r="F40" i="117"/>
  <c r="F39" i="117"/>
  <c r="F38" i="117"/>
  <c r="I37" i="117"/>
  <c r="F37" i="117"/>
  <c r="F36" i="117"/>
  <c r="F35" i="117"/>
  <c r="F34" i="117"/>
  <c r="F33" i="117"/>
  <c r="F30" i="117"/>
  <c r="F29" i="117"/>
  <c r="F28" i="117"/>
  <c r="F27" i="117"/>
  <c r="F26" i="117"/>
  <c r="F25" i="117"/>
  <c r="F24" i="117"/>
  <c r="E24" i="117"/>
  <c r="F23" i="117"/>
  <c r="F22" i="117"/>
  <c r="F21" i="117"/>
  <c r="F20" i="117"/>
  <c r="F19" i="117"/>
  <c r="P18" i="117"/>
  <c r="Q18" i="117" s="1"/>
  <c r="E18" i="117" s="1"/>
  <c r="O18" i="117"/>
  <c r="O17" i="117"/>
  <c r="O16" i="117"/>
  <c r="O15" i="117"/>
  <c r="F15" i="117"/>
  <c r="F14" i="117"/>
  <c r="L13" i="117"/>
  <c r="F13" i="117"/>
  <c r="F12" i="117"/>
  <c r="F11" i="117"/>
  <c r="F10" i="117"/>
  <c r="I2" i="117"/>
  <c r="I1" i="117"/>
  <c r="G55" i="26"/>
  <c r="G54" i="26"/>
  <c r="G53" i="26"/>
  <c r="F53" i="26"/>
  <c r="G52" i="26"/>
  <c r="F52" i="26"/>
  <c r="G51" i="26"/>
  <c r="F51" i="26"/>
  <c r="G49" i="26"/>
  <c r="G48" i="26"/>
  <c r="G47" i="26"/>
  <c r="G46" i="26"/>
  <c r="G44" i="26"/>
  <c r="G43" i="26"/>
  <c r="G42" i="26"/>
  <c r="G41" i="26"/>
  <c r="F41" i="26"/>
  <c r="G40" i="26"/>
  <c r="F40" i="26"/>
  <c r="G39" i="26"/>
  <c r="G38" i="26"/>
  <c r="G36" i="26"/>
  <c r="F36" i="26"/>
  <c r="G35" i="26"/>
  <c r="G33" i="26"/>
  <c r="F33" i="26"/>
  <c r="G32" i="26"/>
  <c r="F32" i="26"/>
  <c r="G31" i="26"/>
  <c r="G30" i="26"/>
  <c r="G29" i="26"/>
  <c r="G28" i="26"/>
  <c r="G27" i="26"/>
  <c r="G25" i="26"/>
  <c r="F25" i="26"/>
  <c r="G24" i="26"/>
  <c r="F24" i="26"/>
  <c r="G23" i="26"/>
  <c r="G21" i="26"/>
  <c r="F21" i="26"/>
  <c r="G20" i="26"/>
  <c r="F20" i="26"/>
  <c r="G19" i="26"/>
  <c r="G18" i="26"/>
  <c r="G17" i="26"/>
  <c r="G16" i="26"/>
  <c r="G14" i="26"/>
  <c r="F14" i="26"/>
  <c r="G13" i="26"/>
  <c r="F13" i="26"/>
  <c r="G12" i="26"/>
  <c r="G11" i="26"/>
  <c r="H2" i="26"/>
  <c r="H1" i="26"/>
  <c r="G36" i="25"/>
  <c r="F36" i="25"/>
  <c r="G35" i="25"/>
  <c r="F35" i="25"/>
  <c r="G34" i="25"/>
  <c r="F34" i="25"/>
  <c r="G33" i="25"/>
  <c r="F33" i="25"/>
  <c r="G32" i="25"/>
  <c r="G31" i="25"/>
  <c r="G29" i="25"/>
  <c r="F29" i="25"/>
  <c r="G28" i="25"/>
  <c r="F28" i="25"/>
  <c r="G27" i="25"/>
  <c r="F27" i="25"/>
  <c r="G26" i="25"/>
  <c r="F26" i="25"/>
  <c r="G25" i="25"/>
  <c r="G24" i="25"/>
  <c r="G22" i="25"/>
  <c r="F22" i="25"/>
  <c r="G21" i="25"/>
  <c r="F21" i="25"/>
  <c r="G20" i="25"/>
  <c r="F20" i="25"/>
  <c r="G19" i="25"/>
  <c r="G17" i="25"/>
  <c r="F17" i="25"/>
  <c r="G16" i="25"/>
  <c r="F16" i="25"/>
  <c r="G15" i="25"/>
  <c r="F15" i="25"/>
  <c r="G14" i="25"/>
  <c r="G12" i="25"/>
  <c r="G11" i="25"/>
  <c r="F11" i="25"/>
  <c r="H2" i="25"/>
  <c r="H1" i="25"/>
  <c r="G127" i="24"/>
  <c r="F127" i="24"/>
  <c r="G126" i="24"/>
  <c r="G124" i="24"/>
  <c r="F124" i="24"/>
  <c r="G122" i="24"/>
  <c r="F122" i="24"/>
  <c r="G121" i="24"/>
  <c r="G120" i="24"/>
  <c r="F120" i="24"/>
  <c r="G119" i="24"/>
  <c r="G118" i="24"/>
  <c r="F118" i="24"/>
  <c r="G117" i="24"/>
  <c r="G115" i="24"/>
  <c r="F115" i="24"/>
  <c r="G114" i="24"/>
  <c r="F114" i="24"/>
  <c r="G113" i="24"/>
  <c r="F113" i="24"/>
  <c r="G112" i="24"/>
  <c r="F112" i="24"/>
  <c r="G111" i="24"/>
  <c r="F111" i="24"/>
  <c r="G110" i="24"/>
  <c r="F110" i="24"/>
  <c r="G109" i="24"/>
  <c r="F109" i="24"/>
  <c r="G108" i="24"/>
  <c r="F108" i="24"/>
  <c r="G107" i="24"/>
  <c r="F107" i="24"/>
  <c r="G106" i="24"/>
  <c r="F106" i="24"/>
  <c r="G105" i="24"/>
  <c r="F105" i="24"/>
  <c r="G104" i="24"/>
  <c r="F104" i="24"/>
  <c r="G103" i="24"/>
  <c r="F103" i="24"/>
  <c r="G101" i="24"/>
  <c r="G100" i="24"/>
  <c r="G99" i="24"/>
  <c r="G98" i="24"/>
  <c r="G97" i="24"/>
  <c r="G96" i="24"/>
  <c r="G95" i="24"/>
  <c r="G93" i="24"/>
  <c r="F93" i="24"/>
  <c r="G92" i="24"/>
  <c r="F92" i="24"/>
  <c r="G91" i="24"/>
  <c r="F91" i="24"/>
  <c r="G90" i="24"/>
  <c r="F90" i="24"/>
  <c r="G89" i="24"/>
  <c r="F89" i="24"/>
  <c r="G88" i="24"/>
  <c r="F88" i="24"/>
  <c r="G86" i="24"/>
  <c r="G84" i="24"/>
  <c r="G83" i="24"/>
  <c r="G82" i="24"/>
  <c r="G81" i="24"/>
  <c r="G79" i="24"/>
  <c r="G78" i="24"/>
  <c r="G77" i="24"/>
  <c r="G76" i="24"/>
  <c r="G74" i="24"/>
  <c r="F74" i="24"/>
  <c r="G73" i="24"/>
  <c r="F73" i="24"/>
  <c r="G72" i="24"/>
  <c r="F72" i="24"/>
  <c r="G71" i="24"/>
  <c r="F71" i="24"/>
  <c r="G70" i="24"/>
  <c r="F70" i="24"/>
  <c r="G69" i="24"/>
  <c r="F69" i="24"/>
  <c r="G68" i="24"/>
  <c r="F68" i="24"/>
  <c r="G67" i="24"/>
  <c r="F67" i="24"/>
  <c r="G66" i="24"/>
  <c r="F66" i="24"/>
  <c r="G65" i="24"/>
  <c r="F65" i="24"/>
  <c r="G64" i="24"/>
  <c r="F64" i="24"/>
  <c r="G63" i="24"/>
  <c r="F63" i="24"/>
  <c r="G62" i="24"/>
  <c r="F62" i="24"/>
  <c r="G61" i="24"/>
  <c r="F61" i="24"/>
  <c r="G60" i="24"/>
  <c r="F60" i="24"/>
  <c r="G59" i="24"/>
  <c r="F59" i="24"/>
  <c r="G58" i="24"/>
  <c r="F58" i="24"/>
  <c r="G57" i="24"/>
  <c r="F57" i="24"/>
  <c r="G56" i="24"/>
  <c r="F56" i="24"/>
  <c r="G55" i="24"/>
  <c r="F55" i="24"/>
  <c r="G54" i="24"/>
  <c r="F54" i="24"/>
  <c r="G52" i="24"/>
  <c r="G51" i="24"/>
  <c r="G50" i="24"/>
  <c r="G49" i="24"/>
  <c r="G48" i="24"/>
  <c r="G47" i="24"/>
  <c r="G46" i="24"/>
  <c r="G45" i="24"/>
  <c r="G44" i="24"/>
  <c r="G43" i="24"/>
  <c r="G42" i="24"/>
  <c r="G41" i="24"/>
  <c r="G40" i="24"/>
  <c r="G39" i="24"/>
  <c r="G38" i="24"/>
  <c r="G37" i="24"/>
  <c r="G36" i="24"/>
  <c r="G35" i="24"/>
  <c r="G33" i="24"/>
  <c r="F33" i="24"/>
  <c r="G32" i="24"/>
  <c r="F32" i="24"/>
  <c r="G31" i="24"/>
  <c r="F31" i="24"/>
  <c r="G30" i="24"/>
  <c r="F30" i="24"/>
  <c r="G29" i="24"/>
  <c r="F29" i="24"/>
  <c r="G28" i="24"/>
  <c r="F28" i="24"/>
  <c r="G27" i="24"/>
  <c r="F27" i="24"/>
  <c r="G25" i="24"/>
  <c r="F25" i="24"/>
  <c r="G23" i="24"/>
  <c r="F23" i="24"/>
  <c r="G22" i="24"/>
  <c r="F22" i="24"/>
  <c r="G21" i="24"/>
  <c r="F21" i="24"/>
  <c r="G19" i="24"/>
  <c r="G18" i="24"/>
  <c r="G17" i="24"/>
  <c r="G16" i="24"/>
  <c r="G15" i="24"/>
  <c r="G14" i="24"/>
  <c r="G13" i="24"/>
  <c r="G12" i="24"/>
  <c r="G11" i="24"/>
  <c r="H2" i="24"/>
  <c r="H1" i="24"/>
  <c r="G99" i="23"/>
  <c r="F99" i="23"/>
  <c r="G98" i="23"/>
  <c r="G96" i="23"/>
  <c r="F96" i="23"/>
  <c r="G94" i="23"/>
  <c r="F94" i="23"/>
  <c r="G93" i="23"/>
  <c r="F93" i="23"/>
  <c r="G92" i="23"/>
  <c r="F92" i="23"/>
  <c r="G91" i="23"/>
  <c r="F91" i="23"/>
  <c r="G90" i="23"/>
  <c r="F90" i="23"/>
  <c r="G89" i="23"/>
  <c r="F89" i="23"/>
  <c r="G88" i="23"/>
  <c r="F88" i="23"/>
  <c r="G87" i="23"/>
  <c r="F87" i="23"/>
  <c r="G86" i="23"/>
  <c r="F86" i="23"/>
  <c r="G84" i="23"/>
  <c r="F84" i="23"/>
  <c r="G83" i="23"/>
  <c r="F83" i="23"/>
  <c r="G82" i="23"/>
  <c r="F82" i="23"/>
  <c r="G81" i="23"/>
  <c r="F81" i="23"/>
  <c r="G80" i="23"/>
  <c r="F80" i="23"/>
  <c r="G79" i="23"/>
  <c r="F79" i="23"/>
  <c r="G78" i="23"/>
  <c r="F78" i="23"/>
  <c r="G77" i="23"/>
  <c r="F77" i="23"/>
  <c r="G76" i="23"/>
  <c r="F76" i="23"/>
  <c r="G74" i="23"/>
  <c r="F74" i="23"/>
  <c r="G73" i="23"/>
  <c r="F73" i="23"/>
  <c r="G72" i="23"/>
  <c r="F72" i="23"/>
  <c r="G71" i="23"/>
  <c r="F71" i="23"/>
  <c r="G70" i="23"/>
  <c r="F70" i="23"/>
  <c r="G69" i="23"/>
  <c r="F69" i="23"/>
  <c r="G68" i="23"/>
  <c r="F68" i="23"/>
  <c r="G67" i="23"/>
  <c r="F67" i="23"/>
  <c r="G66" i="23"/>
  <c r="F66" i="23"/>
  <c r="G65" i="23"/>
  <c r="F65" i="23"/>
  <c r="G63" i="23"/>
  <c r="G62" i="23"/>
  <c r="G61" i="23"/>
  <c r="G60" i="23"/>
  <c r="G59" i="23"/>
  <c r="G58" i="23"/>
  <c r="G57" i="23"/>
  <c r="G56" i="23"/>
  <c r="G54" i="23"/>
  <c r="G53" i="23"/>
  <c r="G52" i="23"/>
  <c r="G51" i="23"/>
  <c r="G50" i="23"/>
  <c r="G49" i="23"/>
  <c r="G47" i="23"/>
  <c r="G46" i="23"/>
  <c r="G45" i="23"/>
  <c r="G44" i="23"/>
  <c r="G43" i="23"/>
  <c r="G42" i="23"/>
  <c r="G41" i="23"/>
  <c r="G40" i="23"/>
  <c r="G39" i="23"/>
  <c r="G38" i="23"/>
  <c r="G37" i="23"/>
  <c r="G36" i="23"/>
  <c r="G34" i="23"/>
  <c r="F34" i="23"/>
  <c r="G32" i="23"/>
  <c r="F32" i="23"/>
  <c r="G31" i="23"/>
  <c r="F31" i="23"/>
  <c r="G30" i="23"/>
  <c r="G29" i="23"/>
  <c r="G28" i="23"/>
  <c r="G27" i="23"/>
  <c r="G25" i="23"/>
  <c r="F25" i="23"/>
  <c r="G24" i="23"/>
  <c r="F24" i="23"/>
  <c r="G23" i="23"/>
  <c r="G22" i="23"/>
  <c r="G21" i="23"/>
  <c r="G19" i="23"/>
  <c r="G18" i="23"/>
  <c r="F18" i="23"/>
  <c r="G17" i="23"/>
  <c r="F17" i="23"/>
  <c r="G16" i="23"/>
  <c r="F16" i="23"/>
  <c r="G15" i="23"/>
  <c r="G14" i="23"/>
  <c r="F14" i="23"/>
  <c r="G13" i="23"/>
  <c r="G12" i="23"/>
  <c r="G11" i="23"/>
  <c r="H2" i="23"/>
  <c r="H1" i="23"/>
  <c r="G83" i="22"/>
  <c r="F83" i="22"/>
  <c r="G82" i="22"/>
  <c r="G80" i="22"/>
  <c r="F80" i="22"/>
  <c r="G79" i="22"/>
  <c r="G77" i="22"/>
  <c r="F77" i="22"/>
  <c r="G76" i="22"/>
  <c r="F76" i="22"/>
  <c r="G75" i="22"/>
  <c r="F75" i="22"/>
  <c r="G74" i="22"/>
  <c r="F74" i="22"/>
  <c r="G73" i="22"/>
  <c r="F73" i="22"/>
  <c r="G72" i="22"/>
  <c r="G71" i="22"/>
  <c r="G70" i="22"/>
  <c r="G69" i="22"/>
  <c r="G68" i="22"/>
  <c r="G67" i="22"/>
  <c r="G66" i="22"/>
  <c r="G65" i="22"/>
  <c r="G64" i="22"/>
  <c r="G63" i="22"/>
  <c r="G61" i="22"/>
  <c r="F61" i="22"/>
  <c r="G60" i="22"/>
  <c r="F60" i="22"/>
  <c r="G59" i="22"/>
  <c r="F59" i="22"/>
  <c r="G58" i="22"/>
  <c r="F58" i="22"/>
  <c r="G57" i="22"/>
  <c r="F57" i="22"/>
  <c r="G56" i="22"/>
  <c r="G55" i="22"/>
  <c r="G54" i="22"/>
  <c r="G53" i="22"/>
  <c r="G52" i="22"/>
  <c r="G51" i="22"/>
  <c r="G50" i="22"/>
  <c r="G49" i="22"/>
  <c r="G48" i="22"/>
  <c r="G46" i="22"/>
  <c r="F46" i="22"/>
  <c r="G44" i="22"/>
  <c r="F44" i="22"/>
  <c r="G43" i="22"/>
  <c r="F43" i="22"/>
  <c r="G42" i="22"/>
  <c r="F42" i="22"/>
  <c r="G41" i="22"/>
  <c r="G40" i="22"/>
  <c r="G39" i="22"/>
  <c r="F39" i="22"/>
  <c r="G38" i="22"/>
  <c r="G36" i="22"/>
  <c r="F36" i="22"/>
  <c r="G34" i="22"/>
  <c r="F34" i="22"/>
  <c r="G33" i="22"/>
  <c r="F33" i="22"/>
  <c r="G32" i="22"/>
  <c r="G31" i="22"/>
  <c r="G30" i="22"/>
  <c r="G28" i="22"/>
  <c r="F28" i="22"/>
  <c r="G27" i="22"/>
  <c r="F27" i="22"/>
  <c r="G26" i="22"/>
  <c r="G25" i="22"/>
  <c r="G24" i="22"/>
  <c r="G22" i="22"/>
  <c r="F22" i="22"/>
  <c r="G21" i="22"/>
  <c r="F21" i="22"/>
  <c r="G20" i="22"/>
  <c r="G19" i="22"/>
  <c r="G18" i="22"/>
  <c r="G16" i="22"/>
  <c r="F16" i="22"/>
  <c r="G15" i="22"/>
  <c r="F15" i="22"/>
  <c r="G14" i="22"/>
  <c r="F14" i="22"/>
  <c r="G13" i="22"/>
  <c r="F13" i="22"/>
  <c r="G12" i="22"/>
  <c r="G11" i="22"/>
  <c r="H2" i="22"/>
  <c r="H1" i="22"/>
  <c r="G77" i="21"/>
  <c r="F77" i="21"/>
  <c r="G76" i="21"/>
  <c r="G74" i="21"/>
  <c r="F74" i="21"/>
  <c r="G73" i="21"/>
  <c r="G71" i="21"/>
  <c r="G69" i="21"/>
  <c r="F69" i="21"/>
  <c r="G68" i="21"/>
  <c r="F68" i="21"/>
  <c r="G67" i="21"/>
  <c r="G65" i="21"/>
  <c r="F65" i="21"/>
  <c r="G64" i="21"/>
  <c r="F64" i="21"/>
  <c r="G63" i="21"/>
  <c r="F63" i="21"/>
  <c r="G62" i="21"/>
  <c r="F62" i="21"/>
  <c r="G61" i="21"/>
  <c r="F61" i="21"/>
  <c r="G60" i="21"/>
  <c r="F60" i="21"/>
  <c r="G59" i="21"/>
  <c r="G58" i="21"/>
  <c r="G57" i="21"/>
  <c r="G56" i="21"/>
  <c r="G55" i="21"/>
  <c r="G54" i="21"/>
  <c r="G53" i="21"/>
  <c r="G52" i="21"/>
  <c r="G51" i="21"/>
  <c r="G50" i="21"/>
  <c r="G49" i="21"/>
  <c r="G47" i="21"/>
  <c r="F47" i="21"/>
  <c r="G45" i="21"/>
  <c r="F45" i="21"/>
  <c r="G44" i="21"/>
  <c r="F44" i="21"/>
  <c r="G43" i="21"/>
  <c r="F43" i="21"/>
  <c r="G42" i="21"/>
  <c r="G41" i="21"/>
  <c r="G40" i="21"/>
  <c r="G39" i="21"/>
  <c r="F39" i="21"/>
  <c r="G38" i="21"/>
  <c r="G36" i="21"/>
  <c r="F36" i="21"/>
  <c r="G34" i="21"/>
  <c r="F34" i="21"/>
  <c r="G33" i="21"/>
  <c r="F33" i="21"/>
  <c r="G32" i="21"/>
  <c r="G31" i="21"/>
  <c r="G30" i="21"/>
  <c r="G28" i="21"/>
  <c r="F28" i="21"/>
  <c r="G27" i="21"/>
  <c r="F27" i="21"/>
  <c r="G26" i="21"/>
  <c r="G25" i="21"/>
  <c r="G24" i="21"/>
  <c r="G22" i="21"/>
  <c r="F22" i="21"/>
  <c r="G21" i="21"/>
  <c r="F21" i="21"/>
  <c r="G20" i="21"/>
  <c r="G19" i="21"/>
  <c r="G18" i="21"/>
  <c r="G16" i="21"/>
  <c r="F16" i="21"/>
  <c r="G15" i="21"/>
  <c r="F15" i="21"/>
  <c r="G14" i="21"/>
  <c r="F14" i="21"/>
  <c r="G13" i="21"/>
  <c r="F13" i="21"/>
  <c r="G12" i="21"/>
  <c r="G11" i="21"/>
  <c r="H2" i="21"/>
  <c r="H1" i="21"/>
  <c r="G47" i="20"/>
  <c r="F47" i="20"/>
  <c r="G46" i="20"/>
  <c r="G44" i="20"/>
  <c r="F44" i="20"/>
  <c r="G42" i="20"/>
  <c r="F42" i="20"/>
  <c r="G41" i="20"/>
  <c r="F41" i="20"/>
  <c r="G40" i="20"/>
  <c r="F40" i="20"/>
  <c r="G39" i="20"/>
  <c r="F39" i="20"/>
  <c r="G38" i="20"/>
  <c r="G36" i="20"/>
  <c r="F36" i="20"/>
  <c r="G35" i="20"/>
  <c r="F35" i="20"/>
  <c r="G34" i="20"/>
  <c r="G32" i="20"/>
  <c r="F32" i="20"/>
  <c r="G31" i="20"/>
  <c r="G29" i="20"/>
  <c r="F29" i="20"/>
  <c r="G27" i="20"/>
  <c r="F27" i="20"/>
  <c r="G26" i="20"/>
  <c r="F26" i="20"/>
  <c r="G25" i="20"/>
  <c r="G24" i="20"/>
  <c r="G23" i="20"/>
  <c r="G21" i="20"/>
  <c r="F21" i="20"/>
  <c r="G20" i="20"/>
  <c r="F20" i="20"/>
  <c r="G19" i="20"/>
  <c r="G18" i="20"/>
  <c r="G16" i="20"/>
  <c r="F16" i="20"/>
  <c r="G15" i="20"/>
  <c r="F15" i="20"/>
  <c r="G14" i="20"/>
  <c r="F14" i="20"/>
  <c r="G13" i="20"/>
  <c r="F13" i="20"/>
  <c r="G12" i="20"/>
  <c r="G11" i="20"/>
  <c r="H2" i="20"/>
  <c r="H1" i="20"/>
  <c r="G22" i="19"/>
  <c r="F22" i="19"/>
  <c r="G21" i="19"/>
  <c r="G19" i="19"/>
  <c r="F19" i="19"/>
  <c r="G18" i="19"/>
  <c r="G16" i="19"/>
  <c r="F16" i="19"/>
  <c r="G15" i="19"/>
  <c r="G13" i="19"/>
  <c r="F13" i="19"/>
  <c r="G12" i="19"/>
  <c r="F12" i="19"/>
  <c r="G11" i="19"/>
  <c r="H2" i="19"/>
  <c r="H1" i="19"/>
  <c r="G51" i="18"/>
  <c r="G50" i="18"/>
  <c r="G49" i="18"/>
  <c r="G48" i="18"/>
  <c r="G47" i="18"/>
  <c r="G46" i="18"/>
  <c r="G44" i="18"/>
  <c r="G43" i="18"/>
  <c r="G42" i="18"/>
  <c r="G41" i="18"/>
  <c r="G40" i="18"/>
  <c r="G39" i="18"/>
  <c r="G38" i="18"/>
  <c r="G36" i="18"/>
  <c r="G35" i="18"/>
  <c r="G34" i="18"/>
  <c r="G33" i="18"/>
  <c r="G32" i="18"/>
  <c r="G31" i="18"/>
  <c r="G30" i="18"/>
  <c r="G29" i="18"/>
  <c r="G28" i="18"/>
  <c r="G27" i="18"/>
  <c r="G26" i="18"/>
  <c r="G25" i="18"/>
  <c r="G24" i="18"/>
  <c r="G22" i="18"/>
  <c r="G21" i="18"/>
  <c r="G20" i="18"/>
  <c r="G18" i="18"/>
  <c r="G17" i="18"/>
  <c r="G16" i="18"/>
  <c r="G15" i="18"/>
  <c r="G13" i="18"/>
  <c r="G12" i="18"/>
  <c r="G11" i="18"/>
  <c r="H2" i="18"/>
  <c r="H1" i="18"/>
  <c r="L60" i="17"/>
  <c r="F60" i="17"/>
  <c r="F59" i="17"/>
  <c r="F58" i="17"/>
  <c r="L57" i="17"/>
  <c r="F57" i="17"/>
  <c r="F56" i="17"/>
  <c r="F55" i="17"/>
  <c r="F54" i="17"/>
  <c r="F53" i="17"/>
  <c r="F52" i="17"/>
  <c r="F51" i="17"/>
  <c r="F50" i="17"/>
  <c r="F46" i="17"/>
  <c r="F44" i="17"/>
  <c r="F43" i="17"/>
  <c r="F42" i="17"/>
  <c r="F45" i="17" s="1"/>
  <c r="F47" i="17" s="1"/>
  <c r="C13" i="5" s="1"/>
  <c r="F41" i="17"/>
  <c r="E41" i="17"/>
  <c r="F40" i="17"/>
  <c r="L38" i="17"/>
  <c r="K38" i="17"/>
  <c r="J38" i="17"/>
  <c r="I38" i="17"/>
  <c r="H38" i="17"/>
  <c r="G38" i="17"/>
  <c r="F38" i="17"/>
  <c r="E38" i="17"/>
  <c r="D38" i="17"/>
  <c r="C38" i="17"/>
  <c r="L37" i="17"/>
  <c r="C37" i="17"/>
  <c r="K36" i="17"/>
  <c r="C36" i="17"/>
  <c r="C35" i="17"/>
  <c r="C34" i="17"/>
  <c r="C33" i="17"/>
  <c r="C32" i="17"/>
  <c r="C31" i="17"/>
  <c r="C30" i="17"/>
  <c r="C29" i="17"/>
  <c r="C28" i="17"/>
  <c r="C27" i="17"/>
  <c r="J26" i="17"/>
  <c r="I26" i="17"/>
  <c r="H26" i="17"/>
  <c r="G26" i="17"/>
  <c r="F26" i="17"/>
  <c r="E26" i="17"/>
  <c r="D26" i="17"/>
  <c r="C26" i="17"/>
  <c r="G23" i="17"/>
  <c r="G22" i="17"/>
  <c r="U21" i="17"/>
  <c r="T21" i="17"/>
  <c r="P18" i="17"/>
  <c r="S20" i="17" s="1"/>
  <c r="S21" i="17" s="1"/>
  <c r="G18" i="17"/>
  <c r="G17" i="17"/>
  <c r="G16" i="17"/>
  <c r="F16" i="17"/>
  <c r="G15" i="17"/>
  <c r="F15" i="17"/>
  <c r="G14" i="17"/>
  <c r="F14" i="17"/>
  <c r="G13" i="17"/>
  <c r="F13" i="17"/>
  <c r="G12" i="17"/>
  <c r="F12" i="17"/>
  <c r="S3" i="17"/>
  <c r="L2" i="17"/>
  <c r="L1" i="17"/>
  <c r="F69" i="16"/>
  <c r="F68" i="16"/>
  <c r="I67" i="16"/>
  <c r="I70" i="16" s="1"/>
  <c r="D48" i="11" s="1"/>
  <c r="F48" i="11" s="1"/>
  <c r="F66" i="16"/>
  <c r="F65" i="16"/>
  <c r="F64" i="16"/>
  <c r="F63" i="16"/>
  <c r="F62" i="16"/>
  <c r="F61" i="16"/>
  <c r="F60" i="16"/>
  <c r="F59" i="16"/>
  <c r="F49" i="16"/>
  <c r="F48" i="16"/>
  <c r="F31" i="16"/>
  <c r="F46" i="16"/>
  <c r="F45" i="16"/>
  <c r="F44" i="16"/>
  <c r="F42" i="16"/>
  <c r="F41" i="16"/>
  <c r="F39" i="16"/>
  <c r="F38" i="16"/>
  <c r="F37" i="16"/>
  <c r="F35" i="16"/>
  <c r="F34" i="16"/>
  <c r="F30" i="16"/>
  <c r="F29" i="16"/>
  <c r="F28" i="16"/>
  <c r="F27" i="16"/>
  <c r="F26" i="16"/>
  <c r="F25" i="16"/>
  <c r="F24" i="16"/>
  <c r="F23" i="16"/>
  <c r="F21" i="16"/>
  <c r="F20" i="16"/>
  <c r="F19" i="16"/>
  <c r="F17" i="16"/>
  <c r="F16" i="16"/>
  <c r="F15" i="16"/>
  <c r="F14" i="16"/>
  <c r="F11" i="16"/>
  <c r="I2" i="16"/>
  <c r="I1" i="16"/>
  <c r="I36" i="15"/>
  <c r="D47" i="11" s="1"/>
  <c r="F47" i="11" s="1"/>
  <c r="F35" i="15"/>
  <c r="F34" i="15"/>
  <c r="E18" i="15" s="1"/>
  <c r="F18" i="15" s="1"/>
  <c r="F33" i="15"/>
  <c r="F32" i="15"/>
  <c r="F31" i="15"/>
  <c r="E14" i="15" s="1"/>
  <c r="F14" i="15" s="1"/>
  <c r="F30" i="15"/>
  <c r="E10" i="15" s="1"/>
  <c r="F10" i="15" s="1"/>
  <c r="F26" i="15"/>
  <c r="F25" i="15"/>
  <c r="F24" i="15"/>
  <c r="F23" i="15"/>
  <c r="F22" i="15"/>
  <c r="F21" i="15"/>
  <c r="F20" i="15"/>
  <c r="F19" i="15"/>
  <c r="F17" i="15"/>
  <c r="F16" i="15"/>
  <c r="E15" i="15"/>
  <c r="F15" i="15" s="1"/>
  <c r="F13" i="15"/>
  <c r="F12" i="15"/>
  <c r="F11" i="15"/>
  <c r="I2" i="15"/>
  <c r="I1" i="15"/>
  <c r="J21" i="110"/>
  <c r="I21" i="110"/>
  <c r="H21" i="110"/>
  <c r="G19" i="110"/>
  <c r="G18" i="110"/>
  <c r="G16" i="110"/>
  <c r="G15" i="110"/>
  <c r="K2" i="110"/>
  <c r="K1" i="110"/>
  <c r="F64" i="11"/>
  <c r="F63" i="11"/>
  <c r="F62" i="11"/>
  <c r="F61" i="11"/>
  <c r="D61" i="11"/>
  <c r="F60" i="11"/>
  <c r="D60" i="11"/>
  <c r="F59" i="11"/>
  <c r="D59" i="11"/>
  <c r="F58" i="11"/>
  <c r="D58" i="11"/>
  <c r="F57" i="11"/>
  <c r="D57" i="11"/>
  <c r="F56" i="11"/>
  <c r="D55" i="11"/>
  <c r="F55" i="11" s="1"/>
  <c r="D54" i="11"/>
  <c r="F54" i="11" s="1"/>
  <c r="D52" i="11"/>
  <c r="F52" i="11" s="1"/>
  <c r="D51" i="11"/>
  <c r="F51" i="11" s="1"/>
  <c r="D50" i="11"/>
  <c r="F50" i="11" s="1"/>
  <c r="F49" i="11"/>
  <c r="D49" i="11"/>
  <c r="F45" i="11"/>
  <c r="F44" i="11"/>
  <c r="F39" i="11"/>
  <c r="F38" i="11"/>
  <c r="F37" i="11"/>
  <c r="F36" i="11"/>
  <c r="F35" i="11"/>
  <c r="F34" i="11"/>
  <c r="F33" i="11"/>
  <c r="F32" i="11"/>
  <c r="F30" i="11"/>
  <c r="F29" i="11"/>
  <c r="E28" i="11"/>
  <c r="F26" i="11"/>
  <c r="F24" i="11"/>
  <c r="F22" i="11"/>
  <c r="F21" i="11"/>
  <c r="F20" i="11"/>
  <c r="F19" i="11"/>
  <c r="F18" i="11"/>
  <c r="F17" i="11"/>
  <c r="F16" i="11"/>
  <c r="F15" i="11"/>
  <c r="F14" i="11"/>
  <c r="F13" i="11"/>
  <c r="F12" i="11"/>
  <c r="F11" i="11"/>
  <c r="F23" i="11" s="1"/>
  <c r="G2" i="11"/>
  <c r="G1" i="11"/>
  <c r="M54" i="9"/>
  <c r="Q54" i="9" s="1"/>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4" i="9"/>
  <c r="A13" i="9"/>
  <c r="A12" i="9"/>
  <c r="A11" i="9"/>
  <c r="A10" i="9"/>
  <c r="N7" i="9"/>
  <c r="M7" i="9"/>
  <c r="L7" i="9"/>
  <c r="K7" i="9"/>
  <c r="J7" i="9"/>
  <c r="I7" i="9"/>
  <c r="H7" i="9"/>
  <c r="G7" i="9"/>
  <c r="F7" i="9"/>
  <c r="E7" i="9"/>
  <c r="D7" i="9"/>
  <c r="C7" i="9"/>
  <c r="B6" i="9"/>
  <c r="O5" i="9"/>
  <c r="B5" i="9"/>
  <c r="B4" i="9"/>
  <c r="O3" i="9"/>
  <c r="B3" i="9"/>
  <c r="L66" i="8"/>
  <c r="L65" i="8"/>
  <c r="L64" i="8"/>
  <c r="L63" i="8"/>
  <c r="L62" i="8"/>
  <c r="L61" i="8"/>
  <c r="L60" i="8"/>
  <c r="L59" i="8"/>
  <c r="L58" i="8"/>
  <c r="L57" i="8"/>
  <c r="L56" i="8"/>
  <c r="L55" i="8"/>
  <c r="M53" i="8"/>
  <c r="Q53" i="8" s="1"/>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4" i="8"/>
  <c r="A13" i="8"/>
  <c r="A12" i="8"/>
  <c r="A11" i="8"/>
  <c r="A10" i="8"/>
  <c r="N7" i="8"/>
  <c r="M7" i="8"/>
  <c r="L7" i="8"/>
  <c r="K7" i="8"/>
  <c r="J7" i="8"/>
  <c r="I7" i="8"/>
  <c r="H7" i="8"/>
  <c r="G7" i="8"/>
  <c r="F7" i="8"/>
  <c r="E7" i="8"/>
  <c r="D7" i="8"/>
  <c r="C7" i="8"/>
  <c r="B6" i="8"/>
  <c r="O5" i="8"/>
  <c r="B5" i="8"/>
  <c r="B4" i="8"/>
  <c r="O3" i="8"/>
  <c r="B3" i="8"/>
  <c r="O98" i="7"/>
  <c r="A98" i="7"/>
  <c r="O97" i="7"/>
  <c r="A97" i="7"/>
  <c r="O96" i="7"/>
  <c r="A96" i="7"/>
  <c r="O95" i="7"/>
  <c r="A95" i="7"/>
  <c r="O94" i="7"/>
  <c r="A94" i="7"/>
  <c r="O93" i="7"/>
  <c r="A93" i="7"/>
  <c r="O92" i="7"/>
  <c r="A92" i="7"/>
  <c r="O91" i="7"/>
  <c r="A91" i="7"/>
  <c r="O90" i="7"/>
  <c r="A90" i="7"/>
  <c r="O89" i="7"/>
  <c r="A89" i="7"/>
  <c r="O88" i="7"/>
  <c r="A88" i="7"/>
  <c r="O87" i="7"/>
  <c r="A87" i="7"/>
  <c r="O86" i="7"/>
  <c r="A86" i="7"/>
  <c r="O85" i="7"/>
  <c r="A85" i="7"/>
  <c r="O84" i="7"/>
  <c r="A84" i="7"/>
  <c r="O83" i="7"/>
  <c r="A83" i="7"/>
  <c r="O82" i="7"/>
  <c r="A82" i="7"/>
  <c r="O81" i="7"/>
  <c r="A81" i="7"/>
  <c r="O80" i="7"/>
  <c r="A80" i="7"/>
  <c r="O79" i="7"/>
  <c r="A79" i="7"/>
  <c r="O78" i="7"/>
  <c r="A78" i="7"/>
  <c r="O77" i="7"/>
  <c r="A77" i="7"/>
  <c r="O76" i="7"/>
  <c r="A76" i="7"/>
  <c r="O75" i="7"/>
  <c r="A75" i="7"/>
  <c r="O74" i="7"/>
  <c r="A74" i="7"/>
  <c r="O73" i="7"/>
  <c r="A73" i="7"/>
  <c r="O72" i="7"/>
  <c r="A72" i="7"/>
  <c r="O71" i="7"/>
  <c r="A71" i="7"/>
  <c r="O70" i="7"/>
  <c r="A70" i="7"/>
  <c r="O68" i="7"/>
  <c r="A68" i="7"/>
  <c r="O67" i="7"/>
  <c r="A67" i="7"/>
  <c r="O66" i="7"/>
  <c r="A66" i="7"/>
  <c r="O65" i="7"/>
  <c r="A65" i="7"/>
  <c r="O64" i="7"/>
  <c r="A64" i="7"/>
  <c r="K60" i="7"/>
  <c r="N10" i="7"/>
  <c r="N63" i="7" s="1"/>
  <c r="M10" i="7"/>
  <c r="M63" i="7" s="1"/>
  <c r="L10" i="7"/>
  <c r="L63" i="7" s="1"/>
  <c r="K10" i="7"/>
  <c r="K63" i="7" s="1"/>
  <c r="J10" i="7"/>
  <c r="J63" i="7" s="1"/>
  <c r="I10" i="7"/>
  <c r="I63" i="7" s="1"/>
  <c r="H10" i="7"/>
  <c r="H63" i="7" s="1"/>
  <c r="G10" i="7"/>
  <c r="G63" i="7" s="1"/>
  <c r="F10" i="7"/>
  <c r="F63" i="7" s="1"/>
  <c r="E10" i="7"/>
  <c r="E63" i="7" s="1"/>
  <c r="D10" i="7"/>
  <c r="D63" i="7" s="1"/>
  <c r="C10" i="7"/>
  <c r="C63" i="7" s="1"/>
  <c r="O5" i="7"/>
  <c r="O60" i="7" s="1"/>
  <c r="K5" i="7"/>
  <c r="B5" i="7"/>
  <c r="B60" i="7" s="1"/>
  <c r="O3" i="7"/>
  <c r="O58" i="7" s="1"/>
  <c r="B3" i="7"/>
  <c r="B58" i="7" s="1"/>
  <c r="O99" i="6"/>
  <c r="A99" i="6"/>
  <c r="O98" i="6"/>
  <c r="A98" i="6"/>
  <c r="O97" i="6"/>
  <c r="A97" i="6"/>
  <c r="O96" i="6"/>
  <c r="A96" i="6"/>
  <c r="O95" i="6"/>
  <c r="A95" i="6"/>
  <c r="O94" i="6"/>
  <c r="A94" i="6"/>
  <c r="O93" i="6"/>
  <c r="A93" i="6"/>
  <c r="O92" i="6"/>
  <c r="A92" i="6"/>
  <c r="O91" i="6"/>
  <c r="A91" i="6"/>
  <c r="O90" i="6"/>
  <c r="A90" i="6"/>
  <c r="O89" i="6"/>
  <c r="A89" i="6"/>
  <c r="O88" i="6"/>
  <c r="A88" i="6"/>
  <c r="O87" i="6"/>
  <c r="A87" i="6"/>
  <c r="O86" i="6"/>
  <c r="A86" i="6"/>
  <c r="O85" i="6"/>
  <c r="A85" i="6"/>
  <c r="O84" i="6"/>
  <c r="A84" i="6"/>
  <c r="O83" i="6"/>
  <c r="A83" i="6"/>
  <c r="O82" i="6"/>
  <c r="A82" i="6"/>
  <c r="O81" i="6"/>
  <c r="A81" i="6"/>
  <c r="O80" i="6"/>
  <c r="A80" i="6"/>
  <c r="O79" i="6"/>
  <c r="A79" i="6"/>
  <c r="O78" i="6"/>
  <c r="A78" i="6"/>
  <c r="O77" i="6"/>
  <c r="A77" i="6"/>
  <c r="O76" i="6"/>
  <c r="A76" i="6"/>
  <c r="O75" i="6"/>
  <c r="A75" i="6"/>
  <c r="O74" i="6"/>
  <c r="A74" i="6"/>
  <c r="O73" i="6"/>
  <c r="A73" i="6"/>
  <c r="O72" i="6"/>
  <c r="A72" i="6"/>
  <c r="O71" i="6"/>
  <c r="A71" i="6"/>
  <c r="O69" i="6"/>
  <c r="A69" i="6"/>
  <c r="O68" i="6"/>
  <c r="A68" i="6"/>
  <c r="O67" i="6"/>
  <c r="A67" i="6"/>
  <c r="O66" i="6"/>
  <c r="A66" i="6"/>
  <c r="O65" i="6"/>
  <c r="A65" i="6"/>
  <c r="N64" i="6"/>
  <c r="M64" i="6"/>
  <c r="L64" i="6"/>
  <c r="K64" i="6"/>
  <c r="J64" i="6"/>
  <c r="I64" i="6"/>
  <c r="H64" i="6"/>
  <c r="G64" i="6"/>
  <c r="F64" i="6"/>
  <c r="E64" i="6"/>
  <c r="D64" i="6"/>
  <c r="C64" i="6"/>
  <c r="K61" i="6"/>
  <c r="N5" i="6"/>
  <c r="O61" i="6" s="1"/>
  <c r="K5" i="6"/>
  <c r="B5" i="6"/>
  <c r="B61" i="6" s="1"/>
  <c r="N3" i="6"/>
  <c r="O59" i="6" s="1"/>
  <c r="B3" i="6"/>
  <c r="B59" i="6" s="1"/>
  <c r="C41" i="5"/>
  <c r="O40" i="5"/>
  <c r="N40" i="5"/>
  <c r="M40" i="5"/>
  <c r="L40" i="5"/>
  <c r="K40" i="5"/>
  <c r="J40" i="5"/>
  <c r="I40" i="5"/>
  <c r="H40" i="5"/>
  <c r="G40" i="5"/>
  <c r="F40" i="5"/>
  <c r="E40" i="5"/>
  <c r="D40" i="5"/>
  <c r="C39" i="5"/>
  <c r="B46" i="7" s="1"/>
  <c r="B45" i="7"/>
  <c r="C37" i="5"/>
  <c r="P37" i="5" s="1"/>
  <c r="C36" i="5"/>
  <c r="P36" i="5" s="1"/>
  <c r="C35" i="5"/>
  <c r="P35" i="5" s="1"/>
  <c r="P34" i="5"/>
  <c r="B41" i="6" s="1"/>
  <c r="C34" i="5"/>
  <c r="B41" i="7" s="1"/>
  <c r="P33" i="5"/>
  <c r="C32" i="5"/>
  <c r="C31" i="5"/>
  <c r="B90" i="7" s="1"/>
  <c r="C27" i="5"/>
  <c r="P27" i="5" s="1"/>
  <c r="B87" i="6" s="1"/>
  <c r="C25" i="5"/>
  <c r="B32" i="7" s="1"/>
  <c r="C23" i="5"/>
  <c r="C22" i="5"/>
  <c r="B81" i="7" s="1"/>
  <c r="C21" i="5"/>
  <c r="C20" i="5"/>
  <c r="B27" i="7" s="1"/>
  <c r="C19" i="5"/>
  <c r="P19" i="5" s="1"/>
  <c r="P18" i="5"/>
  <c r="C18" i="5"/>
  <c r="C17" i="5"/>
  <c r="P16" i="5"/>
  <c r="B23" i="6" s="1"/>
  <c r="C16" i="5"/>
  <c r="B23" i="7" s="1"/>
  <c r="C15" i="5"/>
  <c r="B22" i="7" s="1"/>
  <c r="C14" i="5"/>
  <c r="B73" i="7" s="1"/>
  <c r="B67" i="7"/>
  <c r="B66" i="7"/>
  <c r="B13" i="7"/>
  <c r="N2" i="5"/>
  <c r="L1" i="5"/>
  <c r="C1" i="5"/>
  <c r="F36" i="15" l="1"/>
  <c r="F27" i="15"/>
  <c r="C11" i="5" s="1"/>
  <c r="P11" i="5" s="1"/>
  <c r="B18" i="6" s="1"/>
  <c r="B26" i="6"/>
  <c r="B79" i="6"/>
  <c r="P22" i="5"/>
  <c r="B94" i="6"/>
  <c r="B79" i="7"/>
  <c r="B21" i="7"/>
  <c r="I25" i="9"/>
  <c r="B29" i="7"/>
  <c r="B76" i="6"/>
  <c r="F67" i="16"/>
  <c r="F70" i="16" s="1"/>
  <c r="E51" i="16" s="1"/>
  <c r="F51" i="16" s="1"/>
  <c r="F50" i="16"/>
  <c r="F53" i="16" s="1"/>
  <c r="L25" i="8"/>
  <c r="H39" i="8"/>
  <c r="I39" i="8"/>
  <c r="G20" i="8"/>
  <c r="L20" i="9"/>
  <c r="B21" i="9"/>
  <c r="H21" i="9"/>
  <c r="L21" i="9"/>
  <c r="D25" i="8"/>
  <c r="H25" i="8"/>
  <c r="B97" i="6"/>
  <c r="B44" i="6"/>
  <c r="P25" i="5"/>
  <c r="B82" i="7"/>
  <c r="B30" i="7"/>
  <c r="P23" i="5"/>
  <c r="I21" i="9"/>
  <c r="I21" i="8"/>
  <c r="I44" i="9"/>
  <c r="I44" i="8"/>
  <c r="K20" i="8"/>
  <c r="K20" i="9"/>
  <c r="M20" i="8"/>
  <c r="M20" i="9"/>
  <c r="B30" i="8"/>
  <c r="B30" i="9"/>
  <c r="B24" i="7"/>
  <c r="B76" i="7"/>
  <c r="P17" i="5"/>
  <c r="B77" i="7"/>
  <c r="B25" i="7"/>
  <c r="B95" i="7"/>
  <c r="B78" i="6"/>
  <c r="B25" i="6"/>
  <c r="B96" i="6"/>
  <c r="B43" i="6"/>
  <c r="B84" i="7"/>
  <c r="J49" i="7"/>
  <c r="J49" i="6"/>
  <c r="P41" i="5"/>
  <c r="B18" i="7"/>
  <c r="B70" i="7"/>
  <c r="L39" i="8"/>
  <c r="L39" i="9"/>
  <c r="B43" i="7"/>
  <c r="J25" i="8"/>
  <c r="J25" i="9"/>
  <c r="B42" i="6"/>
  <c r="B95" i="6"/>
  <c r="B42" i="7"/>
  <c r="B94" i="7"/>
  <c r="B74" i="7"/>
  <c r="B20" i="8"/>
  <c r="B25" i="8"/>
  <c r="B44" i="8"/>
  <c r="B78" i="7"/>
  <c r="B26" i="7"/>
  <c r="B86" i="7"/>
  <c r="B34" i="7"/>
  <c r="B75" i="7"/>
  <c r="L20" i="8"/>
  <c r="B25" i="9"/>
  <c r="P14" i="5"/>
  <c r="P20" i="5"/>
  <c r="P31" i="5"/>
  <c r="B96" i="7"/>
  <c r="B44" i="7"/>
  <c r="B20" i="9"/>
  <c r="B91" i="7"/>
  <c r="B39" i="7"/>
  <c r="B38" i="7"/>
  <c r="B93" i="7"/>
  <c r="B98" i="7"/>
  <c r="B28" i="7"/>
  <c r="B80" i="7"/>
  <c r="B44" i="9"/>
  <c r="P15" i="5"/>
  <c r="P21" i="5"/>
  <c r="P32" i="5"/>
  <c r="P39" i="5"/>
  <c r="B21" i="8"/>
  <c r="B34" i="6"/>
  <c r="B39" i="8"/>
  <c r="B39" i="9"/>
  <c r="G20" i="9"/>
  <c r="I27" i="114"/>
  <c r="I29" i="114" s="1"/>
  <c r="I28" i="114"/>
  <c r="H28" i="114"/>
  <c r="H27" i="114"/>
  <c r="H29" i="114" s="1"/>
  <c r="I30" i="112"/>
  <c r="I29" i="112"/>
  <c r="I31" i="112" s="1"/>
  <c r="H29" i="112"/>
  <c r="H31" i="112" s="1"/>
  <c r="H30" i="112"/>
  <c r="G21" i="110"/>
  <c r="G22" i="110" s="1"/>
  <c r="I22" i="110"/>
  <c r="I23" i="110"/>
  <c r="I24" i="110" s="1"/>
  <c r="H26" i="111"/>
  <c r="H25" i="111"/>
  <c r="I26" i="111"/>
  <c r="I25" i="111"/>
  <c r="I27" i="111" s="1"/>
  <c r="G31" i="113"/>
  <c r="G32" i="113" s="1"/>
  <c r="J26" i="111"/>
  <c r="J25" i="111"/>
  <c r="J27" i="111" s="1"/>
  <c r="J28" i="114"/>
  <c r="J27" i="114"/>
  <c r="J30" i="112"/>
  <c r="J29" i="112"/>
  <c r="J31" i="112" s="1"/>
  <c r="J32" i="113"/>
  <c r="J34" i="113" s="1"/>
  <c r="J33" i="113"/>
  <c r="I33" i="113"/>
  <c r="I32" i="113"/>
  <c r="H33" i="113"/>
  <c r="H32" i="113"/>
  <c r="H34" i="113" s="1"/>
  <c r="J23" i="110"/>
  <c r="J22" i="110"/>
  <c r="H23" i="110"/>
  <c r="H22" i="110"/>
  <c r="H24" i="110" s="1"/>
  <c r="P38" i="5"/>
  <c r="B98" i="6" s="1"/>
  <c r="B43" i="8"/>
  <c r="B43" i="9"/>
  <c r="B97" i="7"/>
  <c r="P8" i="5"/>
  <c r="B68" i="6" s="1"/>
  <c r="B40" i="6"/>
  <c r="B93" i="6"/>
  <c r="B40" i="7"/>
  <c r="B92" i="7"/>
  <c r="B15" i="7"/>
  <c r="P7" i="5"/>
  <c r="B14" i="7"/>
  <c r="P6" i="5"/>
  <c r="B13" i="6" s="1"/>
  <c r="B65" i="7"/>
  <c r="B11" i="9"/>
  <c r="B11" i="8"/>
  <c r="G28" i="112"/>
  <c r="B72" i="7"/>
  <c r="B20" i="7"/>
  <c r="P13" i="5"/>
  <c r="G26" i="114"/>
  <c r="G24" i="111"/>
  <c r="D65" i="11"/>
  <c r="F53" i="11"/>
  <c r="F65" i="11" s="1"/>
  <c r="E31" i="11" s="1"/>
  <c r="F31" i="11" s="1"/>
  <c r="F40" i="11" s="1"/>
  <c r="C5" i="5" s="1"/>
  <c r="V21" i="17"/>
  <c r="E21" i="17" s="1"/>
  <c r="N14" i="7" l="1"/>
  <c r="M14" i="7"/>
  <c r="L14" i="7"/>
  <c r="K14" i="7"/>
  <c r="J14" i="7"/>
  <c r="I14" i="7"/>
  <c r="H14" i="7"/>
  <c r="G14" i="7"/>
  <c r="F14" i="7"/>
  <c r="E14" i="7"/>
  <c r="D14" i="7"/>
  <c r="C14" i="7"/>
  <c r="I40" i="7"/>
  <c r="L40" i="7"/>
  <c r="J40" i="7"/>
  <c r="H40" i="7"/>
  <c r="G40" i="7"/>
  <c r="F40" i="7"/>
  <c r="E40" i="7"/>
  <c r="K40" i="7"/>
  <c r="D40" i="7"/>
  <c r="C40" i="7"/>
  <c r="N40" i="7"/>
  <c r="M40" i="7"/>
  <c r="J40" i="6"/>
  <c r="H40" i="6"/>
  <c r="G40" i="6"/>
  <c r="E40" i="6"/>
  <c r="M40" i="6"/>
  <c r="F40" i="6"/>
  <c r="N40" i="6"/>
  <c r="K40" i="6"/>
  <c r="D40" i="6"/>
  <c r="C40" i="6"/>
  <c r="L40" i="6"/>
  <c r="I40" i="6"/>
  <c r="B71" i="6"/>
  <c r="G23" i="110"/>
  <c r="G24" i="110" s="1"/>
  <c r="I25" i="8"/>
  <c r="I39" i="9"/>
  <c r="H21" i="8"/>
  <c r="H39" i="9"/>
  <c r="N27" i="9"/>
  <c r="D25" i="9"/>
  <c r="G27" i="9"/>
  <c r="L27" i="9"/>
  <c r="B27" i="8"/>
  <c r="D27" i="8"/>
  <c r="I27" i="8"/>
  <c r="F27" i="8"/>
  <c r="L21" i="8"/>
  <c r="J27" i="8"/>
  <c r="B19" i="8"/>
  <c r="C27" i="9"/>
  <c r="M27" i="9"/>
  <c r="L25" i="9"/>
  <c r="B27" i="9"/>
  <c r="B29" i="6"/>
  <c r="B82" i="6"/>
  <c r="B19" i="9"/>
  <c r="F52" i="16"/>
  <c r="F54" i="16" s="1"/>
  <c r="F55" i="16" s="1"/>
  <c r="F56" i="16" s="1"/>
  <c r="C12" i="5" s="1"/>
  <c r="H25" i="9"/>
  <c r="E39" i="9"/>
  <c r="E39" i="8"/>
  <c r="J39" i="8"/>
  <c r="J39" i="9"/>
  <c r="B28" i="6"/>
  <c r="B81" i="6"/>
  <c r="M25" i="9"/>
  <c r="M25" i="8"/>
  <c r="N30" i="8"/>
  <c r="N30" i="9"/>
  <c r="C19" i="9"/>
  <c r="C19" i="8"/>
  <c r="B22" i="6"/>
  <c r="B75" i="6"/>
  <c r="H44" i="9"/>
  <c r="H44" i="8"/>
  <c r="I20" i="8"/>
  <c r="I20" i="9"/>
  <c r="N25" i="9"/>
  <c r="N25" i="8"/>
  <c r="G25" i="8"/>
  <c r="G25" i="9"/>
  <c r="B24" i="6"/>
  <c r="B77" i="6"/>
  <c r="C30" i="8"/>
  <c r="O32" i="7"/>
  <c r="C30" i="9"/>
  <c r="P32" i="7"/>
  <c r="N19" i="8"/>
  <c r="N19" i="9"/>
  <c r="F25" i="8"/>
  <c r="F25" i="9"/>
  <c r="L44" i="8"/>
  <c r="L44" i="9"/>
  <c r="C20" i="9"/>
  <c r="P22" i="7"/>
  <c r="O22" i="7"/>
  <c r="C20" i="8"/>
  <c r="K44" i="8"/>
  <c r="K44" i="9"/>
  <c r="C25" i="9"/>
  <c r="O27" i="7"/>
  <c r="P27" i="7"/>
  <c r="C25" i="8"/>
  <c r="J20" i="9"/>
  <c r="J20" i="8"/>
  <c r="E30" i="9"/>
  <c r="E30" i="8"/>
  <c r="C27" i="8"/>
  <c r="E19" i="8"/>
  <c r="E19" i="9"/>
  <c r="N39" i="8"/>
  <c r="N39" i="9"/>
  <c r="J44" i="9"/>
  <c r="J44" i="8"/>
  <c r="D27" i="9"/>
  <c r="J21" i="9"/>
  <c r="J21" i="8"/>
  <c r="H20" i="8"/>
  <c r="H20" i="9"/>
  <c r="B32" i="9"/>
  <c r="B32" i="8"/>
  <c r="B42" i="9"/>
  <c r="B42" i="8"/>
  <c r="B24" i="9"/>
  <c r="B24" i="8"/>
  <c r="K39" i="9"/>
  <c r="K39" i="8"/>
  <c r="K21" i="9"/>
  <c r="K21" i="8"/>
  <c r="B22" i="8"/>
  <c r="B22" i="9"/>
  <c r="D30" i="9"/>
  <c r="D30" i="8"/>
  <c r="F30" i="9"/>
  <c r="F30" i="8"/>
  <c r="M27" i="8"/>
  <c r="B30" i="6"/>
  <c r="B83" i="6"/>
  <c r="G19" i="9"/>
  <c r="G19" i="8"/>
  <c r="B92" i="6"/>
  <c r="B39" i="6"/>
  <c r="G39" i="9"/>
  <c r="G39" i="8"/>
  <c r="B36" i="9"/>
  <c r="B36" i="8"/>
  <c r="M39" i="8"/>
  <c r="M39" i="9"/>
  <c r="M21" i="9"/>
  <c r="M21" i="8"/>
  <c r="M44" i="8"/>
  <c r="M44" i="9"/>
  <c r="G44" i="9"/>
  <c r="G44" i="8"/>
  <c r="E25" i="9"/>
  <c r="E25" i="8"/>
  <c r="B40" i="9"/>
  <c r="B40" i="8"/>
  <c r="G30" i="9"/>
  <c r="G30" i="8"/>
  <c r="N27" i="8"/>
  <c r="B28" i="9"/>
  <c r="B28" i="8"/>
  <c r="H19" i="9"/>
  <c r="H19" i="8"/>
  <c r="H30" i="9"/>
  <c r="H30" i="8"/>
  <c r="E27" i="9"/>
  <c r="E27" i="8"/>
  <c r="I19" i="9"/>
  <c r="I19" i="8"/>
  <c r="N21" i="8"/>
  <c r="N21" i="9"/>
  <c r="B91" i="6"/>
  <c r="B38" i="6"/>
  <c r="B32" i="6"/>
  <c r="B85" i="6"/>
  <c r="C44" i="8"/>
  <c r="O46" i="7"/>
  <c r="C44" i="9"/>
  <c r="P46" i="7"/>
  <c r="I30" i="8"/>
  <c r="I30" i="9"/>
  <c r="D39" i="9"/>
  <c r="D39" i="8"/>
  <c r="C39" i="9"/>
  <c r="O41" i="7"/>
  <c r="C39" i="8"/>
  <c r="P41" i="7"/>
  <c r="O23" i="7"/>
  <c r="C21" i="8"/>
  <c r="P23" i="7"/>
  <c r="C21" i="9"/>
  <c r="E44" i="8"/>
  <c r="E44" i="9"/>
  <c r="N20" i="9"/>
  <c r="N20" i="8"/>
  <c r="B27" i="6"/>
  <c r="B80" i="6"/>
  <c r="B41" i="8"/>
  <c r="B41" i="9"/>
  <c r="J30" i="8"/>
  <c r="J30" i="9"/>
  <c r="H27" i="8"/>
  <c r="H27" i="9"/>
  <c r="D19" i="8"/>
  <c r="D19" i="9"/>
  <c r="K19" i="9"/>
  <c r="K19" i="8"/>
  <c r="N44" i="9"/>
  <c r="N44" i="8"/>
  <c r="D20" i="9"/>
  <c r="D20" i="8"/>
  <c r="J19" i="9"/>
  <c r="J19" i="8"/>
  <c r="L19" i="8"/>
  <c r="L19" i="9"/>
  <c r="G21" i="8"/>
  <c r="G21" i="9"/>
  <c r="E21" i="9"/>
  <c r="E21" i="8"/>
  <c r="B74" i="6"/>
  <c r="B21" i="6"/>
  <c r="F39" i="9"/>
  <c r="F39" i="8"/>
  <c r="F21" i="8"/>
  <c r="F21" i="9"/>
  <c r="E20" i="9"/>
  <c r="E20" i="8"/>
  <c r="D44" i="8"/>
  <c r="D44" i="9"/>
  <c r="K30" i="8"/>
  <c r="K30" i="9"/>
  <c r="B37" i="8"/>
  <c r="B37" i="9"/>
  <c r="F44" i="9"/>
  <c r="F44" i="8"/>
  <c r="L30" i="9"/>
  <c r="L30" i="8"/>
  <c r="B46" i="6"/>
  <c r="B99" i="6"/>
  <c r="B26" i="8"/>
  <c r="B26" i="9"/>
  <c r="F20" i="9"/>
  <c r="F20" i="8"/>
  <c r="D21" i="8"/>
  <c r="D21" i="9"/>
  <c r="B16" i="9"/>
  <c r="B16" i="8"/>
  <c r="M30" i="8"/>
  <c r="M30" i="9"/>
  <c r="K27" i="9"/>
  <c r="K27" i="8"/>
  <c r="F19" i="8"/>
  <c r="F19" i="9"/>
  <c r="K25" i="8"/>
  <c r="K25" i="9"/>
  <c r="B23" i="9"/>
  <c r="B23" i="8"/>
  <c r="M19" i="8"/>
  <c r="M19" i="9"/>
  <c r="H27" i="111"/>
  <c r="C30" i="5" s="1"/>
  <c r="B89" i="7" s="1"/>
  <c r="I34" i="113"/>
  <c r="C26" i="5"/>
  <c r="B85" i="7" s="1"/>
  <c r="C24" i="5"/>
  <c r="P24" i="5" s="1"/>
  <c r="J24" i="110"/>
  <c r="C9" i="5" s="1"/>
  <c r="G33" i="113"/>
  <c r="G34" i="113" s="1"/>
  <c r="G30" i="112"/>
  <c r="G29" i="112"/>
  <c r="G26" i="111"/>
  <c r="G25" i="111"/>
  <c r="J29" i="114"/>
  <c r="G27" i="114"/>
  <c r="G28" i="114"/>
  <c r="B45" i="6"/>
  <c r="H43" i="9"/>
  <c r="H43" i="8"/>
  <c r="D43" i="8"/>
  <c r="D43" i="9"/>
  <c r="B15" i="6"/>
  <c r="I43" i="9"/>
  <c r="I43" i="8"/>
  <c r="O45" i="7"/>
  <c r="P45" i="7"/>
  <c r="C43" i="8"/>
  <c r="C43" i="9"/>
  <c r="J43" i="9"/>
  <c r="J43" i="8"/>
  <c r="G43" i="9"/>
  <c r="G43" i="8"/>
  <c r="K43" i="9"/>
  <c r="K43" i="8"/>
  <c r="L43" i="9"/>
  <c r="L43" i="8"/>
  <c r="M43" i="9"/>
  <c r="M43" i="8"/>
  <c r="E43" i="8"/>
  <c r="E43" i="9"/>
  <c r="F43" i="8"/>
  <c r="F43" i="9"/>
  <c r="N43" i="8"/>
  <c r="N43" i="9"/>
  <c r="B38" i="8"/>
  <c r="B38" i="9"/>
  <c r="B66" i="6"/>
  <c r="B13" i="9"/>
  <c r="B13" i="8"/>
  <c r="B12" i="9"/>
  <c r="B12" i="8"/>
  <c r="B67" i="6"/>
  <c r="B14" i="6"/>
  <c r="L11" i="9"/>
  <c r="L11" i="8"/>
  <c r="D11" i="8"/>
  <c r="D11" i="9"/>
  <c r="N11" i="8"/>
  <c r="N11" i="9"/>
  <c r="H11" i="9"/>
  <c r="H11" i="8"/>
  <c r="E11" i="8"/>
  <c r="E11" i="9"/>
  <c r="I11" i="9"/>
  <c r="I11" i="8"/>
  <c r="F11" i="8"/>
  <c r="F11" i="9"/>
  <c r="M11" i="8"/>
  <c r="M11" i="9"/>
  <c r="P13" i="7"/>
  <c r="C11" i="8"/>
  <c r="O13" i="7"/>
  <c r="C11" i="9"/>
  <c r="J11" i="9"/>
  <c r="J11" i="8"/>
  <c r="K11" i="9"/>
  <c r="K11" i="8"/>
  <c r="G11" i="8"/>
  <c r="G11" i="9"/>
  <c r="B20" i="6"/>
  <c r="B73" i="6"/>
  <c r="B18" i="8"/>
  <c r="B18" i="9"/>
  <c r="B12" i="7"/>
  <c r="B64" i="7"/>
  <c r="P5" i="5"/>
  <c r="B33" i="7"/>
  <c r="P26" i="5"/>
  <c r="B33" i="6" s="1"/>
  <c r="K14" i="6" l="1"/>
  <c r="I14" i="6"/>
  <c r="J14" i="6"/>
  <c r="H14" i="6"/>
  <c r="M14" i="6"/>
  <c r="N14" i="6"/>
  <c r="L14" i="6"/>
  <c r="F14" i="6"/>
  <c r="E14" i="6"/>
  <c r="D14" i="6"/>
  <c r="C14" i="6"/>
  <c r="G14" i="6"/>
  <c r="L27" i="8"/>
  <c r="F27" i="9"/>
  <c r="G27" i="8"/>
  <c r="O29" i="7"/>
  <c r="P29" i="7"/>
  <c r="J27" i="9"/>
  <c r="P21" i="7"/>
  <c r="I27" i="9"/>
  <c r="O21" i="7"/>
  <c r="P12" i="5"/>
  <c r="B71" i="7"/>
  <c r="B19" i="7"/>
  <c r="G41" i="9"/>
  <c r="G41" i="8"/>
  <c r="P21" i="9"/>
  <c r="O21" i="9"/>
  <c r="J40" i="9"/>
  <c r="J40" i="8"/>
  <c r="G36" i="8"/>
  <c r="G36" i="9"/>
  <c r="I22" i="8"/>
  <c r="I22" i="9"/>
  <c r="G42" i="8"/>
  <c r="G42" i="9"/>
  <c r="F32" i="9"/>
  <c r="F32" i="8"/>
  <c r="K23" i="9"/>
  <c r="K23" i="8"/>
  <c r="C16" i="8"/>
  <c r="O18" i="7"/>
  <c r="C16" i="9"/>
  <c r="P18" i="7"/>
  <c r="I26" i="9"/>
  <c r="I26" i="8"/>
  <c r="H41" i="9"/>
  <c r="H41" i="8"/>
  <c r="P44" i="9"/>
  <c r="O44" i="9"/>
  <c r="M28" i="9"/>
  <c r="M28" i="8"/>
  <c r="K40" i="9"/>
  <c r="K40" i="8"/>
  <c r="H36" i="8"/>
  <c r="H36" i="9"/>
  <c r="F22" i="9"/>
  <c r="F22" i="8"/>
  <c r="D24" i="8"/>
  <c r="D24" i="9"/>
  <c r="N42" i="9"/>
  <c r="N42" i="8"/>
  <c r="M32" i="9"/>
  <c r="M32" i="8"/>
  <c r="N16" i="9"/>
  <c r="N16" i="8"/>
  <c r="L23" i="9"/>
  <c r="L23" i="8"/>
  <c r="E37" i="9"/>
  <c r="E37" i="8"/>
  <c r="C28" i="8"/>
  <c r="P30" i="7"/>
  <c r="C28" i="9"/>
  <c r="O30" i="7"/>
  <c r="L40" i="9"/>
  <c r="L40" i="8"/>
  <c r="E24" i="8"/>
  <c r="E24" i="9"/>
  <c r="D42" i="9"/>
  <c r="D42" i="8"/>
  <c r="H32" i="8"/>
  <c r="H32" i="9"/>
  <c r="P20" i="8"/>
  <c r="O20" i="8"/>
  <c r="I23" i="8"/>
  <c r="I23" i="9"/>
  <c r="G26" i="8"/>
  <c r="G26" i="9"/>
  <c r="L28" i="9"/>
  <c r="L28" i="8"/>
  <c r="H16" i="9"/>
  <c r="H16" i="8"/>
  <c r="I41" i="9"/>
  <c r="I41" i="8"/>
  <c r="M23" i="9"/>
  <c r="M23" i="8"/>
  <c r="D16" i="8"/>
  <c r="D16" i="9"/>
  <c r="F16" i="9"/>
  <c r="F16" i="8"/>
  <c r="H26" i="9"/>
  <c r="H26" i="8"/>
  <c r="F37" i="8"/>
  <c r="F37" i="9"/>
  <c r="K41" i="8"/>
  <c r="K41" i="9"/>
  <c r="P44" i="8"/>
  <c r="O44" i="8"/>
  <c r="G28" i="8"/>
  <c r="G28" i="9"/>
  <c r="N40" i="9"/>
  <c r="N40" i="8"/>
  <c r="J22" i="8"/>
  <c r="J22" i="9"/>
  <c r="F24" i="9"/>
  <c r="F24" i="8"/>
  <c r="E42" i="8"/>
  <c r="E42" i="9"/>
  <c r="P30" i="9"/>
  <c r="O30" i="9"/>
  <c r="D37" i="8"/>
  <c r="D37" i="9"/>
  <c r="E16" i="8"/>
  <c r="E16" i="9"/>
  <c r="I36" i="8"/>
  <c r="I36" i="9"/>
  <c r="B83" i="7"/>
  <c r="C23" i="9"/>
  <c r="O25" i="7"/>
  <c r="P25" i="7"/>
  <c r="C23" i="8"/>
  <c r="G16" i="9"/>
  <c r="G16" i="8"/>
  <c r="J26" i="9"/>
  <c r="J26" i="8"/>
  <c r="C37" i="8"/>
  <c r="P39" i="7"/>
  <c r="O39" i="7"/>
  <c r="C37" i="9"/>
  <c r="H37" i="8"/>
  <c r="H37" i="9"/>
  <c r="C41" i="8"/>
  <c r="C41" i="9"/>
  <c r="P43" i="7"/>
  <c r="O43" i="7"/>
  <c r="N28" i="9"/>
  <c r="N28" i="8"/>
  <c r="D40" i="8"/>
  <c r="D40" i="9"/>
  <c r="O42" i="7"/>
  <c r="C40" i="8"/>
  <c r="C40" i="9"/>
  <c r="P42" i="7"/>
  <c r="N36" i="9"/>
  <c r="N36" i="8"/>
  <c r="K36" i="8"/>
  <c r="K36" i="9"/>
  <c r="G24" i="9"/>
  <c r="G24" i="8"/>
  <c r="H24" i="9"/>
  <c r="H24" i="8"/>
  <c r="F42" i="8"/>
  <c r="F42" i="9"/>
  <c r="J32" i="9"/>
  <c r="J32" i="8"/>
  <c r="N23" i="9"/>
  <c r="N23" i="8"/>
  <c r="M26" i="8"/>
  <c r="M26" i="9"/>
  <c r="P21" i="8"/>
  <c r="O21" i="8"/>
  <c r="H22" i="9"/>
  <c r="H22" i="8"/>
  <c r="B31" i="7"/>
  <c r="I29" i="8" s="1"/>
  <c r="D23" i="8"/>
  <c r="D23" i="9"/>
  <c r="K26" i="9"/>
  <c r="K26" i="8"/>
  <c r="G37" i="8"/>
  <c r="G37" i="9"/>
  <c r="I37" i="9"/>
  <c r="I37" i="8"/>
  <c r="D41" i="8"/>
  <c r="D41" i="9"/>
  <c r="L41" i="8"/>
  <c r="L41" i="9"/>
  <c r="O39" i="8"/>
  <c r="P39" i="8"/>
  <c r="E40" i="8"/>
  <c r="E40" i="9"/>
  <c r="M36" i="8"/>
  <c r="M36" i="9"/>
  <c r="L36" i="8"/>
  <c r="L36" i="9"/>
  <c r="K22" i="8"/>
  <c r="K22" i="9"/>
  <c r="C24" i="8"/>
  <c r="P26" i="7"/>
  <c r="C24" i="9"/>
  <c r="O26" i="7"/>
  <c r="I24" i="9"/>
  <c r="I24" i="8"/>
  <c r="H42" i="9"/>
  <c r="H42" i="8"/>
  <c r="K32" i="9"/>
  <c r="K32" i="8"/>
  <c r="P20" i="9"/>
  <c r="O20" i="9"/>
  <c r="O30" i="8"/>
  <c r="P30" i="8"/>
  <c r="F23" i="8"/>
  <c r="F23" i="9"/>
  <c r="J16" i="9"/>
  <c r="J16" i="8"/>
  <c r="J37" i="9"/>
  <c r="J37" i="8"/>
  <c r="F41" i="9"/>
  <c r="F41" i="8"/>
  <c r="D28" i="8"/>
  <c r="D28" i="9"/>
  <c r="F40" i="9"/>
  <c r="F40" i="8"/>
  <c r="L22" i="9"/>
  <c r="L22" i="8"/>
  <c r="J24" i="9"/>
  <c r="J24" i="8"/>
  <c r="K42" i="8"/>
  <c r="K42" i="9"/>
  <c r="L32" i="9"/>
  <c r="L32" i="8"/>
  <c r="J23" i="8"/>
  <c r="J23" i="9"/>
  <c r="L16" i="8"/>
  <c r="L16" i="9"/>
  <c r="L26" i="9"/>
  <c r="L26" i="8"/>
  <c r="K37" i="9"/>
  <c r="K37" i="8"/>
  <c r="J41" i="8"/>
  <c r="J41" i="9"/>
  <c r="P39" i="9"/>
  <c r="O39" i="9"/>
  <c r="E28" i="8"/>
  <c r="E28" i="9"/>
  <c r="G40" i="8"/>
  <c r="G40" i="9"/>
  <c r="C36" i="9"/>
  <c r="C36" i="8"/>
  <c r="O38" i="7"/>
  <c r="P38" i="7"/>
  <c r="N22" i="8"/>
  <c r="N22" i="9"/>
  <c r="J42" i="8"/>
  <c r="J42" i="9"/>
  <c r="I42" i="8"/>
  <c r="I42" i="9"/>
  <c r="N32" i="9"/>
  <c r="N32" i="8"/>
  <c r="E23" i="8"/>
  <c r="E23" i="9"/>
  <c r="L37" i="9"/>
  <c r="L37" i="8"/>
  <c r="M41" i="9"/>
  <c r="M41" i="8"/>
  <c r="F28" i="9"/>
  <c r="F28" i="8"/>
  <c r="I40" i="8"/>
  <c r="I40" i="9"/>
  <c r="D36" i="9"/>
  <c r="D36" i="8"/>
  <c r="E22" i="9"/>
  <c r="E22" i="8"/>
  <c r="C22" i="8"/>
  <c r="O24" i="7"/>
  <c r="C22" i="9"/>
  <c r="P24" i="7"/>
  <c r="K24" i="8"/>
  <c r="K24" i="9"/>
  <c r="M42" i="9"/>
  <c r="M42" i="8"/>
  <c r="E32" i="8"/>
  <c r="E32" i="9"/>
  <c r="O34" i="7"/>
  <c r="C32" i="8"/>
  <c r="C32" i="9"/>
  <c r="P34" i="7"/>
  <c r="P25" i="8"/>
  <c r="O25" i="8"/>
  <c r="P19" i="8"/>
  <c r="O19" i="8"/>
  <c r="N26" i="8"/>
  <c r="N26" i="9"/>
  <c r="K16" i="8"/>
  <c r="K16" i="9"/>
  <c r="D26" i="9"/>
  <c r="D26" i="8"/>
  <c r="O28" i="7"/>
  <c r="C26" i="8"/>
  <c r="C26" i="9"/>
  <c r="P28" i="7"/>
  <c r="M37" i="9"/>
  <c r="M37" i="8"/>
  <c r="N41" i="8"/>
  <c r="N41" i="9"/>
  <c r="H28" i="8"/>
  <c r="H28" i="9"/>
  <c r="M40" i="9"/>
  <c r="M40" i="8"/>
  <c r="F36" i="9"/>
  <c r="F36" i="8"/>
  <c r="D22" i="9"/>
  <c r="D22" i="8"/>
  <c r="L24" i="8"/>
  <c r="L24" i="9"/>
  <c r="I32" i="8"/>
  <c r="I32" i="9"/>
  <c r="I16" i="9"/>
  <c r="I16" i="8"/>
  <c r="G23" i="9"/>
  <c r="G23" i="8"/>
  <c r="E26" i="8"/>
  <c r="E26" i="9"/>
  <c r="E41" i="9"/>
  <c r="E41" i="8"/>
  <c r="K28" i="9"/>
  <c r="K28" i="8"/>
  <c r="I28" i="8"/>
  <c r="I28" i="9"/>
  <c r="J36" i="9"/>
  <c r="J36" i="8"/>
  <c r="M24" i="8"/>
  <c r="M24" i="9"/>
  <c r="L42" i="9"/>
  <c r="L42" i="8"/>
  <c r="D32" i="8"/>
  <c r="D32" i="9"/>
  <c r="P27" i="8"/>
  <c r="H40" i="8"/>
  <c r="H40" i="9"/>
  <c r="G22" i="9"/>
  <c r="G22" i="8"/>
  <c r="H23" i="8"/>
  <c r="H23" i="9"/>
  <c r="M16" i="8"/>
  <c r="M16" i="9"/>
  <c r="F26" i="8"/>
  <c r="F26" i="9"/>
  <c r="N37" i="8"/>
  <c r="N37" i="9"/>
  <c r="J28" i="9"/>
  <c r="J28" i="8"/>
  <c r="E36" i="9"/>
  <c r="E36" i="8"/>
  <c r="M22" i="8"/>
  <c r="M22" i="9"/>
  <c r="N24" i="9"/>
  <c r="N24" i="8"/>
  <c r="C42" i="9"/>
  <c r="P44" i="7"/>
  <c r="C42" i="8"/>
  <c r="O44" i="7"/>
  <c r="G32" i="8"/>
  <c r="G32" i="9"/>
  <c r="P25" i="9"/>
  <c r="O25" i="9"/>
  <c r="P19" i="9"/>
  <c r="O19" i="9"/>
  <c r="B37" i="7"/>
  <c r="C35" i="9" s="1"/>
  <c r="P30" i="5"/>
  <c r="B90" i="6" s="1"/>
  <c r="C28" i="5"/>
  <c r="C40" i="5" s="1"/>
  <c r="Q40" i="5" s="1"/>
  <c r="B84" i="6"/>
  <c r="B31" i="6"/>
  <c r="P9" i="5"/>
  <c r="B16" i="6" s="1"/>
  <c r="B16" i="7"/>
  <c r="B68" i="7"/>
  <c r="G29" i="114"/>
  <c r="G31" i="112"/>
  <c r="G27" i="111"/>
  <c r="B86" i="6"/>
  <c r="O43" i="9"/>
  <c r="P43" i="9"/>
  <c r="P43" i="8"/>
  <c r="O43" i="8"/>
  <c r="C38" i="8"/>
  <c r="C38" i="9"/>
  <c r="P40" i="7"/>
  <c r="O40" i="7"/>
  <c r="K38" i="8"/>
  <c r="K38" i="9"/>
  <c r="D38" i="9"/>
  <c r="D38" i="8"/>
  <c r="E38" i="8"/>
  <c r="E38" i="9"/>
  <c r="F38" i="9"/>
  <c r="F38" i="8"/>
  <c r="G38" i="9"/>
  <c r="G38" i="8"/>
  <c r="J38" i="9"/>
  <c r="J38" i="8"/>
  <c r="N38" i="8"/>
  <c r="N38" i="9"/>
  <c r="H38" i="9"/>
  <c r="H38" i="8"/>
  <c r="L38" i="8"/>
  <c r="L38" i="9"/>
  <c r="M38" i="8"/>
  <c r="M38" i="9"/>
  <c r="I38" i="8"/>
  <c r="I38" i="9"/>
  <c r="K13" i="8"/>
  <c r="K13" i="9"/>
  <c r="N13" i="9"/>
  <c r="N13" i="8"/>
  <c r="M13" i="8"/>
  <c r="M13" i="9"/>
  <c r="D13" i="8"/>
  <c r="D13" i="9"/>
  <c r="J13" i="8"/>
  <c r="J13" i="9"/>
  <c r="L13" i="8"/>
  <c r="L13" i="9"/>
  <c r="P15" i="7"/>
  <c r="O15" i="7"/>
  <c r="C13" i="9"/>
  <c r="C13" i="8"/>
  <c r="E13" i="8"/>
  <c r="E13" i="9"/>
  <c r="F13" i="8"/>
  <c r="F13" i="9"/>
  <c r="H13" i="9"/>
  <c r="H13" i="8"/>
  <c r="I13" i="8"/>
  <c r="I13" i="9"/>
  <c r="G13" i="8"/>
  <c r="G13" i="9"/>
  <c r="I12" i="8"/>
  <c r="I12" i="9"/>
  <c r="D12" i="9"/>
  <c r="D12" i="8"/>
  <c r="E12" i="9"/>
  <c r="E12" i="8"/>
  <c r="P14" i="7"/>
  <c r="C12" i="9"/>
  <c r="O14" i="7"/>
  <c r="C12" i="8"/>
  <c r="F12" i="9"/>
  <c r="F12" i="8"/>
  <c r="H12" i="9"/>
  <c r="H12" i="8"/>
  <c r="L12" i="8"/>
  <c r="L12" i="9"/>
  <c r="N12" i="9"/>
  <c r="N12" i="8"/>
  <c r="J12" i="8"/>
  <c r="J12" i="9"/>
  <c r="G12" i="9"/>
  <c r="G12" i="8"/>
  <c r="K12" i="8"/>
  <c r="K12" i="9"/>
  <c r="M12" i="9"/>
  <c r="M12" i="8"/>
  <c r="P11" i="9"/>
  <c r="O11" i="9"/>
  <c r="P11" i="8"/>
  <c r="O11" i="8"/>
  <c r="F29" i="8"/>
  <c r="M29" i="9"/>
  <c r="N29" i="8"/>
  <c r="H29" i="9"/>
  <c r="K29" i="8"/>
  <c r="E29" i="8"/>
  <c r="G29" i="8"/>
  <c r="L29" i="8"/>
  <c r="C29" i="9"/>
  <c r="D29" i="8"/>
  <c r="N18" i="8"/>
  <c r="N18" i="9"/>
  <c r="D18" i="8"/>
  <c r="D18" i="9"/>
  <c r="G18" i="8"/>
  <c r="G18" i="9"/>
  <c r="O20" i="7"/>
  <c r="C18" i="8"/>
  <c r="C18" i="9"/>
  <c r="P20" i="7"/>
  <c r="E18" i="8"/>
  <c r="E18" i="9"/>
  <c r="L18" i="8"/>
  <c r="L18" i="9"/>
  <c r="I18" i="9"/>
  <c r="I18" i="8"/>
  <c r="F18" i="8"/>
  <c r="F18" i="9"/>
  <c r="K18" i="8"/>
  <c r="K18" i="9"/>
  <c r="H18" i="9"/>
  <c r="H18" i="8"/>
  <c r="J18" i="8"/>
  <c r="J18" i="9"/>
  <c r="M18" i="9"/>
  <c r="M18" i="8"/>
  <c r="G35" i="9"/>
  <c r="C35" i="8"/>
  <c r="B12" i="6"/>
  <c r="B65" i="6"/>
  <c r="B88" i="7"/>
  <c r="B36" i="7"/>
  <c r="P29" i="5"/>
  <c r="B10" i="8"/>
  <c r="B10" i="9"/>
  <c r="I31" i="8"/>
  <c r="L31" i="9"/>
  <c r="N31" i="8"/>
  <c r="F31" i="9"/>
  <c r="J31" i="8"/>
  <c r="K31" i="8"/>
  <c r="M31" i="8"/>
  <c r="E31" i="8"/>
  <c r="B31" i="9"/>
  <c r="B31" i="8"/>
  <c r="G31" i="9"/>
  <c r="H31" i="9"/>
  <c r="H31" i="8"/>
  <c r="O14" i="6" l="1"/>
  <c r="P14" i="6"/>
  <c r="O27" i="8"/>
  <c r="Q27" i="8" s="1"/>
  <c r="O27" i="9"/>
  <c r="P28" i="6"/>
  <c r="O24" i="6"/>
  <c r="P29" i="6"/>
  <c r="P38" i="6"/>
  <c r="P45" i="6"/>
  <c r="P27" i="9"/>
  <c r="B29" i="9"/>
  <c r="H35" i="9"/>
  <c r="D35" i="9"/>
  <c r="Q43" i="9"/>
  <c r="Q39" i="8"/>
  <c r="I29" i="9"/>
  <c r="O29" i="6"/>
  <c r="B17" i="9"/>
  <c r="B17" i="8"/>
  <c r="B72" i="6"/>
  <c r="B19" i="6"/>
  <c r="Q20" i="9"/>
  <c r="L35" i="9"/>
  <c r="I31" i="9"/>
  <c r="N35" i="8"/>
  <c r="J35" i="8"/>
  <c r="Q30" i="9"/>
  <c r="K35" i="8"/>
  <c r="H14" i="9"/>
  <c r="I35" i="8"/>
  <c r="B35" i="8"/>
  <c r="B35" i="9"/>
  <c r="F35" i="8"/>
  <c r="Q25" i="9"/>
  <c r="Q30" i="8"/>
  <c r="Q21" i="8"/>
  <c r="E35" i="9"/>
  <c r="Q44" i="9"/>
  <c r="Q19" i="9"/>
  <c r="O36" i="8"/>
  <c r="P36" i="8"/>
  <c r="Q19" i="8"/>
  <c r="P36" i="9"/>
  <c r="O36" i="9"/>
  <c r="Q39" i="9"/>
  <c r="P24" i="9"/>
  <c r="O24" i="9"/>
  <c r="P41" i="9"/>
  <c r="O41" i="9"/>
  <c r="O40" i="9"/>
  <c r="P40" i="9"/>
  <c r="P41" i="8"/>
  <c r="O41" i="8"/>
  <c r="L31" i="8"/>
  <c r="M35" i="9"/>
  <c r="P26" i="9"/>
  <c r="O26" i="9"/>
  <c r="Q25" i="8"/>
  <c r="P22" i="9"/>
  <c r="O22" i="9"/>
  <c r="P24" i="8"/>
  <c r="O24" i="8"/>
  <c r="P40" i="8"/>
  <c r="O40" i="8"/>
  <c r="P23" i="8"/>
  <c r="O23" i="8"/>
  <c r="O26" i="8"/>
  <c r="P26" i="8"/>
  <c r="B29" i="8"/>
  <c r="P31" i="7"/>
  <c r="P16" i="9"/>
  <c r="O16" i="9"/>
  <c r="P42" i="8"/>
  <c r="O42" i="8"/>
  <c r="O23" i="9"/>
  <c r="P23" i="9"/>
  <c r="P32" i="8"/>
  <c r="O32" i="8"/>
  <c r="B37" i="6"/>
  <c r="P37" i="9"/>
  <c r="O37" i="9"/>
  <c r="Q44" i="8"/>
  <c r="O28" i="9"/>
  <c r="P28" i="9"/>
  <c r="P16" i="8"/>
  <c r="O16" i="8"/>
  <c r="O32" i="6"/>
  <c r="Q20" i="8"/>
  <c r="P28" i="8"/>
  <c r="O28" i="8"/>
  <c r="Q21" i="9"/>
  <c r="O32" i="9"/>
  <c r="P32" i="9"/>
  <c r="O22" i="8"/>
  <c r="P22" i="8"/>
  <c r="P42" i="9"/>
  <c r="O42" i="9"/>
  <c r="G14" i="8"/>
  <c r="P37" i="8"/>
  <c r="O37" i="8"/>
  <c r="B87" i="7"/>
  <c r="B35" i="7"/>
  <c r="B47" i="7" s="1"/>
  <c r="P28" i="5"/>
  <c r="P40" i="5" s="1"/>
  <c r="H29" i="8"/>
  <c r="K29" i="9"/>
  <c r="C29" i="8"/>
  <c r="K14" i="9"/>
  <c r="B14" i="8"/>
  <c r="D14" i="9"/>
  <c r="N14" i="9"/>
  <c r="B14" i="9"/>
  <c r="L14" i="9"/>
  <c r="M14" i="8"/>
  <c r="I14" i="8"/>
  <c r="B69" i="6"/>
  <c r="E14" i="8"/>
  <c r="F14" i="9"/>
  <c r="J14" i="8"/>
  <c r="J31" i="9"/>
  <c r="E29" i="9"/>
  <c r="N31" i="9"/>
  <c r="G31" i="8"/>
  <c r="O33" i="7"/>
  <c r="K31" i="9"/>
  <c r="F31" i="8"/>
  <c r="P33" i="7"/>
  <c r="C31" i="8"/>
  <c r="N29" i="9"/>
  <c r="L29" i="9"/>
  <c r="M29" i="8"/>
  <c r="F29" i="9"/>
  <c r="Q43" i="8"/>
  <c r="P38" i="9"/>
  <c r="O38" i="9"/>
  <c r="O38" i="8"/>
  <c r="P38" i="8"/>
  <c r="P13" i="8"/>
  <c r="O13" i="8"/>
  <c r="P13" i="9"/>
  <c r="O13" i="9"/>
  <c r="P12" i="8"/>
  <c r="O12" i="8"/>
  <c r="Q11" i="8"/>
  <c r="P12" i="9"/>
  <c r="O12" i="9"/>
  <c r="Q11" i="9"/>
  <c r="G29" i="9"/>
  <c r="D29" i="9"/>
  <c r="O31" i="7"/>
  <c r="P18" i="9"/>
  <c r="O18" i="9"/>
  <c r="P18" i="8"/>
  <c r="O18" i="8"/>
  <c r="L35" i="8"/>
  <c r="D35" i="8"/>
  <c r="H35" i="8"/>
  <c r="K35" i="9"/>
  <c r="N35" i="9"/>
  <c r="J35" i="9"/>
  <c r="G35" i="8"/>
  <c r="E10" i="8"/>
  <c r="E10" i="9"/>
  <c r="C10" i="9"/>
  <c r="P12" i="7"/>
  <c r="O12" i="7"/>
  <c r="C10" i="8"/>
  <c r="B89" i="6"/>
  <c r="B36" i="6"/>
  <c r="N10" i="8"/>
  <c r="N10" i="9"/>
  <c r="D10" i="8"/>
  <c r="D10" i="9"/>
  <c r="M10" i="8"/>
  <c r="M10" i="9"/>
  <c r="H10" i="8"/>
  <c r="H10" i="9"/>
  <c r="B34" i="8"/>
  <c r="B34" i="9"/>
  <c r="L10" i="8"/>
  <c r="L10" i="9"/>
  <c r="F10" i="8"/>
  <c r="F10" i="9"/>
  <c r="G10" i="8"/>
  <c r="G10" i="9"/>
  <c r="I10" i="8"/>
  <c r="I10" i="9"/>
  <c r="J10" i="9"/>
  <c r="J10" i="8"/>
  <c r="K10" i="9"/>
  <c r="K10" i="8"/>
  <c r="E31" i="9"/>
  <c r="C31" i="9"/>
  <c r="M31" i="9"/>
  <c r="D31" i="8"/>
  <c r="D31" i="9"/>
  <c r="H14" i="8"/>
  <c r="Q27" i="9" l="1"/>
  <c r="O39" i="6"/>
  <c r="O46" i="6"/>
  <c r="P46" i="6"/>
  <c r="P32" i="6"/>
  <c r="O30" i="6"/>
  <c r="P33" i="6"/>
  <c r="P27" i="6"/>
  <c r="O28" i="6"/>
  <c r="O38" i="6"/>
  <c r="P39" i="6"/>
  <c r="O44" i="6"/>
  <c r="P44" i="6"/>
  <c r="P40" i="6"/>
  <c r="O40" i="6"/>
  <c r="O42" i="6"/>
  <c r="P42" i="6"/>
  <c r="O41" i="6"/>
  <c r="P41" i="6"/>
  <c r="O34" i="6"/>
  <c r="P34" i="6"/>
  <c r="O45" i="6"/>
  <c r="O25" i="6"/>
  <c r="P25" i="6"/>
  <c r="P30" i="6"/>
  <c r="P26" i="6"/>
  <c r="O26" i="6"/>
  <c r="O27" i="6"/>
  <c r="P24" i="6"/>
  <c r="O33" i="6"/>
  <c r="P43" i="6"/>
  <c r="O43" i="6"/>
  <c r="I35" i="9"/>
  <c r="Q24" i="8"/>
  <c r="E35" i="8"/>
  <c r="Q22" i="8"/>
  <c r="Q32" i="9"/>
  <c r="Q23" i="9"/>
  <c r="O31" i="6"/>
  <c r="P31" i="6"/>
  <c r="J15" i="8"/>
  <c r="J15" i="9"/>
  <c r="D15" i="8"/>
  <c r="D15" i="9"/>
  <c r="M15" i="9"/>
  <c r="M15" i="8"/>
  <c r="I15" i="9"/>
  <c r="I15" i="8"/>
  <c r="C15" i="9"/>
  <c r="C15" i="8"/>
  <c r="H15" i="8"/>
  <c r="H15" i="9"/>
  <c r="G15" i="9"/>
  <c r="G15" i="8"/>
  <c r="K15" i="8"/>
  <c r="K15" i="9"/>
  <c r="F15" i="8"/>
  <c r="F15" i="9"/>
  <c r="E15" i="8"/>
  <c r="E15" i="9"/>
  <c r="N15" i="9"/>
  <c r="N15" i="8"/>
  <c r="Q36" i="8"/>
  <c r="L15" i="8"/>
  <c r="L15" i="9"/>
  <c r="D17" i="9"/>
  <c r="D17" i="8"/>
  <c r="E17" i="9"/>
  <c r="E17" i="8"/>
  <c r="F17" i="9"/>
  <c r="F17" i="8"/>
  <c r="G17" i="8"/>
  <c r="G17" i="9"/>
  <c r="I17" i="9"/>
  <c r="I17" i="8"/>
  <c r="H17" i="8"/>
  <c r="H17" i="9"/>
  <c r="K17" i="8"/>
  <c r="K17" i="9"/>
  <c r="M17" i="8"/>
  <c r="M17" i="9"/>
  <c r="J17" i="8"/>
  <c r="J17" i="9"/>
  <c r="O19" i="7"/>
  <c r="C17" i="9"/>
  <c r="C17" i="8"/>
  <c r="P19" i="7"/>
  <c r="N17" i="9"/>
  <c r="N17" i="8"/>
  <c r="L17" i="9"/>
  <c r="L17" i="8"/>
  <c r="Q16" i="9"/>
  <c r="O17" i="7"/>
  <c r="P17" i="7"/>
  <c r="O37" i="7"/>
  <c r="F35" i="9"/>
  <c r="Q28" i="9"/>
  <c r="G14" i="9"/>
  <c r="P37" i="7"/>
  <c r="M35" i="8"/>
  <c r="K14" i="8"/>
  <c r="Q16" i="8"/>
  <c r="Q32" i="8"/>
  <c r="D14" i="8"/>
  <c r="Q28" i="8"/>
  <c r="Q24" i="9"/>
  <c r="Q23" i="8"/>
  <c r="Q42" i="9"/>
  <c r="Q42" i="8"/>
  <c r="Q40" i="8"/>
  <c r="Q36" i="9"/>
  <c r="Q37" i="9"/>
  <c r="J29" i="8"/>
  <c r="P29" i="8" s="1"/>
  <c r="J29" i="9"/>
  <c r="P29" i="9" s="1"/>
  <c r="Q41" i="8"/>
  <c r="Q22" i="9"/>
  <c r="Q40" i="9"/>
  <c r="Q18" i="8"/>
  <c r="Q37" i="8"/>
  <c r="Q26" i="8"/>
  <c r="Q26" i="9"/>
  <c r="Q41" i="9"/>
  <c r="B88" i="6"/>
  <c r="B35" i="6"/>
  <c r="B47" i="6" s="1"/>
  <c r="B33" i="9"/>
  <c r="B45" i="9" s="1"/>
  <c r="N47" i="7"/>
  <c r="B33" i="8"/>
  <c r="B45" i="8" s="1"/>
  <c r="J47" i="7"/>
  <c r="M47" i="7"/>
  <c r="I47" i="7"/>
  <c r="I14" i="9"/>
  <c r="M14" i="9"/>
  <c r="E14" i="9"/>
  <c r="L14" i="8"/>
  <c r="F14" i="8"/>
  <c r="J14" i="9"/>
  <c r="P16" i="7"/>
  <c r="C14" i="8"/>
  <c r="O16" i="7"/>
  <c r="C14" i="9"/>
  <c r="N14" i="8"/>
  <c r="Q38" i="8"/>
  <c r="O31" i="9"/>
  <c r="P31" i="8"/>
  <c r="O31" i="8"/>
  <c r="P31" i="9"/>
  <c r="Q38" i="9"/>
  <c r="Q13" i="9"/>
  <c r="Q13" i="8"/>
  <c r="Q12" i="8"/>
  <c r="Q12" i="9"/>
  <c r="Q18" i="9"/>
  <c r="N34" i="8"/>
  <c r="N34" i="9"/>
  <c r="D34" i="8"/>
  <c r="D34" i="9"/>
  <c r="P36" i="7"/>
  <c r="O36" i="7"/>
  <c r="C34" i="8"/>
  <c r="C34" i="9"/>
  <c r="E34" i="8"/>
  <c r="E34" i="9"/>
  <c r="F34" i="8"/>
  <c r="F34" i="9"/>
  <c r="I34" i="8"/>
  <c r="I34" i="9"/>
  <c r="G34" i="8"/>
  <c r="G34" i="9"/>
  <c r="P10" i="8"/>
  <c r="O10" i="8"/>
  <c r="J34" i="8"/>
  <c r="J34" i="9"/>
  <c r="H34" i="8"/>
  <c r="H34" i="9"/>
  <c r="K34" i="8"/>
  <c r="K34" i="9"/>
  <c r="O10" i="9"/>
  <c r="P10" i="9"/>
  <c r="L34" i="9"/>
  <c r="L34" i="8"/>
  <c r="C47" i="7"/>
  <c r="M34" i="8"/>
  <c r="M34" i="9"/>
  <c r="P35" i="9" l="1"/>
  <c r="P35" i="8"/>
  <c r="O35" i="9"/>
  <c r="P15" i="8"/>
  <c r="O15" i="8"/>
  <c r="P15" i="9"/>
  <c r="O15" i="9"/>
  <c r="O17" i="8"/>
  <c r="P17" i="8"/>
  <c r="O17" i="9"/>
  <c r="P17" i="9"/>
  <c r="O35" i="8"/>
  <c r="O29" i="9"/>
  <c r="Q29" i="9" s="1"/>
  <c r="O29" i="8"/>
  <c r="Q29" i="8" s="1"/>
  <c r="O37" i="6"/>
  <c r="P37" i="6"/>
  <c r="E33" i="9"/>
  <c r="E45" i="9" s="1"/>
  <c r="E46" i="9" s="1"/>
  <c r="E33" i="8"/>
  <c r="E45" i="8" s="1"/>
  <c r="E46" i="8" s="1"/>
  <c r="D33" i="8"/>
  <c r="D45" i="8" s="1"/>
  <c r="D46" i="8" s="1"/>
  <c r="D33" i="9"/>
  <c r="D45" i="9" s="1"/>
  <c r="D46" i="9" s="1"/>
  <c r="F33" i="8"/>
  <c r="F45" i="8" s="1"/>
  <c r="F46" i="8" s="1"/>
  <c r="F33" i="9"/>
  <c r="F45" i="9" s="1"/>
  <c r="F46" i="9" s="1"/>
  <c r="L33" i="9"/>
  <c r="L45" i="9" s="1"/>
  <c r="L46" i="9" s="1"/>
  <c r="L33" i="8"/>
  <c r="L45" i="8" s="1"/>
  <c r="L46" i="8" s="1"/>
  <c r="N33" i="9"/>
  <c r="N45" i="9" s="1"/>
  <c r="N46" i="9" s="1"/>
  <c r="N33" i="8"/>
  <c r="N45" i="8" s="1"/>
  <c r="N46" i="8" s="1"/>
  <c r="I33" i="9"/>
  <c r="I45" i="9" s="1"/>
  <c r="I46" i="9" s="1"/>
  <c r="I33" i="8"/>
  <c r="I45" i="8" s="1"/>
  <c r="I46" i="8" s="1"/>
  <c r="D47" i="7"/>
  <c r="H33" i="8"/>
  <c r="H45" i="8" s="1"/>
  <c r="H46" i="8" s="1"/>
  <c r="H33" i="9"/>
  <c r="J33" i="9"/>
  <c r="J45" i="9" s="1"/>
  <c r="J46" i="9" s="1"/>
  <c r="J33" i="8"/>
  <c r="J45" i="8" s="1"/>
  <c r="J46" i="8" s="1"/>
  <c r="L47" i="7"/>
  <c r="C33" i="9"/>
  <c r="C45" i="9" s="1"/>
  <c r="C46" i="9" s="1"/>
  <c r="O35" i="7"/>
  <c r="O47" i="7" s="1"/>
  <c r="O49" i="7" s="1"/>
  <c r="P35" i="7"/>
  <c r="P47" i="7" s="1"/>
  <c r="P49" i="7" s="1"/>
  <c r="C33" i="8"/>
  <c r="C45" i="8" s="1"/>
  <c r="C46" i="8" s="1"/>
  <c r="D47" i="6"/>
  <c r="G47" i="6"/>
  <c r="F47" i="6"/>
  <c r="N47" i="6"/>
  <c r="H47" i="6"/>
  <c r="L47" i="6"/>
  <c r="I47" i="6"/>
  <c r="K47" i="6"/>
  <c r="M47" i="6"/>
  <c r="J47" i="6"/>
  <c r="E47" i="6"/>
  <c r="E47" i="7"/>
  <c r="K33" i="9"/>
  <c r="K45" i="9" s="1"/>
  <c r="K46" i="9" s="1"/>
  <c r="K33" i="8"/>
  <c r="K45" i="8" s="1"/>
  <c r="K46" i="8" s="1"/>
  <c r="K47" i="7"/>
  <c r="M33" i="9"/>
  <c r="M45" i="9" s="1"/>
  <c r="M46" i="9" s="1"/>
  <c r="M33" i="8"/>
  <c r="M45" i="8" s="1"/>
  <c r="M46" i="8" s="1"/>
  <c r="H47" i="7"/>
  <c r="F47" i="7"/>
  <c r="G33" i="8"/>
  <c r="G45" i="8" s="1"/>
  <c r="G46" i="8" s="1"/>
  <c r="G47" i="7"/>
  <c r="G33" i="9"/>
  <c r="G45" i="9" s="1"/>
  <c r="G46" i="9" s="1"/>
  <c r="Q31" i="9"/>
  <c r="O14" i="9"/>
  <c r="P14" i="9"/>
  <c r="P14" i="8"/>
  <c r="O14" i="8"/>
  <c r="Q31" i="8"/>
  <c r="Q10" i="9"/>
  <c r="Q10" i="8"/>
  <c r="P34" i="9"/>
  <c r="O34" i="9"/>
  <c r="P34" i="8"/>
  <c r="O34" i="8"/>
  <c r="O36" i="6"/>
  <c r="P36" i="6"/>
  <c r="Q35" i="8" l="1"/>
  <c r="Q35" i="9"/>
  <c r="Q17" i="8"/>
  <c r="Q15" i="8"/>
  <c r="Q14" i="9"/>
  <c r="Q15" i="9"/>
  <c r="Q17" i="9"/>
  <c r="Q14" i="8"/>
  <c r="P33" i="9"/>
  <c r="P46" i="9" s="1"/>
  <c r="Q48" i="9" s="1"/>
  <c r="H45" i="9"/>
  <c r="H46" i="9" s="1"/>
  <c r="P47" i="9" s="1"/>
  <c r="O33" i="9"/>
  <c r="P47" i="8"/>
  <c r="O33" i="8"/>
  <c r="P33" i="8"/>
  <c r="P46" i="8" s="1"/>
  <c r="Q48" i="8" s="1"/>
  <c r="P35" i="6"/>
  <c r="P47" i="6" s="1"/>
  <c r="P49" i="6" s="1"/>
  <c r="O35" i="6"/>
  <c r="O47" i="6" s="1"/>
  <c r="O49" i="6" s="1"/>
  <c r="C47" i="6"/>
  <c r="Q34" i="8"/>
  <c r="Q34" i="9"/>
  <c r="Q33" i="9" l="1"/>
  <c r="Q33" i="8"/>
  <c r="O45" i="8"/>
  <c r="Q46" i="8" s="1"/>
  <c r="O45" i="9"/>
  <c r="Q46" i="9" s="1"/>
  <c r="Q49" i="9"/>
  <c r="Q51" i="9"/>
  <c r="Q50" i="9"/>
  <c r="Q52" i="9"/>
  <c r="Q52" i="8"/>
  <c r="Q51" i="8"/>
  <c r="Q50" i="8"/>
  <c r="Q49" i="8"/>
  <c r="Q54" i="8" l="1"/>
  <c r="Q67" i="8" s="1"/>
  <c r="Q69" i="8" s="1"/>
  <c r="Q71" i="8" s="1"/>
  <c r="Q53" i="9"/>
  <c r="Q56" i="9" s="1"/>
  <c r="Q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D27" authorId="0" shapeId="0" xr:uid="{2E7588DA-7B08-4AAE-BDF5-4D2CF7682849}">
      <text>
        <r>
          <rPr>
            <sz val="9"/>
            <color indexed="81"/>
            <rFont val="Tahoma"/>
            <family val="2"/>
          </rPr>
          <t>Is an EQ Report required for this project?
Yes=1
No=0</t>
        </r>
      </text>
    </comment>
    <comment ref="E27" authorId="0" shapeId="0" xr:uid="{4EFF7544-BBE4-40FF-91E3-33308B1329A6}">
      <text>
        <r>
          <rPr>
            <sz val="9"/>
            <color indexed="81"/>
            <rFont val="Tahoma"/>
            <family val="2"/>
          </rPr>
          <t>Calculated Staff Hours represent a recommended starting point for negotiations based on established guidelines.</t>
        </r>
      </text>
    </comment>
    <comment ref="D28" authorId="0" shapeId="0" xr:uid="{87B062EE-3EB3-45DF-9133-71A0B6CFAEF3}">
      <text>
        <r>
          <rPr>
            <sz val="9"/>
            <color indexed="81"/>
            <rFont val="Tahoma"/>
            <family val="2"/>
          </rPr>
          <t># of components for the EQ Report.</t>
        </r>
      </text>
    </comment>
    <comment ref="E28" authorId="0" shapeId="0" xr:uid="{E4CA6411-ADEC-4812-AAEC-55C152ACE059}">
      <text>
        <r>
          <rPr>
            <sz val="9"/>
            <color indexed="81"/>
            <rFont val="Tahoma"/>
            <family val="2"/>
          </rPr>
          <t>Consider adding 4 hours to the calculated hours when required to include EQ Report with Phase II Submittal.</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D19" authorId="0" shapeId="0" xr:uid="{7861F118-04BD-4C9F-888E-E92A3AE8C04D}">
      <text>
        <r>
          <rPr>
            <sz val="9"/>
            <color indexed="81"/>
            <rFont val="Tahoma"/>
            <family val="2"/>
          </rPr>
          <t xml:space="preserve">Estimated # of intersections that require new or replacement signalization.
</t>
        </r>
      </text>
    </comment>
    <comment ref="E19" authorId="0" shapeId="0" xr:uid="{9D958FDC-645D-4DDC-9361-B2B94458D0FB}">
      <text>
        <r>
          <rPr>
            <sz val="9"/>
            <color indexed="81"/>
            <rFont val="Tahoma"/>
            <family val="2"/>
          </rPr>
          <t>Calculated Staff Hours represent a recommended starting point for negotiations based on established guidelines.</t>
        </r>
      </text>
    </comment>
    <comment ref="E20" authorId="0" shapeId="0" xr:uid="{7D02B671-6E9B-48F9-806A-F259782F455D}">
      <text>
        <r>
          <rPr>
            <sz val="9"/>
            <color indexed="81"/>
            <rFont val="Tahoma"/>
            <family val="2"/>
          </rPr>
          <t>Consider adding 4 hours to the calculated hours when required to include EQ Report with Phase II Submittal.</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G10" authorId="0" shapeId="0" xr:uid="{78DE39F1-F528-4F57-A6D2-0B03F6ABC3F6}">
      <text>
        <r>
          <rPr>
            <sz val="9"/>
            <color indexed="81"/>
            <rFont val="Tahoma"/>
            <family val="2"/>
          </rPr>
          <t>Calculated Staff Hours represent a recommended starting point for negotiations based on established guidelines.</t>
        </r>
      </text>
    </comment>
    <comment ref="H10" authorId="0" shapeId="0" xr:uid="{F18C8561-67FA-424A-8707-17A41FA55CA8}">
      <text>
        <r>
          <rPr>
            <sz val="9"/>
            <color indexed="81"/>
            <rFont val="Tahoma"/>
            <family val="2"/>
          </rPr>
          <t>FDOT recommended staff hours for the project. These hours may differ from the calculated staff hours recommended.</t>
        </r>
      </text>
    </comment>
    <comment ref="I10" authorId="0" shapeId="0" xr:uid="{0F3D5E81-BFC0-422C-8B75-8E6AE4073ED7}">
      <text>
        <r>
          <rPr>
            <sz val="9"/>
            <color indexed="81"/>
            <rFont val="Tahoma"/>
            <family val="2"/>
          </rPr>
          <t>Consultant recommended staff hours for the project. These hours may differ from the calculated staff hours recommended.</t>
        </r>
      </text>
    </comment>
    <comment ref="J10" authorId="0" shapeId="0" xr:uid="{E815D1AA-E306-4B7E-9DC6-B83BB1B1C710}">
      <text>
        <r>
          <rPr>
            <sz val="9"/>
            <color indexed="81"/>
            <rFont val="Tahoma"/>
            <family val="2"/>
          </rPr>
          <t>Final negotiated staff hours for the project.</t>
        </r>
      </text>
    </comment>
    <comment ref="E12" authorId="0" shapeId="0" xr:uid="{1CDFFDE4-0ABE-4D6B-B2DB-026AD95F9DF9}">
      <text>
        <r>
          <rPr>
            <sz val="9"/>
            <color indexed="81"/>
            <rFont val="Tahoma"/>
            <family val="2"/>
          </rPr>
          <t>Is a Key sheet required?
Yes=1
No=0</t>
        </r>
      </text>
    </comment>
    <comment ref="E13" authorId="0" shapeId="0" xr:uid="{85FCE73C-A6DC-4CBE-A9A8-2F6A76ED6F9F}">
      <text>
        <r>
          <rPr>
            <sz val="9"/>
            <color indexed="81"/>
            <rFont val="Tahoma"/>
            <family val="2"/>
          </rPr>
          <t>Is a signature sheet required?  If Key Sheet is not required, then no hours will be given for the signature sheet.
Yes=1
No=0</t>
        </r>
      </text>
    </comment>
    <comment ref="E14" authorId="0" shapeId="0" xr:uid="{35444175-3847-4616-9D30-FEDA86C49BF1}">
      <text>
        <r>
          <rPr>
            <sz val="9"/>
            <color indexed="81"/>
            <rFont val="Tahoma"/>
            <family val="2"/>
          </rPr>
          <t>Is a general notes/pay item notes sheet required?
Yes=1
No=0</t>
        </r>
      </text>
    </comment>
    <comment ref="E15" authorId="0" shapeId="0" xr:uid="{892CF14A-41F2-4114-88B4-02A9E8B8432F}">
      <text>
        <r>
          <rPr>
            <sz val="9"/>
            <color indexed="81"/>
            <rFont val="Tahoma"/>
            <family val="2"/>
          </rPr>
          <t>Estimated # of intersections that require new or replacement signalization.</t>
        </r>
      </text>
    </comment>
    <comment ref="E16" authorId="0" shapeId="0" xr:uid="{5B0ADD43-C546-4243-BE80-E087B5DDBEF4}">
      <text>
        <r>
          <rPr>
            <sz val="9"/>
            <color indexed="81"/>
            <rFont val="Tahoma"/>
            <family val="2"/>
          </rPr>
          <t>Estimated number of sheets for interconnect plans.
Interconnect Plans are typically not necessary for low range projects.</t>
        </r>
      </text>
    </comment>
    <comment ref="E17" authorId="0" shapeId="0" xr:uid="{AF357D78-8CCF-4438-B151-AA4868187F1E}">
      <text>
        <r>
          <rPr>
            <sz val="9"/>
            <color indexed="81"/>
            <rFont val="Tahoma"/>
            <family val="2"/>
          </rPr>
          <t>Estimated # of sites with loop detecion.</t>
        </r>
      </text>
    </comment>
    <comment ref="E18" authorId="0" shapeId="0" xr:uid="{A6D76A47-CC07-4F62-852C-F88FEEC89799}">
      <text>
        <r>
          <rPr>
            <sz val="9"/>
            <color indexed="81"/>
            <rFont val="Tahoma"/>
            <family val="2"/>
          </rPr>
          <t>Estimated # of sites with video or other type of detecion.</t>
        </r>
      </text>
    </comment>
    <comment ref="E19" authorId="0" shapeId="0" xr:uid="{322C7A0F-A40C-467B-A9BB-2E4F083BA3B5}">
      <text>
        <r>
          <rPr>
            <sz val="9"/>
            <color indexed="81"/>
            <rFont val="Tahoma"/>
            <family val="2"/>
          </rPr>
          <t>Estimated # of signs that must be imported from guide sign
program.</t>
        </r>
      </text>
    </comment>
    <comment ref="E20" authorId="0" shapeId="0" xr:uid="{23B6F65C-7FD7-4E84-9B71-EADC89714423}">
      <text>
        <r>
          <rPr>
            <sz val="9"/>
            <color indexed="81"/>
            <rFont val="Tahoma"/>
            <family val="2"/>
          </rPr>
          <t>Estimated # of details that require no engineering analysis (e.g., Ped Pole, VVH data/foundation, Department provided details).</t>
        </r>
      </text>
    </comment>
    <comment ref="E21" authorId="0" shapeId="0" xr:uid="{1B9A6B14-418A-4149-A5FE-ADC1F09C1B2C}">
      <text>
        <r>
          <rPr>
            <sz val="9"/>
            <color indexed="81"/>
            <rFont val="Tahoma"/>
            <family val="2"/>
          </rPr>
          <t xml:space="preserve">Estimated # details require some engineering analysis (e.g.,signal/sign attachment detail, Communication or Wiring Diagram.
</t>
        </r>
      </text>
    </comment>
    <comment ref="E22" authorId="0" shapeId="0" xr:uid="{621FCAB7-1894-4669-8601-800C8FBE0108}">
      <text>
        <r>
          <rPr>
            <sz val="9"/>
            <color indexed="81"/>
            <rFont val="Tahoma"/>
            <family val="2"/>
          </rPr>
          <t xml:space="preserve">Estimated # of complex details that are highly unique or based on new technologies.  Complex details are not typically required.
</t>
        </r>
      </text>
    </comment>
    <comment ref="E23" authorId="0" shapeId="0" xr:uid="{B37D60D7-2AF2-4D2F-8F5C-FFC9B0001CF6}">
      <text>
        <r>
          <rPr>
            <sz val="9"/>
            <color indexed="81"/>
            <rFont val="Tahoma"/>
            <family val="2"/>
          </rPr>
          <t xml:space="preserve">Estimated # of retrofit or modified service points to be shown in plans. </t>
        </r>
      </text>
    </comment>
    <comment ref="E24" authorId="0" shapeId="0" xr:uid="{393FF4CE-2718-4967-92EA-3368B7CABAB2}">
      <text>
        <r>
          <rPr>
            <sz val="9"/>
            <color indexed="81"/>
            <rFont val="Tahoma"/>
            <family val="2"/>
          </rPr>
          <t xml:space="preserve">Estimated # of new service points to be shown in plans. </t>
        </r>
      </text>
    </comment>
    <comment ref="E25" authorId="0" shapeId="0" xr:uid="{7510B361-026F-4C49-AAE8-EA8FC5C25A03}">
      <text>
        <r>
          <rPr>
            <sz val="9"/>
            <color indexed="81"/>
            <rFont val="Tahoma"/>
            <family val="2"/>
          </rPr>
          <t xml:space="preserve">Estimated # of single mast arms.
</t>
        </r>
      </text>
    </comment>
    <comment ref="E26" authorId="0" shapeId="0" xr:uid="{6D66B425-9EAE-4760-9D39-4C89EC6689C6}">
      <text>
        <r>
          <rPr>
            <sz val="9"/>
            <color indexed="81"/>
            <rFont val="Tahoma"/>
            <family val="2"/>
          </rPr>
          <t xml:space="preserve">Estimated # of double mast arms.
</t>
        </r>
      </text>
    </comment>
    <comment ref="E27" authorId="0" shapeId="0" xr:uid="{556A3241-5BC7-4498-9A63-742B5961380F}">
      <text>
        <r>
          <rPr>
            <sz val="9"/>
            <color indexed="81"/>
            <rFont val="Tahoma"/>
            <family val="2"/>
          </rPr>
          <t xml:space="preserve">Estimated # of spans needed for project. 
</t>
        </r>
      </text>
    </comment>
    <comment ref="E28" authorId="0" shapeId="0" xr:uid="{41337EB8-158D-42B4-90D5-099CE3D62075}">
      <text>
        <r>
          <rPr>
            <sz val="9"/>
            <color indexed="81"/>
            <rFont val="Tahoma"/>
            <family val="2"/>
          </rPr>
          <t>Estimated # of intersections that temporary signal installation - without pedestrian signals - is required.</t>
        </r>
      </text>
    </comment>
    <comment ref="E29" authorId="0" shapeId="0" xr:uid="{2057B4BA-E936-49FB-BC37-D5094BB13EBB}">
      <text>
        <r>
          <rPr>
            <sz val="9"/>
            <color indexed="81"/>
            <rFont val="Tahoma"/>
            <family val="2"/>
          </rPr>
          <t>Estimated # of intersections that temporary signal installation - with pedestrian signals - is required.</t>
        </r>
      </text>
    </comment>
    <comment ref="E30" authorId="0" shapeId="0" xr:uid="{C7577E9D-BD2A-4B86-BA0F-C021FE13545B}">
      <text>
        <r>
          <rPr>
            <sz val="9"/>
            <color indexed="81"/>
            <rFont val="Tahoma"/>
            <family val="2"/>
          </rPr>
          <t>Estimated # of intersections that temporary detection is required.</t>
        </r>
      </text>
    </comment>
    <comment ref="E32" authorId="0" shapeId="0" xr:uid="{F99BD799-A4FB-41FE-B026-C1C7EC33898D}">
      <text>
        <r>
          <rPr>
            <sz val="9"/>
            <color indexed="81"/>
            <rFont val="Tahoma"/>
            <family val="2"/>
          </rPr>
          <t>Is QA/QC required for Signalization Plans?
Yes=1
No=0</t>
        </r>
      </text>
    </comment>
    <comment ref="F32" authorId="0" shapeId="0" xr:uid="{57793F00-4820-4436-99C7-4AB9EB3DABF0}">
      <text>
        <r>
          <rPr>
            <sz val="9"/>
            <color indexed="81"/>
            <rFont val="Tahoma"/>
            <family val="2"/>
          </rPr>
          <t>% of technical subtotal.</t>
        </r>
      </text>
    </comment>
    <comment ref="E33" authorId="0" shapeId="0" xr:uid="{4DEA566D-61BF-4F96-B9EC-EDF7BBDCF942}">
      <text>
        <r>
          <rPr>
            <sz val="9"/>
            <color indexed="81"/>
            <rFont val="Tahoma"/>
            <family val="2"/>
          </rPr>
          <t>Is Supervision required for Signalization Plans??
Yes=1
No=0</t>
        </r>
      </text>
    </comment>
    <comment ref="F33" authorId="0" shapeId="0" xr:uid="{14C8C60C-319F-4052-92CA-7F365448FAFB}">
      <text>
        <r>
          <rPr>
            <sz val="9"/>
            <color indexed="81"/>
            <rFont val="Tahoma"/>
            <family val="2"/>
          </rPr>
          <t xml:space="preserve">% of technical subtotal.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D17" authorId="0" shapeId="0" xr:uid="{CE5696EC-F15A-4C76-9A32-567C720387F0}">
      <text>
        <r>
          <rPr>
            <sz val="9"/>
            <color indexed="81"/>
            <rFont val="Tahoma"/>
            <family val="2"/>
          </rPr>
          <t xml:space="preserve">Estimated # of light poles for the project.
</t>
        </r>
      </text>
    </comment>
    <comment ref="E17" authorId="0" shapeId="0" xr:uid="{02AFBD04-67BE-43FE-8065-0AD0FAC869C5}">
      <text>
        <r>
          <rPr>
            <sz val="9"/>
            <color indexed="81"/>
            <rFont val="Tahoma"/>
            <family val="2"/>
          </rPr>
          <t>Calculated Staff Hours represent a recommended starting point for negotiations based on established guidelines.</t>
        </r>
      </text>
    </comment>
    <comment ref="E18" authorId="0" shapeId="0" xr:uid="{8BFD37BE-FF61-4BAE-8CDA-34F0FAD8CF01}">
      <text>
        <r>
          <rPr>
            <sz val="9"/>
            <color indexed="81"/>
            <rFont val="Tahoma"/>
            <family val="2"/>
          </rPr>
          <t>Consider adding 4 hours to the calculated hours when required to include EQ Report with Phase II Submittal.</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G10" authorId="0" shapeId="0" xr:uid="{9380030E-35D1-4293-91EB-638C870F33D1}">
      <text>
        <r>
          <rPr>
            <sz val="9"/>
            <color indexed="81"/>
            <rFont val="Tahoma"/>
            <family val="2"/>
          </rPr>
          <t>Calculated Staff Hours represent a recommended starting point for negotiations based on established guidelines.</t>
        </r>
      </text>
    </comment>
    <comment ref="H10" authorId="0" shapeId="0" xr:uid="{B377F66E-0B75-4612-BA49-3DFE2B4DF178}">
      <text>
        <r>
          <rPr>
            <sz val="9"/>
            <color indexed="81"/>
            <rFont val="Tahoma"/>
            <family val="2"/>
          </rPr>
          <t>FDOT recommended staff hours for the project. These hours may differ from the calculated staff hours recommended.</t>
        </r>
      </text>
    </comment>
    <comment ref="I10" authorId="0" shapeId="0" xr:uid="{78C2F797-C36F-4372-A92F-B76F4C103039}">
      <text>
        <r>
          <rPr>
            <sz val="9"/>
            <color indexed="81"/>
            <rFont val="Tahoma"/>
            <family val="2"/>
          </rPr>
          <t>Consultant recommended staff hours for the project. These hours may differ from the calculated staff hours recommended.</t>
        </r>
      </text>
    </comment>
    <comment ref="J10" authorId="0" shapeId="0" xr:uid="{58ABCD33-E1D2-4FE0-B974-66E8F5216494}">
      <text>
        <r>
          <rPr>
            <sz val="9"/>
            <color indexed="81"/>
            <rFont val="Tahoma"/>
            <family val="2"/>
          </rPr>
          <t>Final negotiated staff hours for the project.</t>
        </r>
      </text>
    </comment>
    <comment ref="E11" authorId="0" shapeId="0" xr:uid="{0E5811AD-0301-4A85-B152-8E21108C1F2A}">
      <text>
        <r>
          <rPr>
            <sz val="9"/>
            <color indexed="81"/>
            <rFont val="Tahoma"/>
            <family val="2"/>
          </rPr>
          <t>Is a Key sheet required?
Yes=1
No=0</t>
        </r>
      </text>
    </comment>
    <comment ref="E12" authorId="0" shapeId="0" xr:uid="{EC1F0663-5AF0-4C82-8537-209B9A5CD298}">
      <text>
        <r>
          <rPr>
            <sz val="9"/>
            <color indexed="81"/>
            <rFont val="Tahoma"/>
            <family val="2"/>
          </rPr>
          <t>Is a signature sheet required?  If Key Sheet is not required, then no hours will be given for the signature sheet.
Yes=1
No=0</t>
        </r>
      </text>
    </comment>
    <comment ref="E13" authorId="0" shapeId="0" xr:uid="{4F86BCBA-5865-412A-8BC4-50DFE53247EE}">
      <text>
        <r>
          <rPr>
            <sz val="9"/>
            <color indexed="81"/>
            <rFont val="Tahoma"/>
            <family val="2"/>
          </rPr>
          <t>Is a general notes/pay item notes sheet required?
Yes=1
No=0</t>
        </r>
      </text>
    </comment>
    <comment ref="E14" authorId="0" shapeId="0" xr:uid="{525E0581-E50C-45FC-967F-9A82C0CF167F}">
      <text>
        <r>
          <rPr>
            <sz val="9"/>
            <color indexed="81"/>
            <rFont val="Tahoma"/>
            <family val="2"/>
          </rPr>
          <t>Estimated # of poles to be placed in the Pole Data schedule.</t>
        </r>
      </text>
    </comment>
    <comment ref="E15" authorId="0" shapeId="0" xr:uid="{C971ECBE-99F3-4FEA-B544-E5312A5A2C6B}">
      <text>
        <r>
          <rPr>
            <sz val="9"/>
            <color indexed="81"/>
            <rFont val="Tahoma"/>
            <family val="2"/>
          </rPr>
          <t>Is a project layout sheet required? Should be used only when necessary (complex projects or multiple work location projects).
Yes=1
No=0</t>
        </r>
      </text>
    </comment>
    <comment ref="E16" authorId="0" shapeId="0" xr:uid="{DD8B4BEC-CCFA-44D9-91DC-995CE91053AA}">
      <text>
        <r>
          <rPr>
            <sz val="9"/>
            <color indexed="81"/>
            <rFont val="Tahoma"/>
            <family val="2"/>
          </rPr>
          <t>Estimated number of sheets for Lighting Plans (Corridor Projects).</t>
        </r>
      </text>
    </comment>
    <comment ref="E17" authorId="0" shapeId="0" xr:uid="{DFB70BF7-04B2-4F73-9A41-6653B8689919}">
      <text>
        <r>
          <rPr>
            <sz val="9"/>
            <color indexed="81"/>
            <rFont val="Tahoma"/>
            <family val="2"/>
          </rPr>
          <t># of isolated areas (intersections, mid-block crossing, or similar) to receive new or retrofit lighting. These locations are not located within a corridor project.</t>
        </r>
      </text>
    </comment>
    <comment ref="E18" authorId="0" shapeId="0" xr:uid="{A56199A8-F377-4F01-B50E-854227FE31B8}">
      <text>
        <r>
          <rPr>
            <sz val="9"/>
            <color indexed="81"/>
            <rFont val="Tahoma"/>
            <family val="2"/>
          </rPr>
          <t># of interchanges or rest areas to receive new or retrofit lighting. If this is part of an interstate lighting project, subtract the limits of the interchange from the corridor project limits.</t>
        </r>
      </text>
    </comment>
    <comment ref="E19" authorId="0" shapeId="0" xr:uid="{33192D61-B9F2-4318-A5EF-2BD7EC4EC1EB}">
      <text>
        <r>
          <rPr>
            <sz val="9"/>
            <color indexed="81"/>
            <rFont val="Tahoma"/>
            <family val="2"/>
          </rPr>
          <t>Estimated # of details that require no engineering analysis (minor details, manufacturer or FDOT provided details).</t>
        </r>
      </text>
    </comment>
    <comment ref="E20" authorId="0" shapeId="0" xr:uid="{698BD616-9774-4445-9FF8-D860ADDEB798}">
      <text>
        <r>
          <rPr>
            <sz val="9"/>
            <color indexed="81"/>
            <rFont val="Tahoma"/>
            <family val="2"/>
          </rPr>
          <t>Estimated # of details that require engineering analysis and must be cretaed.</t>
        </r>
      </text>
    </comment>
    <comment ref="E21" authorId="0" shapeId="0" xr:uid="{6DAFFC5F-0451-4DD5-A640-618027D8F79F}">
      <text>
        <r>
          <rPr>
            <sz val="9"/>
            <color indexed="81"/>
            <rFont val="Tahoma"/>
            <family val="2"/>
          </rPr>
          <t>Estimated # of complex details (e.g., under deck lighting details or details based on new technologies) that required to be shown in plans.</t>
        </r>
      </text>
    </comment>
    <comment ref="E22" authorId="0" shapeId="0" xr:uid="{21DEDACE-688D-40D3-8CA0-61B98658967E}">
      <text>
        <r>
          <rPr>
            <sz val="9"/>
            <color indexed="81"/>
            <rFont val="Tahoma"/>
            <family val="2"/>
          </rPr>
          <t xml:space="preserve">Estimated # of retrofit or modified service points to be shown in plans. </t>
        </r>
      </text>
    </comment>
    <comment ref="E23" authorId="0" shapeId="0" xr:uid="{B12B18A6-232B-4B3B-9306-F063F211F57C}">
      <text>
        <r>
          <rPr>
            <sz val="9"/>
            <color indexed="81"/>
            <rFont val="Tahoma"/>
            <family val="2"/>
          </rPr>
          <t xml:space="preserve">Estimated # of new service points for conventional lighting to be shown in plans. </t>
        </r>
      </text>
    </comment>
    <comment ref="E24" authorId="0" shapeId="0" xr:uid="{E346DE6D-512B-4374-984A-8DDA0ACDF8D0}">
      <text>
        <r>
          <rPr>
            <sz val="9"/>
            <color indexed="81"/>
            <rFont val="Tahoma"/>
            <family val="2"/>
          </rPr>
          <t xml:space="preserve">Estimated # of new service points for high mast lighting to be shown in plans. </t>
        </r>
      </text>
    </comment>
    <comment ref="E25" authorId="0" shapeId="0" xr:uid="{08150E31-A0A8-4B2F-AC1C-65F438955675}">
      <text>
        <r>
          <rPr>
            <sz val="9"/>
            <color indexed="81"/>
            <rFont val="Tahoma"/>
            <family val="2"/>
          </rPr>
          <t>Is temporary lighting required on project? 
Yes=1
No=0
Includes plans, notes and details.  The requirements for Temporary Highway Lighting is unique and requires independent negotiations.  Typically, this effort is between 16 to 48 hours to complete.</t>
        </r>
      </text>
    </comment>
    <comment ref="E27" authorId="0" shapeId="0" xr:uid="{8B4CF97C-32A4-48AD-A734-7062D0B8BC38}">
      <text>
        <r>
          <rPr>
            <sz val="9"/>
            <color indexed="81"/>
            <rFont val="Tahoma"/>
            <family val="2"/>
          </rPr>
          <t>Is QA/QC required for Lighting Plans?
Yes=1
No=0</t>
        </r>
      </text>
    </comment>
    <comment ref="F27" authorId="0" shapeId="0" xr:uid="{04EA6871-B536-4976-A218-2447B57491B7}">
      <text>
        <r>
          <rPr>
            <sz val="9"/>
            <color indexed="81"/>
            <rFont val="Tahoma"/>
            <family val="2"/>
          </rPr>
          <t>% of technical subtotal.</t>
        </r>
      </text>
    </comment>
    <comment ref="E28" authorId="0" shapeId="0" xr:uid="{79B4605F-D441-420B-A9B9-665854807CF4}">
      <text>
        <r>
          <rPr>
            <sz val="9"/>
            <color indexed="81"/>
            <rFont val="Tahoma"/>
            <family val="2"/>
          </rPr>
          <t>Is Supervision required for Lighting Plans??
Yes=1
No=0</t>
        </r>
      </text>
    </comment>
    <comment ref="F28" authorId="0" shapeId="0" xr:uid="{128A5F91-2FB2-440E-B49F-78CE514A8179}">
      <text>
        <r>
          <rPr>
            <sz val="9"/>
            <color indexed="81"/>
            <rFont val="Tahoma"/>
            <family val="2"/>
          </rPr>
          <t xml:space="preserve">% of technical subtotal.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Buck, Ryan</author>
    <author>Hiers, Paul</author>
    <author>Pennington, Mike</author>
  </authors>
  <commentList>
    <comment ref="G10" authorId="0" shapeId="0" xr:uid="{56010F97-3F49-4B51-BD21-1B0FD8830AF3}">
      <text>
        <r>
          <rPr>
            <sz val="9"/>
            <color indexed="81"/>
            <rFont val="Tahoma"/>
            <family val="2"/>
          </rPr>
          <t>Calculated Staff Hours represent a recommended starting point for negotiations based on established guidelines.</t>
        </r>
      </text>
    </comment>
    <comment ref="H10" authorId="0" shapeId="0" xr:uid="{CD0579D1-0F90-411F-A6F8-E298094FA6BE}">
      <text>
        <r>
          <rPr>
            <sz val="9"/>
            <color indexed="81"/>
            <rFont val="Tahoma"/>
            <family val="2"/>
          </rPr>
          <t>FDOT recommended staff hours for the project. These hours may differ from the calculated staff hours recommended.</t>
        </r>
      </text>
    </comment>
    <comment ref="I10" authorId="0" shapeId="0" xr:uid="{36698316-D33E-437F-819A-B0730DBB1B18}">
      <text>
        <r>
          <rPr>
            <sz val="9"/>
            <color indexed="81"/>
            <rFont val="Tahoma"/>
            <family val="2"/>
          </rPr>
          <t>Consultant recommended staff hours for the project. These hours may differ from the calculated staff hours recommended.</t>
        </r>
      </text>
    </comment>
    <comment ref="J10" authorId="0" shapeId="0" xr:uid="{EE491557-33E6-40F5-9CC8-62F897D07EB5}">
      <text>
        <r>
          <rPr>
            <sz val="9"/>
            <color indexed="81"/>
            <rFont val="Tahoma"/>
            <family val="2"/>
          </rPr>
          <t>Final negotiated staff hours for the project.</t>
        </r>
      </text>
    </comment>
    <comment ref="E12" authorId="0" shapeId="0" xr:uid="{9A8D72EC-5E47-4E09-9AC5-CCB72A537972}">
      <text>
        <r>
          <rPr>
            <sz val="9"/>
            <color indexed="81"/>
            <rFont val="Tahoma"/>
            <family val="2"/>
          </rPr>
          <t>Is data collection required?
Yes=1
No=0</t>
        </r>
      </text>
    </comment>
    <comment ref="E13" authorId="0" shapeId="0" xr:uid="{ADE39F0A-77D4-4AB4-A815-1856523C3BD4}">
      <text>
        <r>
          <rPr>
            <sz val="9"/>
            <color indexed="81"/>
            <rFont val="Tahoma"/>
            <family val="2"/>
          </rPr>
          <t>Estimated # of Outdoor Advertising Sign Structures</t>
        </r>
      </text>
    </comment>
    <comment ref="E14" authorId="0" shapeId="0" xr:uid="{D9EB814E-8AFF-4FC6-8BC9-C60DC5577317}">
      <text>
        <r>
          <rPr>
            <sz val="9"/>
            <color indexed="81"/>
            <rFont val="Tahoma"/>
            <family val="2"/>
          </rPr>
          <t>Is design file setup required?
Yes=1
No=0</t>
        </r>
      </text>
    </comment>
    <comment ref="E15" authorId="0" shapeId="0" xr:uid="{F3322719-01E8-4BDC-B0BB-EAF033F66083}">
      <text>
        <r>
          <rPr>
            <sz val="9"/>
            <color indexed="81"/>
            <rFont val="Tahoma"/>
            <family val="2"/>
          </rPr>
          <t>Length of project where site inventory and analysis are to occur (miles).</t>
        </r>
      </text>
    </comment>
    <comment ref="E16" authorId="0" shapeId="0" xr:uid="{4436C531-8F03-4A40-B6FE-FE04DF8ED839}">
      <text>
        <r>
          <rPr>
            <sz val="9"/>
            <color indexed="81"/>
            <rFont val="Tahoma"/>
            <family val="2"/>
          </rPr>
          <t>Estimated total area in acres. Include all area within project limits. Do not deduct any unplantable areas.</t>
        </r>
      </text>
    </comment>
    <comment ref="E17" authorId="0" shapeId="0" xr:uid="{7675B71C-07AE-4852-A486-FA5BA417972F}">
      <text>
        <r>
          <rPr>
            <sz val="9"/>
            <color indexed="81"/>
            <rFont val="Tahoma"/>
            <family val="2"/>
          </rPr>
          <t>Length of project where Landscape Opportunity Plan is developed (miles).</t>
        </r>
      </text>
    </comment>
    <comment ref="E18" authorId="0" shapeId="0" xr:uid="{61BF7DA0-F993-41E5-BB4C-9BCB8294894F}">
      <text>
        <r>
          <rPr>
            <sz val="9"/>
            <color indexed="81"/>
            <rFont val="Tahoma"/>
            <family val="2"/>
          </rPr>
          <t>Area of project where Landscape Opportunity Plan is developed (acres).</t>
        </r>
      </text>
    </comment>
    <comment ref="E19" authorId="0" shapeId="0" xr:uid="{FA38FD4D-C495-4D3E-91C2-235CC6C1CF23}">
      <text>
        <r>
          <rPr>
            <sz val="9"/>
            <color indexed="81"/>
            <rFont val="Tahoma"/>
            <family val="2"/>
          </rPr>
          <t>Is a planting report required?
Yes=1
No=0</t>
        </r>
      </text>
    </comment>
    <comment ref="E20" authorId="0" shapeId="0" xr:uid="{1B25271A-3969-4078-BE49-230C95DE6361}">
      <text>
        <r>
          <rPr>
            <sz val="9"/>
            <color indexed="81"/>
            <rFont val="Tahoma"/>
            <family val="2"/>
          </rPr>
          <t>Length of project where planting plans are to occur (miles).</t>
        </r>
      </text>
    </comment>
    <comment ref="E21" authorId="0" shapeId="0" xr:uid="{AF4C2E9A-8E7D-4BD8-9C9E-0F6B6A1491F6}">
      <text>
        <r>
          <rPr>
            <sz val="9"/>
            <color indexed="81"/>
            <rFont val="Tahoma"/>
            <family val="2"/>
          </rPr>
          <t>Estimated total area in acres. Include all area within project limits. Do not deduct any unplantable areas.</t>
        </r>
      </text>
    </comment>
    <comment ref="E22" authorId="0" shapeId="0" xr:uid="{7B4F6E8D-453A-41A3-8601-62DC2E3C63DF}">
      <text>
        <r>
          <rPr>
            <sz val="9"/>
            <color indexed="81"/>
            <rFont val="Tahoma"/>
            <family val="2"/>
          </rPr>
          <t>Length of project where planting plans are to occur (miles).</t>
        </r>
      </text>
    </comment>
    <comment ref="E23" authorId="0" shapeId="0" xr:uid="{DF57596C-9EA0-41C8-BCC6-ABC33A7A9C6E}">
      <text>
        <r>
          <rPr>
            <sz val="9"/>
            <color indexed="81"/>
            <rFont val="Tahoma"/>
            <family val="2"/>
          </rPr>
          <t>Estimated total area in acres. Include all area within project limits. Do not deduct any unplantable areas.</t>
        </r>
      </text>
    </comment>
    <comment ref="E24" authorId="0" shapeId="0" xr:uid="{3C573D62-B9C2-4C3B-8EC5-6C4CF10D1B24}">
      <text>
        <r>
          <rPr>
            <sz val="9"/>
            <color indexed="81"/>
            <rFont val="Tahoma"/>
            <family val="2"/>
          </rPr>
          <t>Is a feasibility report required?
Yes=1
No=0</t>
        </r>
      </text>
    </comment>
    <comment ref="E25" authorId="0" shapeId="0" xr:uid="{52270B88-58BF-4BA7-A0F3-89C5AF4295AC}">
      <text>
        <r>
          <rPr>
            <sz val="9"/>
            <color indexed="81"/>
            <rFont val="Tahoma"/>
            <family val="2"/>
          </rPr>
          <t>Estimated total area to be irrigated.</t>
        </r>
      </text>
    </comment>
    <comment ref="E26" authorId="0" shapeId="0" xr:uid="{FD2FE9E4-5991-4332-900C-263414D56B84}">
      <text>
        <r>
          <rPr>
            <sz val="9"/>
            <color indexed="81"/>
            <rFont val="Tahoma"/>
            <family val="2"/>
          </rPr>
          <t>Estimated total area in acres of project to be irrigated.</t>
        </r>
      </text>
    </comment>
    <comment ref="E27" authorId="0" shapeId="0" xr:uid="{5179A37D-A91D-4F81-98AA-CFCE568C4C56}">
      <text>
        <r>
          <rPr>
            <sz val="9"/>
            <color indexed="81"/>
            <rFont val="Tahoma"/>
            <family val="2"/>
          </rPr>
          <t>Estimated total area to be irrigated.</t>
        </r>
      </text>
    </comment>
    <comment ref="E28" authorId="0" shapeId="0" xr:uid="{1094FAC9-FC5D-4051-B6FD-2774C38CF11C}">
      <text>
        <r>
          <rPr>
            <sz val="9"/>
            <color indexed="81"/>
            <rFont val="Tahoma"/>
            <family val="2"/>
          </rPr>
          <t>Estimated total area in acres of project to be irrigated.</t>
        </r>
      </text>
    </comment>
    <comment ref="E29" authorId="0" shapeId="0" xr:uid="{22F510EF-15FF-4B5B-B172-BB1892359F52}">
      <text>
        <r>
          <rPr>
            <sz val="9"/>
            <color indexed="81"/>
            <rFont val="Tahoma"/>
            <family val="2"/>
          </rPr>
          <t>Is report required?
Yes=1
No=0</t>
        </r>
      </text>
    </comment>
    <comment ref="E30" authorId="0" shapeId="0" xr:uid="{FF551223-A905-473A-9D88-83A4D167621A}">
      <text>
        <r>
          <rPr>
            <sz val="9"/>
            <color indexed="81"/>
            <rFont val="Tahoma"/>
            <family val="2"/>
          </rPr>
          <t>Is Hardscape Concept Design required?
Yes=1
No=0</t>
        </r>
      </text>
    </comment>
    <comment ref="E31" authorId="0" shapeId="0" xr:uid="{0D68D65F-D3F5-4663-A085-37B4B9574972}">
      <text>
        <r>
          <rPr>
            <sz val="9"/>
            <color indexed="81"/>
            <rFont val="Tahoma"/>
            <family val="2"/>
          </rPr>
          <t>Is Final Hardscape Design required?
Yes=1
No=0</t>
        </r>
      </text>
    </comment>
    <comment ref="E32" authorId="0" shapeId="0" xr:uid="{C7DA77FA-FC58-4F4A-AA97-3CB1CD6B892E}">
      <text>
        <r>
          <rPr>
            <sz val="9"/>
            <color indexed="81"/>
            <rFont val="Tahoma"/>
            <family val="2"/>
          </rPr>
          <t>Is an EQR required for the project?
Yes=1
No=0</t>
        </r>
      </text>
    </comment>
    <comment ref="E33" authorId="1" shapeId="0" xr:uid="{C9B43937-2F08-401A-98DA-C0FE476AFF27}">
      <text>
        <r>
          <rPr>
            <sz val="9"/>
            <color indexed="81"/>
            <rFont val="Tahoma"/>
            <family val="2"/>
          </rPr>
          <t>Estimated number of Engineer Estimate submittals.</t>
        </r>
      </text>
    </comment>
    <comment ref="E34" authorId="1" shapeId="0" xr:uid="{9F64491C-C82D-41CB-98EB-080F5B53D138}">
      <text>
        <r>
          <rPr>
            <sz val="9"/>
            <color indexed="81"/>
            <rFont val="Tahoma"/>
            <family val="2"/>
          </rPr>
          <t>Estimated number of LRE Updates: typically at Phase II, but sometimes for Phase I as well.</t>
        </r>
      </text>
    </comment>
    <comment ref="E35" authorId="0" shapeId="0" xr:uid="{15675ED8-7639-420B-A992-B82CC764C7CA}">
      <text>
        <r>
          <rPr>
            <sz val="9"/>
            <color indexed="81"/>
            <rFont val="Tahoma"/>
            <family val="2"/>
          </rPr>
          <t>Estimated # of technical and modified special provisions.</t>
        </r>
      </text>
    </comment>
    <comment ref="E38" authorId="0" shapeId="0" xr:uid="{3C968D90-B125-4596-A67D-A546C8638E70}">
      <text>
        <r>
          <rPr>
            <sz val="9"/>
            <color indexed="81"/>
            <rFont val="Tahoma"/>
            <family val="2"/>
          </rPr>
          <t>Is QA/QC required for Landscape Plans?
Yes=1
No=0</t>
        </r>
      </text>
    </comment>
    <comment ref="E39" authorId="0" shapeId="0" xr:uid="{FEA712A0-C76A-4339-A625-5B824FB31B8E}">
      <text>
        <r>
          <rPr>
            <sz val="9"/>
            <color indexed="81"/>
            <rFont val="Tahoma"/>
            <family val="2"/>
          </rPr>
          <t>Is Supervision required for Landscape Plans??
Yes=1
No=0</t>
        </r>
      </text>
    </comment>
    <comment ref="E44" authorId="2" shapeId="0" xr:uid="{A9189DD9-1D94-442C-9A63-E369F9ED76E7}">
      <text>
        <r>
          <rPr>
            <sz val="9"/>
            <color indexed="81"/>
            <rFont val="Tahoma"/>
            <family val="2"/>
          </rPr>
          <t xml:space="preserve">Is Coordination required?
Yes=1
No=0
</t>
        </r>
      </text>
    </comment>
    <comment ref="F44" authorId="0" shapeId="0" xr:uid="{D2DB039D-6CE4-4675-8B1C-18FB9D0DA150}">
      <text>
        <r>
          <rPr>
            <sz val="9"/>
            <color indexed="81"/>
            <rFont val="Tahoma"/>
            <family val="2"/>
          </rPr>
          <t>% of technical subtotal.</t>
        </r>
      </text>
    </comment>
    <comment ref="E48" authorId="0" shapeId="0" xr:uid="{6354423A-A7C1-4EE4-BBC0-9BC3D43DB4C9}">
      <text>
        <r>
          <rPr>
            <sz val="9"/>
            <color indexed="81"/>
            <rFont val="Tahoma"/>
            <family val="2"/>
          </rPr>
          <t xml:space="preserve">Total hours of travel time required for in person meetings.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G10" authorId="0" shapeId="0" xr:uid="{48C2503E-D252-4567-93DF-CF25053B27D3}">
      <text>
        <r>
          <rPr>
            <sz val="9"/>
            <color indexed="81"/>
            <rFont val="Tahoma"/>
            <family val="2"/>
          </rPr>
          <t>Calculated Staff Hours represent a recommended starting point for negotiations based on established guidelines.</t>
        </r>
      </text>
    </comment>
    <comment ref="H10" authorId="0" shapeId="0" xr:uid="{2F7ECE3A-A954-41C7-AE3B-3DDB52F469B4}">
      <text>
        <r>
          <rPr>
            <sz val="9"/>
            <color indexed="81"/>
            <rFont val="Tahoma"/>
            <family val="2"/>
          </rPr>
          <t>FDOT recommended staff hours for the project. These hours may differ from the calculated staff hours recommended.</t>
        </r>
      </text>
    </comment>
    <comment ref="I10" authorId="0" shapeId="0" xr:uid="{8E00DEE2-B494-42E6-9818-2FA01DE233F5}">
      <text>
        <r>
          <rPr>
            <sz val="9"/>
            <color indexed="81"/>
            <rFont val="Tahoma"/>
            <family val="2"/>
          </rPr>
          <t>Consultant recommended staff hours for the project. These hours may differ from the calculated staff hours recommended.</t>
        </r>
      </text>
    </comment>
    <comment ref="J10" authorId="0" shapeId="0" xr:uid="{05851DD0-20B0-4BF2-AC31-843B46C6387E}">
      <text>
        <r>
          <rPr>
            <sz val="9"/>
            <color indexed="81"/>
            <rFont val="Tahoma"/>
            <family val="2"/>
          </rPr>
          <t>Final negotiated staff hours for the project.</t>
        </r>
      </text>
    </comment>
    <comment ref="E12" authorId="0" shapeId="0" xr:uid="{92B02CA3-46FF-42FB-B3CD-CB7D35FA475A}">
      <text>
        <r>
          <rPr>
            <sz val="9"/>
            <color indexed="81"/>
            <rFont val="Tahoma"/>
            <family val="2"/>
          </rPr>
          <t>Is a Key sheet required?
Yes=1
No=0</t>
        </r>
      </text>
    </comment>
    <comment ref="E13" authorId="0" shapeId="0" xr:uid="{7F3BAB55-94A0-4C74-920C-CB10E22278E9}">
      <text>
        <r>
          <rPr>
            <sz val="9"/>
            <color indexed="81"/>
            <rFont val="Tahoma"/>
            <family val="2"/>
          </rPr>
          <t>Is a signature sheet required?  If Key Sheet is not required, then no hours will be given for the signature sheet.
Yes=1
No=0</t>
        </r>
      </text>
    </comment>
    <comment ref="E15" authorId="0" shapeId="0" xr:uid="{60F92FF0-4B04-4202-B21E-AF5427747361}">
      <text>
        <r>
          <rPr>
            <sz val="9"/>
            <color indexed="81"/>
            <rFont val="Tahoma"/>
            <family val="2"/>
          </rPr>
          <t>Is a general notes/pay item notes sheet required?
Yes=1
No=0</t>
        </r>
      </text>
    </comment>
    <comment ref="E16" authorId="0" shapeId="0" xr:uid="{81A9CFC1-D310-4B82-930C-4422A5296F40}">
      <text>
        <r>
          <rPr>
            <sz val="9"/>
            <color indexed="81"/>
            <rFont val="Tahoma"/>
            <family val="2"/>
          </rPr>
          <t>Estimated number of sheets for the Planting Plans (Linear Project).</t>
        </r>
      </text>
    </comment>
    <comment ref="E17" authorId="0" shapeId="0" xr:uid="{6DB0348D-2352-49B4-AAF9-D3162CF39B95}">
      <text>
        <r>
          <rPr>
            <sz val="9"/>
            <color indexed="81"/>
            <rFont val="Tahoma"/>
            <family val="2"/>
          </rPr>
          <t>Estimated number of sheets for the Planting Plans (Area Project).</t>
        </r>
      </text>
    </comment>
    <comment ref="E18" authorId="0" shapeId="0" xr:uid="{D1303246-81F7-43CF-8D08-53492ADF0D19}">
      <text>
        <r>
          <rPr>
            <sz val="9"/>
            <color indexed="81"/>
            <rFont val="Tahoma"/>
            <family val="2"/>
          </rPr>
          <t>Estimated # of planting details. This task includes any notes required.</t>
        </r>
      </text>
    </comment>
    <comment ref="E19" authorId="0" shapeId="0" xr:uid="{FA5BFDC0-A635-46F8-A022-2E38CAA8EF5D}">
      <text>
        <r>
          <rPr>
            <sz val="9"/>
            <color indexed="81"/>
            <rFont val="Tahoma"/>
            <family val="2"/>
          </rPr>
          <t>Estimated number of sheets for the Irrigation Plans (Linear Project).</t>
        </r>
      </text>
    </comment>
    <comment ref="E20" authorId="0" shapeId="0" xr:uid="{F9A90164-1612-44C7-8427-D98942EAF179}">
      <text>
        <r>
          <rPr>
            <sz val="9"/>
            <color indexed="81"/>
            <rFont val="Tahoma"/>
            <family val="2"/>
          </rPr>
          <t>Estimated number of sheets for the Irrigation Plans (Area Project).</t>
        </r>
      </text>
    </comment>
    <comment ref="E21" authorId="0" shapeId="0" xr:uid="{433A1F31-4A22-44C0-BAAB-B23F7F3F7B29}">
      <text>
        <r>
          <rPr>
            <sz val="9"/>
            <color indexed="81"/>
            <rFont val="Tahoma"/>
            <family val="2"/>
          </rPr>
          <t>Estimated # of irrigation details. This task includes any notes required.</t>
        </r>
      </text>
    </comment>
    <comment ref="E22" authorId="0" shapeId="0" xr:uid="{A089CECE-D012-4449-B4DC-10194676DD9C}">
      <text>
        <r>
          <rPr>
            <sz val="9"/>
            <color indexed="81"/>
            <rFont val="Tahoma"/>
            <family val="2"/>
          </rPr>
          <t>Are hardscape plans required for project?
Yes=1
No=0</t>
        </r>
      </text>
    </comment>
    <comment ref="E23" authorId="0" shapeId="0" xr:uid="{A2FA93C2-D202-4BDE-B6CC-166AD636C4EC}">
      <text>
        <r>
          <rPr>
            <sz val="9"/>
            <color indexed="81"/>
            <rFont val="Tahoma"/>
            <family val="2"/>
          </rPr>
          <t>Is a maintenance plan required for the project?
Yes=1
No=0</t>
        </r>
      </text>
    </comment>
    <comment ref="E25" authorId="0" shapeId="0" xr:uid="{1F661DF5-2F8A-4D7A-BF37-3AFDBA72D7BE}">
      <text>
        <r>
          <rPr>
            <sz val="9"/>
            <color indexed="81"/>
            <rFont val="Tahoma"/>
            <family val="2"/>
          </rPr>
          <t>Is QA/QC required for Landscape Plans?
Yes=1
No=0</t>
        </r>
      </text>
    </comment>
    <comment ref="F25" authorId="0" shapeId="0" xr:uid="{FF639095-0CD7-41B3-B1CA-DF6E854799D4}">
      <text>
        <r>
          <rPr>
            <sz val="9"/>
            <color indexed="81"/>
            <rFont val="Tahoma"/>
            <family val="2"/>
          </rPr>
          <t>% of technical subtotal.</t>
        </r>
      </text>
    </comment>
    <comment ref="E26" authorId="0" shapeId="0" xr:uid="{01321CB9-C4D9-48B3-B1F6-2072F01ED2FB}">
      <text>
        <r>
          <rPr>
            <sz val="9"/>
            <color indexed="81"/>
            <rFont val="Tahoma"/>
            <family val="2"/>
          </rPr>
          <t>Is Supervision required for Landscape Plans??
Yes=1
No=0</t>
        </r>
      </text>
    </comment>
    <comment ref="F26" authorId="0" shapeId="0" xr:uid="{C9EA4132-888B-4599-9BA9-FCD215DF9EA6}">
      <text>
        <r>
          <rPr>
            <sz val="9"/>
            <color indexed="81"/>
            <rFont val="Tahoma"/>
            <family val="2"/>
          </rPr>
          <t xml:space="preserve">% of technical subtotal.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G10" authorId="0" shapeId="0" xr:uid="{AC86412A-1FFC-4957-B44F-54338CC6E280}">
      <text>
        <r>
          <rPr>
            <sz val="9"/>
            <color indexed="81"/>
            <rFont val="Tahoma"/>
            <family val="2"/>
          </rPr>
          <t>Calculated Staff Hours represent a recommended starting point for negotiations based on established guidelines.</t>
        </r>
      </text>
    </comment>
    <comment ref="H10" authorId="0" shapeId="0" xr:uid="{F6DDBC11-A6D3-4236-AE83-8C26423287FA}">
      <text>
        <r>
          <rPr>
            <sz val="9"/>
            <color indexed="81"/>
            <rFont val="Tahoma"/>
            <family val="2"/>
          </rPr>
          <t>FDOT recommended staff hours for the project. These hours may differ from the calculated staff hours recommended.</t>
        </r>
      </text>
    </comment>
    <comment ref="I10" authorId="0" shapeId="0" xr:uid="{4A61560A-D9FA-4F73-A06D-2F4C77C304C4}">
      <text>
        <r>
          <rPr>
            <sz val="9"/>
            <color indexed="81"/>
            <rFont val="Tahoma"/>
            <family val="2"/>
          </rPr>
          <t>Consultant recommended staff hours for the project. These hours may differ from the calculated staff hours recommended.</t>
        </r>
      </text>
    </comment>
    <comment ref="J10" authorId="0" shapeId="0" xr:uid="{F00464D9-93CD-4997-B7FA-3B095CB72758}">
      <text>
        <r>
          <rPr>
            <sz val="9"/>
            <color indexed="81"/>
            <rFont val="Tahoma"/>
            <family val="2"/>
          </rPr>
          <t>Final negotiated staff hours for the project.</t>
        </r>
      </text>
    </comment>
    <comment ref="E12" authorId="0" shapeId="0" xr:uid="{A349929C-48CE-4DC2-B96A-F07C5291A07E}">
      <text>
        <r>
          <rPr>
            <sz val="9"/>
            <color indexed="81"/>
            <rFont val="Tahoma"/>
            <family val="2"/>
          </rPr>
          <t xml:space="preserve">Length in miles.
</t>
        </r>
      </text>
    </comment>
    <comment ref="E13" authorId="0" shapeId="0" xr:uid="{E0B71581-D889-428A-8441-F785CF8960B6}">
      <text>
        <r>
          <rPr>
            <sz val="9"/>
            <color indexed="81"/>
            <rFont val="Tahoma"/>
            <family val="2"/>
          </rPr>
          <t># of Sections</t>
        </r>
      </text>
    </comment>
    <comment ref="E14" authorId="0" shapeId="0" xr:uid="{489483AF-4934-477D-82A7-C25E8B058404}">
      <text>
        <r>
          <rPr>
            <sz val="9"/>
            <color indexed="81"/>
            <rFont val="Tahoma"/>
            <family val="2"/>
          </rPr>
          <t># of Blocks</t>
        </r>
      </text>
    </comment>
    <comment ref="E15" authorId="0" shapeId="0" xr:uid="{FBE34C29-03F5-4120-8D2A-C881D87ABB6C}">
      <text>
        <r>
          <rPr>
            <sz val="9"/>
            <color indexed="81"/>
            <rFont val="Tahoma"/>
            <family val="2"/>
          </rPr>
          <t># of Tracts</t>
        </r>
      </text>
    </comment>
    <comment ref="E16" authorId="0" shapeId="0" xr:uid="{8E748603-27DF-4BC1-8440-0490A72CE321}">
      <text>
        <r>
          <rPr>
            <sz val="9"/>
            <color indexed="81"/>
            <rFont val="Tahoma"/>
            <family val="2"/>
          </rPr>
          <t xml:space="preserve">Length in miles. (project length includes side streets)
</t>
        </r>
      </text>
    </comment>
    <comment ref="E17" authorId="0" shapeId="0" xr:uid="{973805C2-B5A0-40F7-9192-95E97FA5944E}">
      <text>
        <r>
          <rPr>
            <sz val="9"/>
            <color indexed="81"/>
            <rFont val="Tahoma"/>
            <family val="2"/>
          </rPr>
          <t xml:space="preserve">Length in miles.
</t>
        </r>
      </text>
    </comment>
    <comment ref="E18" authorId="0" shapeId="0" xr:uid="{8AE514B1-A0B8-4F12-AB47-B2B3CBE19A7A}">
      <text>
        <r>
          <rPr>
            <sz val="9"/>
            <color indexed="81"/>
            <rFont val="Tahoma"/>
            <family val="2"/>
          </rPr>
          <t># of Parcels</t>
        </r>
      </text>
    </comment>
    <comment ref="E19" authorId="0" shapeId="0" xr:uid="{30BF3729-84F9-4A93-952C-DD871B2F40FA}">
      <text>
        <r>
          <rPr>
            <sz val="9"/>
            <color indexed="81"/>
            <rFont val="Tahoma"/>
            <family val="2"/>
          </rPr>
          <t># of Parcels</t>
        </r>
      </text>
    </comment>
    <comment ref="E20" authorId="0" shapeId="0" xr:uid="{718217C7-D7B5-4210-87C6-771FFE9A30E2}">
      <text>
        <r>
          <rPr>
            <sz val="9"/>
            <color indexed="81"/>
            <rFont val="Tahoma"/>
            <family val="2"/>
          </rPr>
          <t xml:space="preserve">Length in miles.
</t>
        </r>
      </text>
    </comment>
    <comment ref="E21" authorId="0" shapeId="0" xr:uid="{C5AC88D5-35F4-4D47-8D3D-17CA0396EF25}">
      <text>
        <r>
          <rPr>
            <sz val="9"/>
            <color indexed="81"/>
            <rFont val="Tahoma"/>
            <family val="2"/>
          </rPr>
          <t xml:space="preserve">Length in </t>
        </r>
        <r>
          <rPr>
            <b/>
            <sz val="9"/>
            <color indexed="81"/>
            <rFont val="Tahoma"/>
            <family val="2"/>
          </rPr>
          <t>Linear Mile</t>
        </r>
        <r>
          <rPr>
            <sz val="9"/>
            <color indexed="81"/>
            <rFont val="Tahoma"/>
            <family val="2"/>
          </rPr>
          <t xml:space="preserve">. (linear mile is defined as the length of the actual lines being plotted, not the project length)
</t>
        </r>
      </text>
    </comment>
    <comment ref="E23" authorId="0" shapeId="0" xr:uid="{DBDAEA09-F190-47AC-B4A3-09601F4F1F87}">
      <text>
        <r>
          <rPr>
            <sz val="9"/>
            <color indexed="81"/>
            <rFont val="Tahoma"/>
            <family val="2"/>
          </rPr>
          <t>Is a Control Survey Cover Sheet required?
Yes=1
No=0</t>
        </r>
      </text>
    </comment>
    <comment ref="E24" authorId="0" shapeId="0" xr:uid="{4103C909-C232-4AE3-9632-017B9F7D9718}">
      <text>
        <r>
          <rPr>
            <sz val="9"/>
            <color indexed="81"/>
            <rFont val="Tahoma"/>
            <family val="2"/>
          </rPr>
          <t># of Sheets (24" X 36")</t>
        </r>
      </text>
    </comment>
    <comment ref="E25" authorId="0" shapeId="0" xr:uid="{27B9DD92-7A1F-4FFD-AA0C-5EBB2FE4830A}">
      <text>
        <r>
          <rPr>
            <sz val="9"/>
            <color indexed="81"/>
            <rFont val="Tahoma"/>
            <family val="2"/>
          </rPr>
          <t># of Sheets (24" X 36")</t>
        </r>
      </text>
    </comment>
    <comment ref="E26" authorId="0" shapeId="0" xr:uid="{9539BF18-A964-4B81-8C46-1B915CA5623A}">
      <text>
        <r>
          <rPr>
            <sz val="9"/>
            <color indexed="81"/>
            <rFont val="Tahoma"/>
            <family val="2"/>
          </rPr>
          <t>Is a R/W Map Cover Sheet required?
Yes=1
No=0</t>
        </r>
      </text>
    </comment>
    <comment ref="E27" authorId="0" shapeId="0" xr:uid="{E763DBF0-402D-4BFF-960A-F2C96B00B1D4}">
      <text>
        <r>
          <rPr>
            <sz val="9"/>
            <color indexed="81"/>
            <rFont val="Tahoma"/>
            <family val="2"/>
          </rPr>
          <t># of Sheets (24" X 36")</t>
        </r>
      </text>
    </comment>
    <comment ref="E28" authorId="0" shapeId="0" xr:uid="{2AB6BD46-25F7-480D-80FB-48CB0284074D}">
      <text>
        <r>
          <rPr>
            <sz val="9"/>
            <color indexed="81"/>
            <rFont val="Tahoma"/>
            <family val="2"/>
          </rPr>
          <t># of Sheets (24" X 36")</t>
        </r>
      </text>
    </comment>
    <comment ref="E29" authorId="0" shapeId="0" xr:uid="{2178C9B9-A623-4CBF-9201-B869B3413BFB}">
      <text>
        <r>
          <rPr>
            <sz val="9"/>
            <color indexed="81"/>
            <rFont val="Tahoma"/>
            <family val="2"/>
          </rPr>
          <t>Is a Maintenance Map Cover Sheet required?
Yes=1
No=0</t>
        </r>
      </text>
    </comment>
    <comment ref="E30" authorId="0" shapeId="0" xr:uid="{1DFD1BB2-E663-43E6-8454-37B4D58C1199}">
      <text>
        <r>
          <rPr>
            <sz val="9"/>
            <color indexed="81"/>
            <rFont val="Tahoma"/>
            <family val="2"/>
          </rPr>
          <t># of Sheets (24" X 36")</t>
        </r>
      </text>
    </comment>
    <comment ref="E31" authorId="0" shapeId="0" xr:uid="{1F8F704E-2BC8-4D8D-9E7C-D5266EF00DB3}">
      <text>
        <r>
          <rPr>
            <sz val="9"/>
            <color indexed="81"/>
            <rFont val="Tahoma"/>
            <family val="2"/>
          </rPr>
          <t># of Sheets (24" X 36")</t>
        </r>
      </text>
    </comment>
    <comment ref="E32" authorId="0" shapeId="0" xr:uid="{F9CD1BB7-1112-45F1-B138-7004AE608D57}">
      <text>
        <r>
          <rPr>
            <sz val="9"/>
            <color indexed="81"/>
            <rFont val="Tahoma"/>
            <family val="2"/>
          </rPr>
          <t># of Center Line Points</t>
        </r>
      </text>
    </comment>
    <comment ref="E33" authorId="0" shapeId="0" xr:uid="{8082A06B-E303-4A8F-A465-E12300F59DAE}">
      <text>
        <r>
          <rPr>
            <sz val="9"/>
            <color indexed="81"/>
            <rFont val="Tahoma"/>
            <family val="2"/>
          </rPr>
          <t># of Sheets (24" X 36")</t>
        </r>
      </text>
    </comment>
    <comment ref="E34" authorId="0" shapeId="0" xr:uid="{0113A012-1F77-4CD1-9E08-95E4110F24BC}">
      <text>
        <r>
          <rPr>
            <sz val="9"/>
            <color indexed="81"/>
            <rFont val="Tahoma"/>
            <family val="2"/>
          </rPr>
          <t># of Parcels</t>
        </r>
      </text>
    </comment>
    <comment ref="E36" authorId="0" shapeId="0" xr:uid="{04AD72CB-A04D-4671-A9FA-A97A7586AEED}">
      <text>
        <r>
          <rPr>
            <sz val="9"/>
            <color indexed="81"/>
            <rFont val="Tahoma"/>
            <family val="2"/>
          </rPr>
          <t># of Parcels</t>
        </r>
      </text>
    </comment>
    <comment ref="E37" authorId="0" shapeId="0" xr:uid="{43D86E55-1E38-4536-9AA2-BE281AD01635}">
      <text>
        <r>
          <rPr>
            <sz val="9"/>
            <color indexed="81"/>
            <rFont val="Tahoma"/>
            <family val="2"/>
          </rPr>
          <t># of Parcels</t>
        </r>
      </text>
    </comment>
    <comment ref="E38" authorId="0" shapeId="0" xr:uid="{B5A22F71-DD20-4B14-BFB1-32F4FE038A7E}">
      <text>
        <r>
          <rPr>
            <sz val="9"/>
            <color indexed="81"/>
            <rFont val="Tahoma"/>
            <family val="2"/>
          </rPr>
          <t># of Specific Purpose Surveys</t>
        </r>
      </text>
    </comment>
    <comment ref="E39" authorId="0" shapeId="0" xr:uid="{E1790AC6-0CDD-4621-AC15-3EAE4408E9E8}">
      <text>
        <r>
          <rPr>
            <sz val="9"/>
            <color indexed="81"/>
            <rFont val="Tahoma"/>
            <family val="2"/>
          </rPr>
          <t># of Boundary Surveys</t>
        </r>
      </text>
    </comment>
    <comment ref="E40" authorId="0" shapeId="0" xr:uid="{A0DE6C2F-9812-4A07-BA04-45BFD5C450B3}">
      <text>
        <r>
          <rPr>
            <sz val="9"/>
            <color indexed="81"/>
            <rFont val="Tahoma"/>
            <family val="2"/>
          </rPr>
          <t># of Sheets (24" X 36")</t>
        </r>
      </text>
    </comment>
    <comment ref="E41" authorId="0" shapeId="0" xr:uid="{9C7CE5E6-9054-4730-9375-B817172FACC4}">
      <text>
        <r>
          <rPr>
            <sz val="9"/>
            <color indexed="81"/>
            <rFont val="Tahoma"/>
            <family val="2"/>
          </rPr>
          <t>Is a Title Search Map required?
Yes=1
No=0</t>
        </r>
      </text>
    </comment>
    <comment ref="E42" authorId="0" shapeId="0" xr:uid="{CF7667C4-A5A6-4D7D-8EB4-F5156BCA3A5B}">
      <text>
        <r>
          <rPr>
            <sz val="9"/>
            <color indexed="81"/>
            <rFont val="Tahoma"/>
            <family val="2"/>
          </rPr>
          <t>Is a Title Search Report required?
Yes=1
No=0</t>
        </r>
      </text>
    </comment>
    <comment ref="E43" authorId="0" shapeId="0" xr:uid="{919AC013-BC51-4754-802A-96DB02CB91BE}">
      <text>
        <r>
          <rPr>
            <sz val="9"/>
            <color indexed="81"/>
            <rFont val="Tahoma"/>
            <family val="2"/>
          </rPr>
          <t># of Parcels</t>
        </r>
      </text>
    </comment>
    <comment ref="E45" authorId="0" shapeId="0" xr:uid="{4A00CB8E-6003-44AE-B646-B64C5AAF4509}">
      <text>
        <r>
          <rPr>
            <sz val="9"/>
            <color indexed="81"/>
            <rFont val="Tahoma"/>
            <family val="2"/>
          </rPr>
          <t>Is QA/QC required?
Yes=1
No=0</t>
        </r>
      </text>
    </comment>
    <comment ref="F45" authorId="0" shapeId="0" xr:uid="{8ADCF157-3E5B-4C9E-B397-4B5D8E8FD653}">
      <text>
        <r>
          <rPr>
            <sz val="9"/>
            <color indexed="81"/>
            <rFont val="Tahoma"/>
            <family val="2"/>
          </rPr>
          <t>% of technical subtotal.</t>
        </r>
      </text>
    </comment>
    <comment ref="E46" authorId="0" shapeId="0" xr:uid="{F7D371BF-FD76-48F9-8EFA-AC3BF78B0681}">
      <text>
        <r>
          <rPr>
            <sz val="9"/>
            <color indexed="81"/>
            <rFont val="Tahoma"/>
            <family val="2"/>
          </rPr>
          <t>Is Supervision required?
Yes=1
No=0</t>
        </r>
      </text>
    </comment>
    <comment ref="F46" authorId="0" shapeId="0" xr:uid="{4D2FF600-ACB4-4462-9E06-497C26E063CD}">
      <text>
        <r>
          <rPr>
            <sz val="9"/>
            <color indexed="81"/>
            <rFont val="Tahoma"/>
            <family val="2"/>
          </rPr>
          <t xml:space="preserve">% of technical subtotal.
</t>
        </r>
      </text>
    </comment>
    <comment ref="E47" authorId="0" shapeId="0" xr:uid="{915265EB-0144-46FE-B97D-5A7885F39325}">
      <text>
        <r>
          <rPr>
            <sz val="9"/>
            <color indexed="81"/>
            <rFont val="Tahoma"/>
            <family val="2"/>
          </rPr>
          <t>Estimated # of meeting listed below</t>
        </r>
      </text>
    </comment>
    <comment ref="E56" authorId="0" shapeId="0" xr:uid="{B602E460-AC31-494A-95AF-13F8FFC9AB91}">
      <text>
        <r>
          <rPr>
            <sz val="9"/>
            <color indexed="81"/>
            <rFont val="Tahoma"/>
            <family val="2"/>
          </rPr>
          <t xml:space="preserve">Total hours of travel time required for in person meetings.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D22" authorId="0" shapeId="0" xr:uid="{B820461B-2986-4549-A3F3-8A0583833EA0}">
      <text>
        <r>
          <rPr>
            <sz val="9"/>
            <color indexed="81"/>
            <rFont val="Tahoma"/>
            <family val="2"/>
          </rPr>
          <t xml:space="preserve">Estimated # of ITS Installations (Poles, Base-Mounted Cabinet, DMS, HUB) for the project.
</t>
        </r>
      </text>
    </comment>
    <comment ref="E22" authorId="0" shapeId="0" xr:uid="{FA40ECE5-9202-41DE-82F3-48E27425F7CF}">
      <text>
        <r>
          <rPr>
            <sz val="9"/>
            <color indexed="81"/>
            <rFont val="Tahoma"/>
            <family val="2"/>
          </rPr>
          <t>Calculated Staff Hours represent a recommended starting point for negotiations based on established guidelines.</t>
        </r>
      </text>
    </comment>
    <comment ref="E23" authorId="0" shapeId="0" xr:uid="{ABA5A70C-AF70-4C08-ABFA-4BE4BAD4CCE1}">
      <text>
        <r>
          <rPr>
            <sz val="9"/>
            <color indexed="81"/>
            <rFont val="Tahoma"/>
            <family val="2"/>
          </rPr>
          <t>Consider adding 4 hours to the calculated hours when required to include EQ Report with Phase II Submittal.</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G10" authorId="0" shapeId="0" xr:uid="{91991450-C2B1-46FE-8C8A-E3E97EFEBD1F}">
      <text>
        <r>
          <rPr>
            <sz val="9"/>
            <color indexed="81"/>
            <rFont val="Tahoma"/>
            <family val="2"/>
          </rPr>
          <t>Calculated Staff Hours represent a recommended starting point for negotiations based on established guidelines.</t>
        </r>
      </text>
    </comment>
    <comment ref="H10" authorId="0" shapeId="0" xr:uid="{29BE1BFD-5649-4E6A-A756-30A307B9104D}">
      <text>
        <r>
          <rPr>
            <sz val="9"/>
            <color indexed="81"/>
            <rFont val="Tahoma"/>
            <family val="2"/>
          </rPr>
          <t>FDOT recommended staff hours for the project. These hours may differ from the calculated staff hours recommended.</t>
        </r>
      </text>
    </comment>
    <comment ref="I10" authorId="0" shapeId="0" xr:uid="{D7986C8E-65F6-4934-A34E-CD8A26134971}">
      <text>
        <r>
          <rPr>
            <sz val="9"/>
            <color indexed="81"/>
            <rFont val="Tahoma"/>
            <family val="2"/>
          </rPr>
          <t>Consultant recommended staff hours for the project. These hours may differ from the calculated staff hours recommended.</t>
        </r>
      </text>
    </comment>
    <comment ref="J10" authorId="0" shapeId="0" xr:uid="{8CE8F421-1FE7-4781-808B-79B5829F7DD5}">
      <text>
        <r>
          <rPr>
            <sz val="9"/>
            <color indexed="81"/>
            <rFont val="Tahoma"/>
            <family val="2"/>
          </rPr>
          <t>Final negotiated staff hours for the project.</t>
        </r>
      </text>
    </comment>
    <comment ref="E11" authorId="0" shapeId="0" xr:uid="{861CDC30-0495-4665-833B-9DA306A7BCBE}">
      <text>
        <r>
          <rPr>
            <sz val="9"/>
            <color indexed="81"/>
            <rFont val="Tahoma"/>
            <family val="2"/>
          </rPr>
          <t>Is a Key sheet required?
Yes=1
No=0</t>
        </r>
      </text>
    </comment>
    <comment ref="E12" authorId="0" shapeId="0" xr:uid="{44844DC9-5243-46D1-98DE-6A5A8E780549}">
      <text>
        <r>
          <rPr>
            <sz val="9"/>
            <color indexed="81"/>
            <rFont val="Tahoma"/>
            <family val="2"/>
          </rPr>
          <t>Is a signature sheet required?  If Key Sheet is not required, then no hours will be given for the signature sheet.
Yes=1
No=0</t>
        </r>
      </text>
    </comment>
    <comment ref="E13" authorId="0" shapeId="0" xr:uid="{90F7E630-251B-413D-B1C9-1BD8ECE6C11E}">
      <text>
        <r>
          <rPr>
            <sz val="9"/>
            <color indexed="81"/>
            <rFont val="Tahoma"/>
            <family val="2"/>
          </rPr>
          <t>Is a general notes/pay item notes sheet required?
Yes=1
No=0</t>
        </r>
      </text>
    </comment>
    <comment ref="E14" authorId="0" shapeId="0" xr:uid="{CA937D07-F51F-45DD-84E5-0A5F6C9EB2F3}">
      <text>
        <r>
          <rPr>
            <sz val="9"/>
            <color indexed="81"/>
            <rFont val="Tahoma"/>
            <family val="2"/>
          </rPr>
          <t>Estimated number of sheets for Project Layout Sheet.</t>
        </r>
      </text>
    </comment>
    <comment ref="E15" authorId="0" shapeId="0" xr:uid="{0D1B8DAF-0FCE-45DC-B28B-775BDA2E66AB}">
      <text>
        <r>
          <rPr>
            <sz val="9"/>
            <color indexed="81"/>
            <rFont val="Tahoma"/>
            <family val="2"/>
          </rPr>
          <t>Estimated # of ITS Sites. Use only when required by Department.</t>
        </r>
      </text>
    </comment>
    <comment ref="E16" authorId="0" shapeId="0" xr:uid="{80BB2B5D-48C9-4F30-8E2B-85BED83B33CC}">
      <text>
        <r>
          <rPr>
            <sz val="9"/>
            <color indexed="81"/>
            <rFont val="Tahoma"/>
            <family val="2"/>
          </rPr>
          <t>Estimated # of details that require minor or no engineering analysis (e.g., common details typically used in projects).</t>
        </r>
      </text>
    </comment>
    <comment ref="E17" authorId="0" shapeId="0" xr:uid="{A13FFF12-A3A1-435A-8504-1B3C5F1F1CF4}">
      <text>
        <r>
          <rPr>
            <sz val="9"/>
            <color indexed="81"/>
            <rFont val="Tahoma"/>
            <family val="2"/>
          </rPr>
          <t xml:space="preserve">Estimated # details requiring engineering analysis (e.g., unique details that need to be created).
</t>
        </r>
      </text>
    </comment>
    <comment ref="E18" authorId="0" shapeId="0" xr:uid="{3535B4FA-7592-42D7-80DA-FB102DA84255}">
      <text>
        <r>
          <rPr>
            <sz val="9"/>
            <color indexed="81"/>
            <rFont val="Tahoma"/>
            <family val="2"/>
          </rPr>
          <t>Estimated number of sheets for ITS &amp; Communication Plan (Linear Project).</t>
        </r>
      </text>
    </comment>
    <comment ref="E19" authorId="0" shapeId="0" xr:uid="{F10242CE-C994-4653-B0AD-ECE2E8809B23}">
      <text>
        <r>
          <rPr>
            <u/>
            <sz val="9"/>
            <color indexed="81"/>
            <rFont val="Tahoma"/>
            <family val="2"/>
          </rPr>
          <t>If the project is non-linear</t>
        </r>
        <r>
          <rPr>
            <sz val="9"/>
            <color indexed="81"/>
            <rFont val="Tahoma"/>
            <family val="2"/>
          </rPr>
          <t>, what is the estimated # of ITS Installations?</t>
        </r>
      </text>
    </comment>
    <comment ref="E20" authorId="0" shapeId="0" xr:uid="{3638C450-FD55-4F4A-9934-3DEA1E70204B}">
      <text>
        <r>
          <rPr>
            <sz val="9"/>
            <color indexed="81"/>
            <rFont val="Tahoma"/>
            <family val="2"/>
          </rPr>
          <t>Estimated number of sheets for Maintenance of Communications Plan.</t>
        </r>
      </text>
    </comment>
    <comment ref="E21" authorId="0" shapeId="0" xr:uid="{F85FAD83-50E5-4FEC-A33D-7025A004E3B1}">
      <text>
        <r>
          <rPr>
            <sz val="9"/>
            <color indexed="81"/>
            <rFont val="Tahoma"/>
            <family val="2"/>
          </rPr>
          <t>Estimated # of ITS Cabinets requiring a standard diagram.</t>
        </r>
      </text>
    </comment>
    <comment ref="E22" authorId="0" shapeId="0" xr:uid="{FCE7B01B-D2FC-46A5-A59B-4FC81C40B8EF}">
      <text>
        <r>
          <rPr>
            <sz val="9"/>
            <color indexed="81"/>
            <rFont val="Tahoma"/>
            <family val="2"/>
          </rPr>
          <t>Estimated # of ITS Cabinets requiring a complex diagram (cross-connection/splice junction).</t>
        </r>
      </text>
    </comment>
    <comment ref="E23" authorId="0" shapeId="0" xr:uid="{028885B4-34C0-47DB-A7B6-A3A2A2AC8BA6}">
      <text>
        <r>
          <rPr>
            <sz val="9"/>
            <color indexed="81"/>
            <rFont val="Tahoma"/>
            <family val="2"/>
          </rPr>
          <t xml:space="preserve">Estimated # of Master ITS Hub Shelters. </t>
        </r>
      </text>
    </comment>
    <comment ref="E24" authorId="0" shapeId="0" xr:uid="{7DB9B371-55FE-43DC-A015-D71428364161}">
      <text>
        <r>
          <rPr>
            <sz val="9"/>
            <color indexed="81"/>
            <rFont val="Tahoma"/>
            <family val="2"/>
          </rPr>
          <t xml:space="preserve">Estimated # of sites requiring grounding plans or lightning protection plans. Use this task when standard drawings and interim standards do not address the situation.
</t>
        </r>
      </text>
    </comment>
    <comment ref="E25" authorId="0" shapeId="0" xr:uid="{0B2A7BBB-791A-4BB4-843D-CF90CC5BB205}">
      <text>
        <r>
          <rPr>
            <sz val="9"/>
            <color indexed="81"/>
            <rFont val="Tahoma"/>
            <family val="2"/>
          </rPr>
          <t xml:space="preserve">Estimated # of ground mount ITS sites.
</t>
        </r>
      </text>
    </comment>
    <comment ref="E26" authorId="0" shapeId="0" xr:uid="{9222D9B2-0690-4124-9304-8F0747DC56F2}">
      <text>
        <r>
          <rPr>
            <sz val="9"/>
            <color indexed="81"/>
            <rFont val="Tahoma"/>
            <family val="2"/>
          </rPr>
          <t>Estimated # of cantilever mounted ITS sites.</t>
        </r>
      </text>
    </comment>
    <comment ref="E27" authorId="0" shapeId="0" xr:uid="{D4511C49-4453-4A15-90C6-85E6C8103509}">
      <text>
        <r>
          <rPr>
            <sz val="9"/>
            <color indexed="81"/>
            <rFont val="Tahoma"/>
            <family val="2"/>
          </rPr>
          <t>Estimated # of full span truss mount ITS sites, MSE wall mount ITS sites, and bridge mount ITS sites.</t>
        </r>
      </text>
    </comment>
    <comment ref="E28" authorId="0" shapeId="0" xr:uid="{7F949E23-138D-4BE2-9BA5-9331FF038EF6}">
      <text>
        <r>
          <rPr>
            <sz val="9"/>
            <color indexed="81"/>
            <rFont val="Tahoma"/>
            <family val="2"/>
          </rPr>
          <t>Estimated # of Hybrid &amp; DMS signs that must be imported from guide sign program.</t>
        </r>
      </text>
    </comment>
    <comment ref="E29" authorId="0" shapeId="0" xr:uid="{51748B44-14A3-4179-9B67-45774AE28F68}">
      <text>
        <r>
          <rPr>
            <sz val="9"/>
            <color indexed="81"/>
            <rFont val="Tahoma"/>
            <family val="2"/>
          </rPr>
          <t>Estimated # of ITS cabinets requiring service point details when standard plans are not applicable.</t>
        </r>
        <r>
          <rPr>
            <b/>
            <sz val="9"/>
            <color indexed="81"/>
            <rFont val="Tahoma"/>
            <family val="2"/>
          </rPr>
          <t xml:space="preserve"> </t>
        </r>
      </text>
    </comment>
    <comment ref="E30" authorId="0" shapeId="0" xr:uid="{9CBB11AB-1E27-4CB6-8FF4-D742E3278B39}">
      <text>
        <r>
          <rPr>
            <sz val="9"/>
            <color indexed="81"/>
            <rFont val="Tahoma"/>
            <family val="2"/>
          </rPr>
          <t>Estimated # of strain poles.</t>
        </r>
      </text>
    </comment>
    <comment ref="E31" authorId="0" shapeId="0" xr:uid="{48E7387C-89EB-4C02-A351-66E81B973E1C}">
      <text>
        <r>
          <rPr>
            <sz val="9"/>
            <color indexed="81"/>
            <rFont val="Tahoma"/>
            <family val="2"/>
          </rPr>
          <t>Are TTCP notes required? (Use only when not shown in Roadway TTCP)
Yes=1
No=0</t>
        </r>
      </text>
    </comment>
    <comment ref="E32" authorId="0" shapeId="0" xr:uid="{626CF9F2-E180-46B8-924F-E81D9396022A}">
      <text>
        <r>
          <rPr>
            <sz val="9"/>
            <color indexed="81"/>
            <rFont val="Tahoma"/>
            <family val="2"/>
          </rPr>
          <t>Estimated # TTCP detour plans required. (Use only when not shown in Roadway TTCP)</t>
        </r>
      </text>
    </comment>
    <comment ref="E34" authorId="0" shapeId="0" xr:uid="{7A6E9D0E-801D-4189-A933-AD000B907C65}">
      <text>
        <r>
          <rPr>
            <sz val="9"/>
            <color indexed="81"/>
            <rFont val="Tahoma"/>
            <family val="2"/>
          </rPr>
          <t>Is QA/QC required?
Yes=1
No=0</t>
        </r>
      </text>
    </comment>
    <comment ref="F34" authorId="0" shapeId="0" xr:uid="{68DFBDE2-6CC2-43D5-9934-B90F2AE41A31}">
      <text>
        <r>
          <rPr>
            <sz val="9"/>
            <color indexed="81"/>
            <rFont val="Tahoma"/>
            <family val="2"/>
          </rPr>
          <t>% of technical subtotal.</t>
        </r>
      </text>
    </comment>
    <comment ref="E35" authorId="0" shapeId="0" xr:uid="{63BA7264-4B43-4F48-946F-4029BFFD7466}">
      <text>
        <r>
          <rPr>
            <sz val="9"/>
            <color indexed="81"/>
            <rFont val="Tahoma"/>
            <family val="2"/>
          </rPr>
          <t>Is Supervision required?
Yes=1
No=0</t>
        </r>
      </text>
    </comment>
    <comment ref="F35" authorId="0" shapeId="0" xr:uid="{501FAB00-42D5-4C38-A9B3-21C5B77EF427}">
      <text>
        <r>
          <rPr>
            <sz val="9"/>
            <color indexed="81"/>
            <rFont val="Tahoma"/>
            <family val="2"/>
          </rPr>
          <t xml:space="preserve">% of technical subtotal.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Buck, Ryan</author>
    <author>Hiers, Paul</author>
  </authors>
  <commentList>
    <comment ref="G10" authorId="0" shapeId="0" xr:uid="{E18058E3-F030-48F7-9346-D6D8E822D624}">
      <text>
        <r>
          <rPr>
            <sz val="9"/>
            <color indexed="81"/>
            <rFont val="Tahoma"/>
            <family val="2"/>
          </rPr>
          <t>Calculated Staff Hours represent a recommended starting point for negotiations based on established guidelines.</t>
        </r>
      </text>
    </comment>
    <comment ref="H10" authorId="0" shapeId="0" xr:uid="{B5281D79-E781-435A-ADC8-5494D19A48F9}">
      <text>
        <r>
          <rPr>
            <sz val="9"/>
            <color indexed="81"/>
            <rFont val="Tahoma"/>
            <family val="2"/>
          </rPr>
          <t>FDOT recommended staff hours for the project. These hours may differ from the calculated staff hours recommended.</t>
        </r>
      </text>
    </comment>
    <comment ref="I10" authorId="0" shapeId="0" xr:uid="{9FAF98B3-B4BC-4C75-A73A-66C40F7EADF8}">
      <text>
        <r>
          <rPr>
            <sz val="9"/>
            <color indexed="81"/>
            <rFont val="Tahoma"/>
            <family val="2"/>
          </rPr>
          <t>Consultant recommended staff hours for the project. These hours may differ from the calculated staff hours recommended.</t>
        </r>
      </text>
    </comment>
    <comment ref="J10" authorId="0" shapeId="0" xr:uid="{D39CA017-C3EC-4329-A1B4-610C8A0D74F9}">
      <text>
        <r>
          <rPr>
            <sz val="9"/>
            <color indexed="81"/>
            <rFont val="Tahoma"/>
            <family val="2"/>
          </rPr>
          <t>Final negotiated staff hours for the project.</t>
        </r>
      </text>
    </comment>
    <comment ref="E13" authorId="0" shapeId="0" xr:uid="{0AAAED4C-21A3-458D-ADD8-3A0667879D97}">
      <text>
        <r>
          <rPr>
            <sz val="9"/>
            <color indexed="81"/>
            <rFont val="Tahoma"/>
            <family val="2"/>
          </rPr>
          <t xml:space="preserve">Estimated # of simple typical sections (2-lane flush shoulder or ramps)
</t>
        </r>
      </text>
    </comment>
    <comment ref="E14" authorId="0" shapeId="0" xr:uid="{014D12F3-5586-49B0-803E-B55125931E8B}">
      <text>
        <r>
          <rPr>
            <sz val="9"/>
            <color indexed="81"/>
            <rFont val="Tahoma"/>
            <family val="2"/>
          </rPr>
          <t>Estimated # of standard typical sections (2-lane curbed or multi-lane flush shoulder)</t>
        </r>
        <r>
          <rPr>
            <b/>
            <sz val="9"/>
            <color indexed="81"/>
            <rFont val="Tahoma"/>
            <family val="2"/>
          </rPr>
          <t xml:space="preserve">
</t>
        </r>
      </text>
    </comment>
    <comment ref="E15" authorId="0" shapeId="0" xr:uid="{8402D1DB-1EC5-4548-8E63-CA54984F3615}">
      <text>
        <r>
          <rPr>
            <sz val="9"/>
            <color indexed="81"/>
            <rFont val="Tahoma"/>
            <family val="2"/>
          </rPr>
          <t>Estimated # of complex typical sections (limited access or multi-lane curbed)</t>
        </r>
        <r>
          <rPr>
            <b/>
            <sz val="9"/>
            <color indexed="81"/>
            <rFont val="Tahoma"/>
            <family val="2"/>
          </rPr>
          <t xml:space="preserve">
</t>
        </r>
      </text>
    </comment>
    <comment ref="E18" authorId="1" shapeId="0" xr:uid="{0BB2413E-4352-4E29-AC28-7DE1C227E1EA}">
      <text>
        <r>
          <rPr>
            <sz val="9"/>
            <color indexed="81"/>
            <rFont val="Tahoma"/>
            <family val="2"/>
          </rPr>
          <t>Number of pavement designs</t>
        </r>
      </text>
    </comment>
    <comment ref="E19" authorId="1" shapeId="0" xr:uid="{93690DB8-A0EE-446B-B3F4-328048A99DE2}">
      <text>
        <r>
          <rPr>
            <sz val="9"/>
            <color indexed="81"/>
            <rFont val="Tahoma"/>
            <family val="2"/>
          </rPr>
          <t>Number of pavement designs</t>
        </r>
      </text>
    </comment>
    <comment ref="E20" authorId="0" shapeId="0" xr:uid="{66FF1746-B327-473E-B12F-F0A7F68432E2}">
      <text>
        <r>
          <rPr>
            <sz val="9"/>
            <color indexed="81"/>
            <rFont val="Tahoma"/>
            <family val="2"/>
          </rPr>
          <t>Length of project (miles) to be evaluated.</t>
        </r>
      </text>
    </comment>
    <comment ref="E21" authorId="0" shapeId="0" xr:uid="{660DF1CD-9ACD-428A-A0A9-90F4A5C04E75}">
      <text>
        <r>
          <rPr>
            <sz val="9"/>
            <color indexed="81"/>
            <rFont val="Tahoma"/>
            <family val="2"/>
          </rPr>
          <t>Length of project (miles) to be evaluated.</t>
        </r>
      </text>
    </comment>
    <comment ref="E22" authorId="1" shapeId="0" xr:uid="{50CA0449-75C6-4F2A-A7F1-D915602D8C57}">
      <text>
        <r>
          <rPr>
            <sz val="9"/>
            <color indexed="81"/>
            <rFont val="Tahoma"/>
            <family val="2"/>
          </rPr>
          <t>Number of concepts to address cross slope correction.</t>
        </r>
      </text>
    </comment>
    <comment ref="E26" authorId="0" shapeId="0" xr:uid="{A3667CD0-5E46-4CB7-ADF5-C64AF0B34593}">
      <text>
        <r>
          <rPr>
            <sz val="9"/>
            <color indexed="81"/>
            <rFont val="Tahoma"/>
            <family val="2"/>
          </rPr>
          <t>Length of project (miles) to be evaluated.</t>
        </r>
      </text>
    </comment>
    <comment ref="E27" authorId="1" shapeId="0" xr:uid="{DC944615-5E91-450C-B5A6-3755BB689E95}">
      <text>
        <r>
          <rPr>
            <sz val="9"/>
            <color indexed="81"/>
            <rFont val="Tahoma"/>
            <family val="2"/>
          </rPr>
          <t>Number of 1x1 roundabout designs</t>
        </r>
      </text>
    </comment>
    <comment ref="E28" authorId="1" shapeId="0" xr:uid="{943E0635-1EB1-4211-8436-D0620DCAD1C0}">
      <text>
        <r>
          <rPr>
            <sz val="9"/>
            <color indexed="81"/>
            <rFont val="Tahoma"/>
            <family val="2"/>
          </rPr>
          <t>Number of 1x2 roundabout designs</t>
        </r>
      </text>
    </comment>
    <comment ref="E29" authorId="1" shapeId="0" xr:uid="{6F7B33F6-7CE5-4526-BC4D-05A84ACB2631}">
      <text>
        <r>
          <rPr>
            <sz val="9"/>
            <color indexed="81"/>
            <rFont val="Tahoma"/>
            <family val="2"/>
          </rPr>
          <t>Number of 2x2 roundabout designs</t>
        </r>
      </text>
    </comment>
    <comment ref="E32" authorId="0" shapeId="0" xr:uid="{7B15A876-8C99-4771-A156-6E03ED5E840B}">
      <text>
        <r>
          <rPr>
            <sz val="9"/>
            <color indexed="81"/>
            <rFont val="Tahoma"/>
            <family val="2"/>
          </rPr>
          <t>Estimated # of design elements contained in the Variation Memos</t>
        </r>
      </text>
    </comment>
    <comment ref="E33" authorId="0" shapeId="0" xr:uid="{D3DDCC10-7420-41C4-A357-42FF84B66BD9}">
      <text>
        <r>
          <rPr>
            <sz val="9"/>
            <color indexed="81"/>
            <rFont val="Tahoma"/>
            <family val="2"/>
          </rPr>
          <t>Estimated # of design elements contained in the Formal Variation Memos</t>
        </r>
      </text>
    </comment>
    <comment ref="E34" authorId="0" shapeId="0" xr:uid="{0DB48222-4E50-4E1A-AC98-45D9061C0003}">
      <text>
        <r>
          <rPr>
            <sz val="9"/>
            <color indexed="81"/>
            <rFont val="Tahoma"/>
            <family val="2"/>
          </rPr>
          <t>Estimated # of design elements contained in the Design Exceptions</t>
        </r>
      </text>
    </comment>
    <comment ref="E35" authorId="1" shapeId="0" xr:uid="{BB70E969-9622-4682-AE00-611E6E0A2358}">
      <text>
        <r>
          <rPr>
            <sz val="9"/>
            <color indexed="81"/>
            <rFont val="Tahoma"/>
            <family val="2"/>
          </rPr>
          <t>Is Design File Setup required?
Yes=1
No=0</t>
        </r>
      </text>
    </comment>
    <comment ref="E36" authorId="0" shapeId="0" xr:uid="{16FA5E04-B5A5-4EAC-BC18-4B4B0A9936C0}">
      <text>
        <r>
          <rPr>
            <sz val="9"/>
            <color indexed="81"/>
            <rFont val="Tahoma"/>
            <family val="2"/>
          </rPr>
          <t xml:space="preserve">Length of mainline roadway in miles.
</t>
        </r>
      </text>
    </comment>
    <comment ref="E37" authorId="0" shapeId="0" xr:uid="{A78C95F7-0FFC-439D-8DD2-B90F5A96FF29}">
      <text>
        <r>
          <rPr>
            <sz val="9"/>
            <color indexed="81"/>
            <rFont val="Tahoma"/>
            <family val="2"/>
          </rPr>
          <t xml:space="preserve">Length of side road or ramps in miles.
</t>
        </r>
      </text>
    </comment>
    <comment ref="E38" authorId="0" shapeId="0" xr:uid="{AA06A1E9-E9F8-4AB4-B0C8-3051A2981EF5}">
      <text>
        <r>
          <rPr>
            <sz val="9"/>
            <color indexed="81"/>
            <rFont val="Tahoma"/>
            <family val="2"/>
          </rPr>
          <t xml:space="preserve">Length of frontage road in miles.
</t>
        </r>
      </text>
    </comment>
    <comment ref="E39" authorId="0" shapeId="0" xr:uid="{936899D2-50CC-4B5B-B72E-F5F9932CA7FF}">
      <text>
        <r>
          <rPr>
            <sz val="9"/>
            <color indexed="81"/>
            <rFont val="Tahoma"/>
            <family val="2"/>
          </rPr>
          <t xml:space="preserve">Length of mainline roadway in miles.
</t>
        </r>
      </text>
    </comment>
    <comment ref="E40" authorId="0" shapeId="0" xr:uid="{82458D7A-6228-4638-8C3E-13F0D78AD173}">
      <text>
        <r>
          <rPr>
            <sz val="9"/>
            <color indexed="81"/>
            <rFont val="Tahoma"/>
            <family val="2"/>
          </rPr>
          <t xml:space="preserve">Length of side road or frontage road in miles.
</t>
        </r>
      </text>
    </comment>
    <comment ref="E41" authorId="0" shapeId="0" xr:uid="{707846D7-A5F0-41C6-9137-09397E0DE759}">
      <text>
        <r>
          <rPr>
            <sz val="9"/>
            <color indexed="81"/>
            <rFont val="Tahoma"/>
            <family val="2"/>
          </rPr>
          <t xml:space="preserve">Length of side road or frontage road in miles.
</t>
        </r>
      </text>
    </comment>
    <comment ref="D42" authorId="0" shapeId="0" xr:uid="{80AD75D7-BF6E-40D8-8D2D-BFCE421B49D9}">
      <text>
        <r>
          <rPr>
            <sz val="9"/>
            <color indexed="81"/>
            <rFont val="Tahoma"/>
            <family val="2"/>
          </rPr>
          <t xml:space="preserve">Driveways, curb ramps, roundabouts, </t>
        </r>
      </text>
    </comment>
    <comment ref="E43" authorId="1" shapeId="0" xr:uid="{717E5068-EDE0-468B-B2BB-1C55AC83B588}">
      <text>
        <r>
          <rPr>
            <sz val="9"/>
            <color indexed="81"/>
            <rFont val="Tahoma"/>
            <family val="2"/>
          </rPr>
          <t>Is TTCP required?
Yes=1
No=0</t>
        </r>
      </text>
    </comment>
    <comment ref="E44" authorId="0" shapeId="0" xr:uid="{4DF1467C-EFC9-4049-B04B-294A9E5E75F9}">
      <text>
        <r>
          <rPr>
            <sz val="9"/>
            <color indexed="81"/>
            <rFont val="Tahoma"/>
            <family val="2"/>
          </rPr>
          <t>Total length of project that requires Level II TTCP x number of major phases (total length) to be contained in the design file.
Example:
4.00 miles x 3 major phases = 12.00 phase-miles
Note: If the project complexity is "Low" or "Below", the recommended hours will be zero. It is assumed that Level I TTCP will be used and TTCP Plans will not be required.</t>
        </r>
      </text>
    </comment>
    <comment ref="E45" authorId="1" shapeId="0" xr:uid="{0AE1A994-BB43-4808-BCE4-DEAF846E093E}">
      <text>
        <r>
          <rPr>
            <sz val="9"/>
            <color indexed="81"/>
            <rFont val="Tahoma"/>
            <family val="2"/>
          </rPr>
          <t>Is Pedestrian  TTCP required?
Yes=1
No=0</t>
        </r>
      </text>
    </comment>
    <comment ref="E46" authorId="0" shapeId="0" xr:uid="{0031A758-671E-4CA2-81B0-25F08E61A0FE}">
      <text>
        <r>
          <rPr>
            <sz val="9"/>
            <color indexed="81"/>
            <rFont val="Tahoma"/>
            <family val="2"/>
          </rPr>
          <t>Estimated # of locations requiring TTCP 3D modeling over all phases.
3D model development intended for design clarification.</t>
        </r>
      </text>
    </comment>
    <comment ref="E47" authorId="1" shapeId="0" xr:uid="{081421E4-A536-4199-A08F-49C575D894C8}">
      <text>
        <r>
          <rPr>
            <sz val="9"/>
            <color indexed="81"/>
            <rFont val="Tahoma"/>
            <family val="2"/>
          </rPr>
          <t>Is Utility Data Collection &amp; Analysis required? Includes UWS review if necessary.
Yes=1
No=0</t>
        </r>
      </text>
    </comment>
    <comment ref="E48" authorId="0" shapeId="0" xr:uid="{C14707D7-06BC-4747-B2F8-5EF80ED8760F}">
      <text>
        <r>
          <rPr>
            <sz val="9"/>
            <color indexed="81"/>
            <rFont val="Tahoma"/>
            <family val="2"/>
          </rPr>
          <t xml:space="preserve">Length of project 
in miles. The "Begin Project" and "End Project" mileposts are the basis for computing the project length.  Adding additional hours may be considered for side streets when continuous work along the side street exceeds one-quarter mile from the project corridor.
</t>
        </r>
      </text>
    </comment>
    <comment ref="E49" authorId="0" shapeId="0" xr:uid="{9D1BF184-9DDE-4B72-9CDF-F6931E4F3D64}">
      <text>
        <r>
          <rPr>
            <sz val="9"/>
            <color indexed="81"/>
            <rFont val="Tahoma"/>
            <family val="2"/>
          </rPr>
          <t># of Interchanges or Rest Areas.</t>
        </r>
      </text>
    </comment>
    <comment ref="E50" authorId="1" shapeId="0" xr:uid="{E37BAD71-07FB-4F8B-8097-9F7E2BB60246}">
      <text>
        <r>
          <rPr>
            <sz val="9"/>
            <color indexed="81"/>
            <rFont val="Tahoma"/>
            <family val="2"/>
          </rPr>
          <t>Is an EQ Report required? Includes setting up report and validating quantities.
Yes=1
No=0</t>
        </r>
      </text>
    </comment>
    <comment ref="E51" authorId="1" shapeId="0" xr:uid="{7169E34C-8BC8-4239-B830-5712A91DA580}">
      <text>
        <r>
          <rPr>
            <sz val="9"/>
            <color indexed="81"/>
            <rFont val="Tahoma"/>
            <family val="2"/>
          </rPr>
          <t>Estimated # of phases required:
Simple=1
Standard=2-3
Complex=3-4</t>
        </r>
      </text>
    </comment>
    <comment ref="E52" authorId="1" shapeId="0" xr:uid="{2BE49528-5942-478E-8DD8-0DBC26CC5DE3}">
      <text>
        <r>
          <rPr>
            <sz val="9"/>
            <color indexed="81"/>
            <rFont val="Tahoma"/>
            <family val="2"/>
          </rPr>
          <t>Estimated number of Engineer Estimate submittals.</t>
        </r>
      </text>
    </comment>
    <comment ref="E53" authorId="1" shapeId="0" xr:uid="{1B4B6C6A-883C-42F3-B4F8-5A3B73F71770}">
      <text>
        <r>
          <rPr>
            <sz val="9"/>
            <color indexed="81"/>
            <rFont val="Tahoma"/>
            <family val="2"/>
          </rPr>
          <t>Estimated number of LRE Updates: typically at Phase II, but sometimes for Phase I as well.</t>
        </r>
      </text>
    </comment>
    <comment ref="E54" authorId="0" shapeId="0" xr:uid="{26B49BFC-4C65-4486-BBD0-1F5CE864DFFF}">
      <text>
        <r>
          <rPr>
            <sz val="9"/>
            <color indexed="81"/>
            <rFont val="Tahoma"/>
            <family val="2"/>
          </rPr>
          <t>Estimated # of TSPs and MSPs.</t>
        </r>
      </text>
    </comment>
    <comment ref="E57" authorId="0" shapeId="0" xr:uid="{13207EF4-69BC-471F-95A7-8616A89F47F7}">
      <text>
        <r>
          <rPr>
            <sz val="9"/>
            <color indexed="81"/>
            <rFont val="Tahoma"/>
            <family val="2"/>
          </rPr>
          <t>Is QA/QC required?
Yes=1
No=0</t>
        </r>
      </text>
    </comment>
    <comment ref="F57" authorId="0" shapeId="0" xr:uid="{D432E086-076C-454B-A579-C68E3C8909ED}">
      <text>
        <r>
          <rPr>
            <sz val="9"/>
            <color indexed="81"/>
            <rFont val="Tahoma"/>
            <family val="2"/>
          </rPr>
          <t>% of technical subtotal.</t>
        </r>
      </text>
    </comment>
    <comment ref="E58" authorId="0" shapeId="0" xr:uid="{3425505E-B0B8-4422-AD2E-02E4A43631EC}">
      <text>
        <r>
          <rPr>
            <sz val="9"/>
            <color indexed="81"/>
            <rFont val="Tahoma"/>
            <family val="2"/>
          </rPr>
          <t>Is Supervision required?
Yes=1
No=0</t>
        </r>
      </text>
    </comment>
    <comment ref="F58" authorId="0" shapeId="0" xr:uid="{BEF2E65F-F9D9-4D18-83A6-5B00F63C6376}">
      <text>
        <r>
          <rPr>
            <sz val="9"/>
            <color indexed="81"/>
            <rFont val="Tahoma"/>
            <family val="2"/>
          </rPr>
          <t xml:space="preserve">% of technical subtotal.
</t>
        </r>
      </text>
    </comment>
    <comment ref="E59" authorId="0" shapeId="0" xr:uid="{A8261992-9325-43CD-A04F-499A83C1F71D}">
      <text>
        <r>
          <rPr>
            <sz val="9"/>
            <color indexed="81"/>
            <rFont val="Tahoma"/>
            <family val="2"/>
          </rPr>
          <t>Estimated # of meetings listed below</t>
        </r>
      </text>
    </comment>
    <comment ref="F63" authorId="0" shapeId="0" xr:uid="{001C7212-07C0-4701-B9D8-6662AB3DE17E}">
      <text>
        <r>
          <rPr>
            <sz val="9"/>
            <color indexed="81"/>
            <rFont val="Tahoma"/>
            <family val="2"/>
          </rPr>
          <t xml:space="preserve">% of technical  &amp; non-technical subtotal.
</t>
        </r>
      </text>
    </comment>
    <comment ref="E67" authorId="0" shapeId="0" xr:uid="{1131A7BE-7AD7-47BD-9311-0ECC81060AAC}">
      <text>
        <r>
          <rPr>
            <sz val="9"/>
            <color indexed="81"/>
            <rFont val="Tahoma"/>
            <family val="2"/>
          </rPr>
          <t xml:space="preserve">Total hours of travel time required for in person meetings.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G10" authorId="0" shapeId="0" xr:uid="{5621DB2F-FC0A-4329-8ACD-59067E6F5132}">
      <text>
        <r>
          <rPr>
            <sz val="9"/>
            <color indexed="81"/>
            <rFont val="Tahoma"/>
            <family val="2"/>
          </rPr>
          <t>Calculated Staff Hours represent a recommended starting point for negotiations based on established guidelines.</t>
        </r>
      </text>
    </comment>
    <comment ref="H10" authorId="0" shapeId="0" xr:uid="{7118724E-AD7D-4B87-AB7B-56A650BABE0E}">
      <text>
        <r>
          <rPr>
            <sz val="9"/>
            <color indexed="81"/>
            <rFont val="Tahoma"/>
            <family val="2"/>
          </rPr>
          <t>FDOT recommended staff hours for the project. These hours may differ from the calculated staff hours recommended.</t>
        </r>
      </text>
    </comment>
    <comment ref="I10" authorId="0" shapeId="0" xr:uid="{44A269F0-F823-40DB-9218-95C38EAD82CF}">
      <text>
        <r>
          <rPr>
            <sz val="9"/>
            <color indexed="81"/>
            <rFont val="Tahoma"/>
            <family val="2"/>
          </rPr>
          <t>Consultant recommended staff hours for the project. These hours may differ from the calculated staff hours recommended.</t>
        </r>
      </text>
    </comment>
    <comment ref="J10" authorId="0" shapeId="0" xr:uid="{78F0B1F3-332C-4727-BE5F-5583B9517D5B}">
      <text>
        <r>
          <rPr>
            <sz val="9"/>
            <color indexed="81"/>
            <rFont val="Tahoma"/>
            <family val="2"/>
          </rPr>
          <t>Final negotiated staff hours for the project.</t>
        </r>
      </text>
    </comment>
    <comment ref="E12" authorId="0" shapeId="0" xr:uid="{3CE2F74A-1098-4655-B326-869E364653B9}">
      <text>
        <r>
          <rPr>
            <sz val="9"/>
            <color indexed="81"/>
            <rFont val="Tahoma"/>
            <family val="2"/>
          </rPr>
          <t>Is a Key sheet required?
Yes=1
No=0</t>
        </r>
      </text>
    </comment>
    <comment ref="E13" authorId="0" shapeId="0" xr:uid="{FD8ABA56-ECA6-4184-A996-D1B5A5555407}">
      <text>
        <r>
          <rPr>
            <sz val="9"/>
            <color indexed="81"/>
            <rFont val="Tahoma"/>
            <family val="2"/>
          </rPr>
          <t>Is a signature sheet required?  If Key Sheet is not required, then no hours will be given for the signature sheet.
Yes=1
No=0</t>
        </r>
      </text>
    </comment>
    <comment ref="E14" authorId="0" shapeId="0" xr:uid="{863F6A04-1159-4DD4-A887-DAAF9E058EA8}">
      <text>
        <r>
          <rPr>
            <sz val="9"/>
            <color indexed="81"/>
            <rFont val="Tahoma"/>
            <family val="2"/>
          </rPr>
          <t>Estimated # of typical sections needed for project when the CADD files used to create the typical sections are available for use. Includes standard details (e.g., shoulder pavement details or asphalt base curb pad details)</t>
        </r>
      </text>
    </comment>
    <comment ref="E15" authorId="0" shapeId="0" xr:uid="{0CDD77D7-3766-462E-9AD4-85FAAA284B12}">
      <text>
        <r>
          <rPr>
            <sz val="9"/>
            <color indexed="81"/>
            <rFont val="Tahoma"/>
            <family val="2"/>
          </rPr>
          <t xml:space="preserve">Estimated # of typical sections needed for project when the CADD files used to create typical sections are </t>
        </r>
        <r>
          <rPr>
            <b/>
            <u/>
            <sz val="9"/>
            <color indexed="81"/>
            <rFont val="Tahoma"/>
            <family val="2"/>
          </rPr>
          <t>NOT</t>
        </r>
        <r>
          <rPr>
            <sz val="9"/>
            <color indexed="81"/>
            <rFont val="Tahoma"/>
            <family val="2"/>
          </rPr>
          <t xml:space="preserve"> available for use. Includes standard details (e.g., shoulder pavement details or asphalt base curb pad details)</t>
        </r>
      </text>
    </comment>
    <comment ref="E16" authorId="0" shapeId="0" xr:uid="{72001000-8EDE-4297-A0EF-82C1BF37CD0D}">
      <text>
        <r>
          <rPr>
            <sz val="9"/>
            <color indexed="81"/>
            <rFont val="Tahoma"/>
            <family val="2"/>
          </rPr>
          <t>Estimated # of partial sections. Use partial sections in lieu of creating another full typical section.</t>
        </r>
      </text>
    </comment>
    <comment ref="E17" authorId="0" shapeId="0" xr:uid="{7C528E64-FA10-4328-989C-7CB04AE31A66}">
      <text>
        <r>
          <rPr>
            <sz val="9"/>
            <color indexed="81"/>
            <rFont val="Tahoma"/>
            <family val="2"/>
          </rPr>
          <t>Estimated # of roadway segments (areas) requiring cross slope correction details (e.g., typical sections, notes, tables).</t>
        </r>
      </text>
    </comment>
    <comment ref="E18" authorId="0" shapeId="0" xr:uid="{69BD5C46-6120-490E-BB7A-20B6BFCD5E29}">
      <text>
        <r>
          <rPr>
            <sz val="9"/>
            <color indexed="81"/>
            <rFont val="Tahoma"/>
            <family val="2"/>
          </rPr>
          <t>Is a general notes/pay item notes sheet required?
Yes=1
No=0</t>
        </r>
      </text>
    </comment>
    <comment ref="E19" authorId="0" shapeId="0" xr:uid="{DD552B82-61D0-49B4-A4B7-F283685F7273}">
      <text>
        <r>
          <rPr>
            <sz val="9"/>
            <color indexed="81"/>
            <rFont val="Tahoma"/>
            <family val="2"/>
          </rPr>
          <t>Is a model management sheet required? 
Yes=1
No=0</t>
        </r>
      </text>
    </comment>
    <comment ref="E20" authorId="0" shapeId="0" xr:uid="{189CF939-BFDB-401F-B46C-B2F6B50E21EE}">
      <text>
        <r>
          <rPr>
            <sz val="9"/>
            <color indexed="81"/>
            <rFont val="Tahoma"/>
            <family val="2"/>
          </rPr>
          <t>Is a project layout sheet required? Should be used only when necessary (complex projects or multiple work location projects).
Yes=1
No=0</t>
        </r>
      </text>
    </comment>
    <comment ref="E21" authorId="0" shapeId="0" xr:uid="{ABE0BE02-E5B5-40A3-964B-831D2A721809}">
      <text>
        <r>
          <rPr>
            <sz val="9"/>
            <color indexed="81"/>
            <rFont val="Tahoma"/>
            <family val="2"/>
          </rPr>
          <t>Estimated number of sheets for the plan view.</t>
        </r>
      </text>
    </comment>
    <comment ref="E22" authorId="0" shapeId="0" xr:uid="{9757B39C-4AF7-4BEE-9D03-3BB8E6238142}">
      <text>
        <r>
          <rPr>
            <sz val="9"/>
            <color indexed="81"/>
            <rFont val="Tahoma"/>
            <family val="2"/>
          </rPr>
          <t>Estimated # of interchanges located within the project.</t>
        </r>
      </text>
    </comment>
    <comment ref="E23" authorId="0" shapeId="0" xr:uid="{F0F90C0E-3A96-4761-9F4A-B7E8A3BDFC8A}">
      <text>
        <r>
          <rPr>
            <sz val="9"/>
            <color indexed="81"/>
            <rFont val="Tahoma"/>
            <family val="2"/>
          </rPr>
          <t>Estimated # of roundabouts located within the project.</t>
        </r>
      </text>
    </comment>
    <comment ref="E24" authorId="0" shapeId="0" xr:uid="{F06085CB-6772-4A85-AECA-1EFCAF16D283}">
      <text>
        <r>
          <rPr>
            <sz val="9"/>
            <color indexed="81"/>
            <rFont val="Tahoma"/>
            <family val="2"/>
          </rPr>
          <t>Estimated number of sheets for the profile view with flush shoulder roadway.</t>
        </r>
      </text>
    </comment>
    <comment ref="E25" authorId="0" shapeId="0" xr:uid="{9C1C2668-50C1-4D3A-A4C7-E00CB561EDE6}">
      <text>
        <r>
          <rPr>
            <sz val="9"/>
            <color indexed="81"/>
            <rFont val="Tahoma"/>
            <family val="2"/>
          </rPr>
          <t>Estimated number of sheets for the profile view with curbed  roadway.</t>
        </r>
      </text>
    </comment>
    <comment ref="E26" authorId="0" shapeId="0" xr:uid="{E3F3A193-4266-4AF4-B461-9DD5C5EA6432}">
      <text>
        <r>
          <rPr>
            <sz val="9"/>
            <color indexed="81"/>
            <rFont val="Tahoma"/>
            <family val="2"/>
          </rPr>
          <t>Estimated # of driveway or curb return special profiles.</t>
        </r>
      </text>
    </comment>
    <comment ref="E27" authorId="0" shapeId="0" xr:uid="{4B22349B-94CE-43CE-9BAE-E1D2C3126067}">
      <text>
        <r>
          <rPr>
            <sz val="9"/>
            <color indexed="81"/>
            <rFont val="Tahoma"/>
            <family val="2"/>
          </rPr>
          <t>Estimated # of intersection or railroad crossing special profiles.</t>
        </r>
      </text>
    </comment>
    <comment ref="E28" authorId="0" shapeId="0" xr:uid="{5F8A6CB5-149F-48EC-BC4E-F862B2B32097}">
      <text>
        <r>
          <rPr>
            <sz val="9"/>
            <color indexed="81"/>
            <rFont val="Tahoma"/>
            <family val="2"/>
          </rPr>
          <t>Estimated number of sheets for the sidewalk profiles.</t>
        </r>
      </text>
    </comment>
    <comment ref="E29" authorId="0" shapeId="0" xr:uid="{27282E23-456A-4361-9481-324C2341BE0B}">
      <text>
        <r>
          <rPr>
            <sz val="9"/>
            <color indexed="81"/>
            <rFont val="Tahoma"/>
            <family val="2"/>
          </rPr>
          <t xml:space="preserve">Estimated # of 2-level Interchanges to be shown on layout sheets.
</t>
        </r>
      </text>
    </comment>
    <comment ref="E30" authorId="0" shapeId="0" xr:uid="{58C076F3-8B0C-4AD9-B8A9-2F1101C7BACA}">
      <text>
        <r>
          <rPr>
            <sz val="9"/>
            <color indexed="81"/>
            <rFont val="Tahoma"/>
            <family val="2"/>
          </rPr>
          <t xml:space="preserve">Estimated # of multi-level Interchanges to be shown on layout sheets.
</t>
        </r>
      </text>
    </comment>
    <comment ref="E31" authorId="0" shapeId="0" xr:uid="{9CA338D3-2642-4674-94BB-8BB8F5E2B85E}">
      <text>
        <r>
          <rPr>
            <sz val="9"/>
            <color indexed="81"/>
            <rFont val="Tahoma"/>
            <family val="2"/>
          </rPr>
          <t>Estimated # of ramp terminal details to be shown in plans.</t>
        </r>
      </text>
    </comment>
    <comment ref="E32" authorId="0" shapeId="0" xr:uid="{B5552E4E-C7E6-4FA1-99D4-5F13025E64F2}">
      <text>
        <r>
          <rPr>
            <sz val="9"/>
            <color indexed="81"/>
            <rFont val="Tahoma"/>
            <family val="2"/>
          </rPr>
          <t>Estimated # of intersection layout details to be shown in plans.</t>
        </r>
      </text>
    </comment>
    <comment ref="E33" authorId="0" shapeId="0" xr:uid="{60BEF172-A8D0-4B85-8C27-96B929BEAD56}">
      <text>
        <r>
          <rPr>
            <sz val="9"/>
            <color indexed="81"/>
            <rFont val="Tahoma"/>
            <family val="2"/>
          </rPr>
          <t>Estimated # of special details to be shown in plans.</t>
        </r>
      </text>
    </comment>
    <comment ref="E34" authorId="0" shapeId="0" xr:uid="{A760686E-0CA4-4DC8-9F32-4875729348A0}">
      <text>
        <r>
          <rPr>
            <sz val="9"/>
            <color indexed="81"/>
            <rFont val="Tahoma"/>
            <family val="2"/>
          </rPr>
          <t>Is a Soil Survey Sheet required?
Yes=1
No=0</t>
        </r>
      </text>
    </comment>
    <comment ref="E35" authorId="0" shapeId="0" xr:uid="{40B0C1AE-397B-40BD-8159-D21F7F4A154A}">
      <text>
        <r>
          <rPr>
            <sz val="9"/>
            <color indexed="81"/>
            <rFont val="Tahoma"/>
            <family val="2"/>
          </rPr>
          <t>Estimated number of cross sections.</t>
        </r>
      </text>
    </comment>
    <comment ref="E36" authorId="0" shapeId="0" xr:uid="{1697EDA2-C25A-42E3-814E-42312B00B264}">
      <text>
        <r>
          <rPr>
            <sz val="9"/>
            <color indexed="81"/>
            <rFont val="Tahoma"/>
            <family val="2"/>
          </rPr>
          <t>Are TTC notes required? Most projects should indicate "Yes".
Yes=1
No=0</t>
        </r>
      </text>
    </comment>
    <comment ref="E37" authorId="0" shapeId="0" xr:uid="{FA4954A5-96CC-4259-B3FA-461876E53B28}">
      <text>
        <r>
          <rPr>
            <sz val="9"/>
            <color indexed="81"/>
            <rFont val="Tahoma"/>
            <family val="2"/>
          </rPr>
          <t>Estimated number of sheets for phasing notes and phasing typical sections?</t>
        </r>
      </text>
    </comment>
    <comment ref="E38" authorId="0" shapeId="0" xr:uid="{BD5CDFAA-B6B0-4951-8770-ACB950C2F7E2}">
      <text>
        <r>
          <rPr>
            <sz val="9"/>
            <color indexed="81"/>
            <rFont val="Tahoma"/>
            <family val="2"/>
          </rPr>
          <t>Estimated number of sheets for TTC plan. 
Note: If the project complexity is "Low" or "Below", the recommended hours will be zero. It is assumed that Level I TTCP will be used and TTCP Plans will not be required.</t>
        </r>
      </text>
    </comment>
    <comment ref="E39" authorId="0" shapeId="0" xr:uid="{5E92B5C9-77D8-4A93-829B-1C2E0FB0B74A}">
      <text>
        <r>
          <rPr>
            <sz val="9"/>
            <color indexed="81"/>
            <rFont val="Tahoma"/>
            <family val="2"/>
          </rPr>
          <t xml:space="preserve">Estimated # of complex critical cross sections (sectional views) to be shown in plans.
</t>
        </r>
      </text>
    </comment>
    <comment ref="E40" authorId="0" shapeId="0" xr:uid="{0872F6E5-31BA-4EA3-9CC7-29F827F3688C}">
      <text>
        <r>
          <rPr>
            <sz val="9"/>
            <color indexed="81"/>
            <rFont val="Tahoma"/>
            <family val="2"/>
          </rPr>
          <t>Estimated # of TTC Details to be shown in plans.</t>
        </r>
      </text>
    </comment>
    <comment ref="E41" authorId="0" shapeId="0" xr:uid="{FDEF9C4E-8AC3-4963-BD88-3907D63D7C13}">
      <text>
        <r>
          <rPr>
            <sz val="9"/>
            <color indexed="81"/>
            <rFont val="Tahoma"/>
            <family val="2"/>
          </rPr>
          <t>Estimated number of sheets for the Utility Adjustment Sheets.</t>
        </r>
      </text>
    </comment>
    <comment ref="E42" authorId="0" shapeId="0" xr:uid="{5DEC62F7-E8A6-464A-A486-0D25F17A5BD9}">
      <text>
        <r>
          <rPr>
            <sz val="9"/>
            <color indexed="81"/>
            <rFont val="Tahoma"/>
            <family val="2"/>
          </rPr>
          <t>Is a Project Control Sheet required?
Yes=1
No=0</t>
        </r>
      </text>
    </comment>
    <comment ref="E43" authorId="0" shapeId="0" xr:uid="{41314E04-E6EB-43DB-B858-98EB5ECC919F}">
      <text>
        <r>
          <rPr>
            <sz val="9"/>
            <color indexed="81"/>
            <rFont val="Tahoma"/>
            <family val="2"/>
          </rPr>
          <t>Is a Utility Verification Sheet required?
Yes=1
No=0</t>
        </r>
      </text>
    </comment>
    <comment ref="E45" authorId="0" shapeId="0" xr:uid="{023EB356-E099-485C-9AA5-FB2A1D566F04}">
      <text>
        <r>
          <rPr>
            <sz val="9"/>
            <color indexed="81"/>
            <rFont val="Tahoma"/>
            <family val="2"/>
          </rPr>
          <t>Is QA/QC required?
Yes=1
No=0</t>
        </r>
      </text>
    </comment>
    <comment ref="F45" authorId="0" shapeId="0" xr:uid="{F64FBCD7-3D2C-4C30-A564-50E29794091F}">
      <text>
        <r>
          <rPr>
            <sz val="9"/>
            <color indexed="81"/>
            <rFont val="Tahoma"/>
            <family val="2"/>
          </rPr>
          <t>% of technical subtotal.</t>
        </r>
      </text>
    </comment>
    <comment ref="E46" authorId="0" shapeId="0" xr:uid="{AF5F66A3-3F07-4EE4-9F33-5E51E89EA961}">
      <text>
        <r>
          <rPr>
            <sz val="9"/>
            <color indexed="81"/>
            <rFont val="Tahoma"/>
            <family val="2"/>
          </rPr>
          <t>Is Supervision required?
Yes=1
No=0</t>
        </r>
      </text>
    </comment>
    <comment ref="F46" authorId="0" shapeId="0" xr:uid="{FEECAEFD-0357-44FC-9E01-DFF864A59406}">
      <text>
        <r>
          <rPr>
            <sz val="9"/>
            <color indexed="81"/>
            <rFont val="Tahoma"/>
            <family val="2"/>
          </rPr>
          <t xml:space="preserve">% of technical subtotal.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Buck, Ryan</author>
    <author>Hiers, Paul</author>
    <author>Pennington, Mike</author>
  </authors>
  <commentList>
    <comment ref="G10" authorId="0" shapeId="0" xr:uid="{F685A85C-B2EC-49FB-9CB7-A7F3632E1372}">
      <text>
        <r>
          <rPr>
            <sz val="9"/>
            <color indexed="81"/>
            <rFont val="Tahoma"/>
            <family val="2"/>
          </rPr>
          <t>Calculated Staff Hours represent a recommended starting point for negotiations based on established guidelines.</t>
        </r>
      </text>
    </comment>
    <comment ref="H10" authorId="0" shapeId="0" xr:uid="{EBA021AD-1511-4C59-80E1-804EE0B5B226}">
      <text>
        <r>
          <rPr>
            <sz val="9"/>
            <color indexed="81"/>
            <rFont val="Tahoma"/>
            <family val="2"/>
          </rPr>
          <t>FDOT recommended staff hours for the project. These hours may differ from the calculated staff hours recommended.</t>
        </r>
      </text>
    </comment>
    <comment ref="I10" authorId="0" shapeId="0" xr:uid="{C84B514E-9F69-4415-9CB7-A18900DFD059}">
      <text>
        <r>
          <rPr>
            <sz val="9"/>
            <color indexed="81"/>
            <rFont val="Tahoma"/>
            <family val="2"/>
          </rPr>
          <t>Consultant recommended staff hours for the project. These hours may differ from the calculated staff hours recommended.</t>
        </r>
      </text>
    </comment>
    <comment ref="J10" authorId="0" shapeId="0" xr:uid="{18A0163F-BB30-4C1C-9DE2-64951DB41650}">
      <text>
        <r>
          <rPr>
            <sz val="9"/>
            <color indexed="81"/>
            <rFont val="Tahoma"/>
            <family val="2"/>
          </rPr>
          <t>Final negotiated staff hours for the project.</t>
        </r>
      </text>
    </comment>
    <comment ref="E11" authorId="0" shapeId="0" xr:uid="{1101FDF7-AF87-4AD6-87A3-07D7988F6FC0}">
      <text>
        <r>
          <rPr>
            <sz val="9"/>
            <color indexed="81"/>
            <rFont val="Tahoma"/>
            <family val="2"/>
          </rPr>
          <t xml:space="preserve"># of locations
</t>
        </r>
      </text>
    </comment>
    <comment ref="E12" authorId="0" shapeId="0" xr:uid="{6227F574-71E5-4A79-B7C6-AFA6AE5D662F}">
      <text>
        <r>
          <rPr>
            <sz val="9"/>
            <color indexed="81"/>
            <rFont val="Tahoma"/>
            <family val="2"/>
          </rPr>
          <t>Is a base clearance report required?
Yes=1
No=0</t>
        </r>
      </text>
    </comment>
    <comment ref="E13" authorId="0" shapeId="0" xr:uid="{2D5BEC8A-4D07-4483-8B22-053F10ADB59E}">
      <text>
        <r>
          <rPr>
            <sz val="9"/>
            <color indexed="81"/>
            <rFont val="Tahoma"/>
            <family val="2"/>
          </rPr>
          <t>Is a hydroplane analysis required?
Yes=1
No=0</t>
        </r>
      </text>
    </comment>
    <comment ref="E14" authorId="0" shapeId="0" xr:uid="{639A3405-D7C1-4B9F-B4FA-612B5DCAC318}">
      <text>
        <r>
          <rPr>
            <sz val="9"/>
            <color indexed="81"/>
            <rFont val="Tahoma"/>
            <family val="2"/>
          </rPr>
          <t>Is an existing permit analysis required?
Yes=1
No=0</t>
        </r>
      </text>
    </comment>
    <comment ref="E15" authorId="0" shapeId="0" xr:uid="{13AC8BA7-D423-4CA8-A207-D3AB13843EEF}">
      <text>
        <r>
          <rPr>
            <sz val="9"/>
            <color indexed="81"/>
            <rFont val="Tahoma"/>
            <family val="2"/>
          </rPr>
          <t>Is an Utility Conflict Matrix (for drainage structures) required?
Yes=1
No=0</t>
        </r>
      </text>
    </comment>
    <comment ref="E16" authorId="0" shapeId="0" xr:uid="{22B891F6-F0EA-4507-85E8-3B5E4B0D081B}">
      <text>
        <r>
          <rPr>
            <sz val="9"/>
            <color indexed="81"/>
            <rFont val="Tahoma"/>
            <family val="2"/>
          </rPr>
          <t>Estimates total length of proposed noise walls.</t>
        </r>
      </text>
    </comment>
    <comment ref="E17" authorId="0" shapeId="0" xr:uid="{6B32B672-05A0-4829-A486-EB8D4D6F3E33}">
      <text>
        <r>
          <rPr>
            <sz val="9"/>
            <color indexed="81"/>
            <rFont val="Tahoma"/>
            <family val="2"/>
          </rPr>
          <t>Is temporary drainage  required?
Yes=1
No=0</t>
        </r>
      </text>
    </comment>
    <comment ref="E18" authorId="0" shapeId="0" xr:uid="{ECEBD315-EA42-4804-B4A2-E6763FC64616}">
      <text>
        <r>
          <rPr>
            <sz val="9"/>
            <color indexed="81"/>
            <rFont val="Tahoma"/>
            <family val="2"/>
          </rPr>
          <t xml:space="preserve"># of basins (based on three ponds per basin)
</t>
        </r>
      </text>
    </comment>
    <comment ref="E19" authorId="0" shapeId="0" xr:uid="{CFDE0FEA-A355-48AA-B6AB-6478AA77037F}">
      <text>
        <r>
          <rPr>
            <sz val="9"/>
            <color indexed="81"/>
            <rFont val="Tahoma"/>
            <family val="2"/>
          </rPr>
          <t>Is report required?
Yes=1
No=0</t>
        </r>
      </text>
    </comment>
    <comment ref="E20" authorId="0" shapeId="0" xr:uid="{165EAE85-0D9F-43B9-9AC9-235949CDD7CD}">
      <text>
        <r>
          <rPr>
            <sz val="9"/>
            <color indexed="81"/>
            <rFont val="Tahoma"/>
            <family val="2"/>
          </rPr>
          <t>Is analysis of a pipe video inspection report required? 
Yes=1
No=0</t>
        </r>
      </text>
    </comment>
    <comment ref="E21" authorId="0" shapeId="0" xr:uid="{AD700ACD-776D-4F8D-98EA-EEB63CC46A3D}">
      <text>
        <r>
          <rPr>
            <sz val="9"/>
            <color indexed="81"/>
            <rFont val="Tahoma"/>
            <family val="2"/>
          </rPr>
          <t xml:space="preserve"># of bridges
</t>
        </r>
      </text>
    </comment>
    <comment ref="E22" authorId="0" shapeId="0" xr:uid="{2D58C1C4-AC05-4E8F-ABA2-5CB9AFD02E1F}">
      <text>
        <r>
          <rPr>
            <sz val="9"/>
            <color indexed="81"/>
            <rFont val="Tahoma"/>
            <family val="2"/>
          </rPr>
          <t xml:space="preserve"># of bridges (one bridge per channel)
</t>
        </r>
      </text>
    </comment>
    <comment ref="E23" authorId="0" shapeId="0" xr:uid="{FC6F22C4-2713-49D5-8EC3-4F573396E85A}">
      <text>
        <r>
          <rPr>
            <sz val="9"/>
            <color indexed="81"/>
            <rFont val="Tahoma"/>
            <family val="2"/>
          </rPr>
          <t xml:space="preserve"># of bridges (one bridge per channel)
</t>
        </r>
      </text>
    </comment>
    <comment ref="E24" authorId="0" shapeId="0" xr:uid="{0D51B97A-92BF-43F5-87A0-2790B66B2B68}">
      <text>
        <r>
          <rPr>
            <sz val="9"/>
            <color indexed="81"/>
            <rFont val="Tahoma"/>
            <family val="2"/>
          </rPr>
          <t># of bridge requiring a FEMA "No Rise".</t>
        </r>
      </text>
    </comment>
    <comment ref="E25" authorId="0" shapeId="0" xr:uid="{E4CC50C0-B6A7-4E4B-874D-4CC2F6D4D758}">
      <text>
        <r>
          <rPr>
            <sz val="9"/>
            <color indexed="81"/>
            <rFont val="Tahoma"/>
            <family val="2"/>
          </rPr>
          <t xml:space="preserve"># of bridges (one bridge per channel)
</t>
        </r>
      </text>
    </comment>
    <comment ref="E26" authorId="0" shapeId="0" xr:uid="{20010716-181C-4F66-A669-669C0E3860AC}">
      <text>
        <r>
          <rPr>
            <sz val="9"/>
            <color indexed="81"/>
            <rFont val="Tahoma"/>
            <family val="2"/>
          </rPr>
          <t xml:space="preserve"># of bridges (one bridge per channel)
</t>
        </r>
      </text>
    </comment>
    <comment ref="E27" authorId="0" shapeId="0" xr:uid="{FF5111B5-0A9B-49EF-BA94-E49255DC945B}">
      <text>
        <r>
          <rPr>
            <sz val="9"/>
            <color indexed="81"/>
            <rFont val="Tahoma"/>
            <family val="2"/>
          </rPr>
          <t># of bridge requiring a FEMA "No Rise".</t>
        </r>
      </text>
    </comment>
    <comment ref="E28" authorId="0" shapeId="0" xr:uid="{11AD4EC9-1A74-4F84-B634-A40E77A471F1}">
      <text>
        <r>
          <rPr>
            <sz val="9"/>
            <color indexed="81"/>
            <rFont val="Tahoma"/>
            <family val="2"/>
          </rPr>
          <t># bridges requiring wave calculations and modeling.</t>
        </r>
      </text>
    </comment>
    <comment ref="E29" authorId="0" shapeId="0" xr:uid="{59146221-0EDE-4186-8AFE-AF9C4ADB9215}">
      <text>
        <r>
          <rPr>
            <sz val="9"/>
            <color indexed="81"/>
            <rFont val="Tahoma"/>
            <family val="2"/>
          </rPr>
          <t># of Simple, Minor Cross Drains
Culverts extended a small amount to meet clear zone requirements where Q is estimated by Q= Area x Velocity (4 FPS)</t>
        </r>
      </text>
    </comment>
    <comment ref="E30" authorId="0" shapeId="0" xr:uid="{6233BF90-1DF7-4177-8788-6919A052E36F}">
      <text>
        <r>
          <rPr>
            <sz val="9"/>
            <color indexed="81"/>
            <rFont val="Tahoma"/>
            <family val="2"/>
          </rPr>
          <t># of Standard, Minor Cross Drains</t>
        </r>
      </text>
    </comment>
    <comment ref="E31" authorId="0" shapeId="0" xr:uid="{BEAA74B2-F18D-4F17-93FA-64549ED49A70}">
      <text>
        <r>
          <rPr>
            <sz val="9"/>
            <color indexed="81"/>
            <rFont val="Tahoma"/>
            <family val="2"/>
          </rPr>
          <t xml:space="preserve"># of Complex, Minor Cross Drains
Identically replaced culverts due to structural problems, with minimal lengthening to meet clear zone requirements. Rational method is used on an easily defined basin. </t>
        </r>
      </text>
    </comment>
    <comment ref="E32" authorId="0" shapeId="0" xr:uid="{018F09AE-C466-4101-8FF0-E1A1AA71EB27}">
      <text>
        <r>
          <rPr>
            <sz val="9"/>
            <color indexed="81"/>
            <rFont val="Tahoma"/>
            <family val="2"/>
          </rPr>
          <t># of Simple, Major Cross Drains
Culvert replaced due significant lengthening for added travel lanes or culvert realignment or both.  Rational method is used. No known flooding or scour problems.</t>
        </r>
      </text>
    </comment>
    <comment ref="E33" authorId="0" shapeId="0" xr:uid="{842CF400-C6B6-4B22-A3AD-08473DE05907}">
      <text>
        <r>
          <rPr>
            <sz val="9"/>
            <color indexed="81"/>
            <rFont val="Tahoma"/>
            <family val="2"/>
          </rPr>
          <t xml:space="preserve"># of Standard, Major Cross Drains.
Analysis of several alternatives of size and configuration.  Drainage basin difficult to define because of flat terrain, drainage basin is larger than appropriate for the Rational Method, but ungaged. Flooding or scour problems are known. </t>
        </r>
      </text>
    </comment>
    <comment ref="E34" authorId="0" shapeId="0" xr:uid="{01CF4603-EF13-4AB5-9C94-DEFB1B1E9053}">
      <text>
        <r>
          <rPr>
            <sz val="9"/>
            <color indexed="81"/>
            <rFont val="Tahoma"/>
            <family val="2"/>
          </rPr>
          <t># of Complex, Major Cross Drains.
Analysis of several alternatives of size and configuration that are complicated by the need to model basin overtopping, or model more than one culvert location draining the area.  Activities above the range may include complex modeling and routing of the drainage area. Includes necessary downstream tailwater determination.</t>
        </r>
      </text>
    </comment>
    <comment ref="E35" authorId="0" shapeId="0" xr:uid="{0052B18B-EDFD-447E-AD9E-E7E777773B07}">
      <text>
        <r>
          <rPr>
            <sz val="9"/>
            <color indexed="81"/>
            <rFont val="Tahoma"/>
            <family val="2"/>
          </rPr>
          <t xml:space="preserve">Length of simple ditches in miles.
Simple ditches: Normal roadside and median ditches defined by the typical roadway section.
</t>
        </r>
      </text>
    </comment>
    <comment ref="E36" authorId="0" shapeId="0" xr:uid="{A1832518-AA4F-4D27-B479-CEB9E0CD7A49}">
      <text>
        <r>
          <rPr>
            <sz val="9"/>
            <color indexed="81"/>
            <rFont val="Tahoma"/>
            <family val="2"/>
          </rPr>
          <t xml:space="preserve">Length of standard ditches in miles.
Standard ditches: Special ditches (varying width, depth, and profile).  Large offsite areas contributing to roadside ditches.
</t>
        </r>
      </text>
    </comment>
    <comment ref="E37" authorId="0" shapeId="0" xr:uid="{8AB781A1-8D43-4008-88E9-EDE45487BCFC}">
      <text>
        <r>
          <rPr>
            <sz val="9"/>
            <color indexed="81"/>
            <rFont val="Tahoma"/>
            <family val="2"/>
          </rPr>
          <t xml:space="preserve">Length of complex ditches in miles.
Complex ditches: Ditches with constrained/variable R/W.
</t>
        </r>
      </text>
    </comment>
    <comment ref="E38" authorId="0" shapeId="0" xr:uid="{5EC2535B-2714-40F2-A57F-A506D3DA64AA}">
      <text>
        <r>
          <rPr>
            <sz val="9"/>
            <color indexed="81"/>
            <rFont val="Tahoma"/>
            <family val="2"/>
          </rPr>
          <t xml:space="preserve"># of Side Drains
to be modeled in 3D. </t>
        </r>
      </text>
    </comment>
    <comment ref="E39" authorId="0" shapeId="0" xr:uid="{660E494E-7E16-42E9-8D69-9232268A3AD8}">
      <text>
        <r>
          <rPr>
            <sz val="9"/>
            <color indexed="81"/>
            <rFont val="Tahoma"/>
            <family val="2"/>
          </rPr>
          <t># of Ponds</t>
        </r>
      </text>
    </comment>
    <comment ref="E40" authorId="0" shapeId="0" xr:uid="{239FE8D4-1DD7-48CC-B3A5-4735BD3D293E}">
      <text>
        <r>
          <rPr>
            <sz val="9"/>
            <color indexed="81"/>
            <rFont val="Tahoma"/>
            <family val="2"/>
          </rPr>
          <t># of Ponds</t>
        </r>
      </text>
    </comment>
    <comment ref="E41" authorId="0" shapeId="0" xr:uid="{A148C4F7-C03C-4ACF-BD25-AAA64457FF87}">
      <text>
        <r>
          <rPr>
            <sz val="9"/>
            <color indexed="81"/>
            <rFont val="Tahoma"/>
            <family val="2"/>
          </rPr>
          <t># of Ponds</t>
        </r>
      </text>
    </comment>
    <comment ref="E42" authorId="0" shapeId="0" xr:uid="{27C5686F-97BA-4BEC-A3F1-33D1FFDE737A}">
      <text>
        <r>
          <rPr>
            <sz val="9"/>
            <color indexed="81"/>
            <rFont val="Tahoma"/>
            <family val="2"/>
          </rPr>
          <t xml:space="preserve"># of cells
</t>
        </r>
      </text>
    </comment>
    <comment ref="E43" authorId="0" shapeId="0" xr:uid="{9C207E2D-E8D8-40ED-A2F6-5CD949DB29E8}">
      <text>
        <r>
          <rPr>
            <sz val="9"/>
            <color indexed="81"/>
            <rFont val="Tahoma"/>
            <family val="2"/>
          </rPr>
          <t xml:space="preserve"># of basins
</t>
        </r>
      </text>
    </comment>
    <comment ref="E44" authorId="0" shapeId="0" xr:uid="{8B4B2347-E930-44A0-B93D-2158417E08CB}">
      <text>
        <r>
          <rPr>
            <sz val="9"/>
            <color indexed="81"/>
            <rFont val="Tahoma"/>
            <family val="2"/>
          </rPr>
          <t xml:space="preserve"># of drainage structures
</t>
        </r>
      </text>
    </comment>
    <comment ref="E45" authorId="0" shapeId="0" xr:uid="{3576B580-3F2A-411E-B5AD-C88203E86E0C}">
      <text>
        <r>
          <rPr>
            <sz val="9"/>
            <color indexed="81"/>
            <rFont val="Tahoma"/>
            <family val="2"/>
          </rPr>
          <t xml:space="preserve"># of Non-Standard Drainage Structures
to be modeled in 3D. </t>
        </r>
      </text>
    </comment>
    <comment ref="E46" authorId="0" shapeId="0" xr:uid="{0B4F55FB-7B6C-4172-9449-B15FD694152E}">
      <text>
        <r>
          <rPr>
            <sz val="9"/>
            <color indexed="81"/>
            <rFont val="Tahoma"/>
            <family val="2"/>
          </rPr>
          <t xml:space="preserve"># of drainage pipes
</t>
        </r>
      </text>
    </comment>
    <comment ref="E47" authorId="0" shapeId="0" xr:uid="{F42B14E7-6A07-46EA-8FA7-29DDABB85207}">
      <text>
        <r>
          <rPr>
            <sz val="9"/>
            <color indexed="81"/>
            <rFont val="Tahoma"/>
            <family val="2"/>
          </rPr>
          <t xml:space="preserve"># of trench drains
</t>
        </r>
      </text>
    </comment>
    <comment ref="E48" authorId="0" shapeId="0" xr:uid="{F0E53355-0E0B-4FFC-9536-22EDBBF0426E}">
      <text>
        <r>
          <rPr>
            <sz val="9"/>
            <color indexed="81"/>
            <rFont val="Tahoma"/>
            <family val="2"/>
          </rPr>
          <t># of cells</t>
        </r>
      </text>
    </comment>
    <comment ref="E49" authorId="0" shapeId="0" xr:uid="{AFD29976-B82D-4F0D-96F2-51412CF8308D}">
      <text>
        <r>
          <rPr>
            <sz val="9"/>
            <color indexed="81"/>
            <rFont val="Tahoma"/>
            <family val="2"/>
          </rPr>
          <t># of cells</t>
        </r>
      </text>
    </comment>
    <comment ref="E50" authorId="0" shapeId="0" xr:uid="{B662549D-7BDB-47B3-B71B-FE717FA32499}">
      <text>
        <r>
          <rPr>
            <sz val="9"/>
            <color indexed="81"/>
            <rFont val="Tahoma"/>
            <family val="2"/>
          </rPr>
          <t># of drainage wells</t>
        </r>
      </text>
    </comment>
    <comment ref="E51" authorId="0" shapeId="0" xr:uid="{235D1E4F-85C9-48B2-8E1B-35FC1951F583}">
      <text>
        <r>
          <rPr>
            <sz val="9"/>
            <color indexed="81"/>
            <rFont val="Tahoma"/>
            <family val="2"/>
          </rPr>
          <t xml:space="preserve">Length of drainage map in miles.
</t>
        </r>
      </text>
    </comment>
    <comment ref="E53" authorId="0" shapeId="0" xr:uid="{B67E2F2C-5B9D-431D-A6BE-1B777F5BCDC8}">
      <text>
        <r>
          <rPr>
            <sz val="9"/>
            <color indexed="81"/>
            <rFont val="Tahoma"/>
            <family val="2"/>
          </rPr>
          <t>Is drainage documentation report required?
Yes=1
No=0</t>
        </r>
      </text>
    </comment>
    <comment ref="E54" authorId="0" shapeId="0" xr:uid="{51EDC63D-60EC-4468-8F5B-D2CD48AD7F4C}">
      <text>
        <r>
          <rPr>
            <sz val="9"/>
            <color indexed="81"/>
            <rFont val="Tahoma"/>
            <family val="2"/>
          </rPr>
          <t>Estimated # of major exhibits, such as drainage delineation, hydrology, and other special exhibits required.</t>
        </r>
      </text>
    </comment>
    <comment ref="E55" authorId="0" shapeId="0" xr:uid="{DCAC0A6C-FA85-4964-B74A-0535E07335F8}">
      <text>
        <r>
          <rPr>
            <sz val="9"/>
            <color indexed="81"/>
            <rFont val="Tahoma"/>
            <family val="2"/>
          </rPr>
          <t>Is an EQR required for the project?
Yes=1
No=0</t>
        </r>
      </text>
    </comment>
    <comment ref="E56" authorId="1" shapeId="0" xr:uid="{1BB62C4C-4D0C-489F-AA43-62FF981E8581}">
      <text>
        <r>
          <rPr>
            <sz val="9"/>
            <color indexed="81"/>
            <rFont val="Tahoma"/>
            <family val="2"/>
          </rPr>
          <t>Estimated number of Engineer Estimate submittals.</t>
        </r>
      </text>
    </comment>
    <comment ref="E57" authorId="1" shapeId="0" xr:uid="{FB36ECCB-003B-4710-80FB-F26E8B96A2B0}">
      <text>
        <r>
          <rPr>
            <sz val="9"/>
            <color indexed="81"/>
            <rFont val="Tahoma"/>
            <family val="2"/>
          </rPr>
          <t>Estimated number of LRE Updates: typically at Phase II, but sometimes for Phase I as well.</t>
        </r>
      </text>
    </comment>
    <comment ref="E58" authorId="0" shapeId="0" xr:uid="{8304597B-5515-413C-84DE-0319B9AC2CE2}">
      <text>
        <r>
          <rPr>
            <sz val="9"/>
            <color indexed="81"/>
            <rFont val="Tahoma"/>
            <family val="2"/>
          </rPr>
          <t>Estimated # of TSPs and MSPs</t>
        </r>
      </text>
    </comment>
    <comment ref="E60" authorId="0" shapeId="0" xr:uid="{B2C6D6BE-2555-4728-86D0-B1C6F453F874}">
      <text>
        <r>
          <rPr>
            <sz val="9"/>
            <color indexed="81"/>
            <rFont val="Tahoma"/>
            <family val="2"/>
          </rPr>
          <t>Is QA/QC required for Drainage Plans?
Yes=1
No=0</t>
        </r>
      </text>
    </comment>
    <comment ref="F60" authorId="0" shapeId="0" xr:uid="{AE4A91DB-C164-4624-90EF-5746C2C499ED}">
      <text>
        <r>
          <rPr>
            <sz val="9"/>
            <color indexed="81"/>
            <rFont val="Tahoma"/>
            <family val="2"/>
          </rPr>
          <t>% of technical subtotal.</t>
        </r>
      </text>
    </comment>
    <comment ref="E61" authorId="0" shapeId="0" xr:uid="{7AE66719-E58C-4136-8DDF-A2236660B580}">
      <text>
        <r>
          <rPr>
            <sz val="9"/>
            <color indexed="81"/>
            <rFont val="Tahoma"/>
            <family val="2"/>
          </rPr>
          <t>Is Supervision required for Drainage Plans??
Yes=1
No=0</t>
        </r>
      </text>
    </comment>
    <comment ref="F61" authorId="0" shapeId="0" xr:uid="{84F2341D-F63B-42B3-B632-17FC7A3B65F3}">
      <text>
        <r>
          <rPr>
            <sz val="9"/>
            <color indexed="81"/>
            <rFont val="Tahoma"/>
            <family val="2"/>
          </rPr>
          <t xml:space="preserve">% of technical subtotal.
</t>
        </r>
      </text>
    </comment>
    <comment ref="E66" authorId="2" shapeId="0" xr:uid="{DEBC158D-AA99-4EA4-833B-BD2213BB424F}">
      <text>
        <r>
          <rPr>
            <sz val="9"/>
            <color indexed="81"/>
            <rFont val="Tahoma"/>
            <family val="2"/>
          </rPr>
          <t xml:space="preserve">Is Coordination required?
Yes=1
No=0
</t>
        </r>
      </text>
    </comment>
    <comment ref="F66" authorId="0" shapeId="0" xr:uid="{7D6DB881-242D-4919-ACB1-634FF3669096}">
      <text>
        <r>
          <rPr>
            <sz val="9"/>
            <color indexed="81"/>
            <rFont val="Tahoma"/>
            <family val="2"/>
          </rPr>
          <t xml:space="preserve">% of technical subtotal.
</t>
        </r>
      </text>
    </comment>
    <comment ref="E70" authorId="0" shapeId="0" xr:uid="{85E9A3F9-5DCE-4AC0-BECB-EB1D587F7AAD}">
      <text>
        <r>
          <rPr>
            <sz val="9"/>
            <color indexed="81"/>
            <rFont val="Tahoma"/>
            <family val="2"/>
          </rPr>
          <t xml:space="preserve">Total hours of travel time required for in person meetings.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G10" authorId="0" shapeId="0" xr:uid="{72B4F9D1-3C1F-479E-8217-FCE3122547EC}">
      <text>
        <r>
          <rPr>
            <sz val="9"/>
            <color indexed="81"/>
            <rFont val="Tahoma"/>
            <family val="2"/>
          </rPr>
          <t>Calculated Staff Hours represent a recommended starting point for negotiations based on established guidelines.</t>
        </r>
      </text>
    </comment>
    <comment ref="H10" authorId="0" shapeId="0" xr:uid="{5CEB41DE-B474-4D26-94EF-F62DB1497871}">
      <text>
        <r>
          <rPr>
            <sz val="9"/>
            <color indexed="81"/>
            <rFont val="Tahoma"/>
            <family val="2"/>
          </rPr>
          <t>FDOT recommended staff hours for the project. These hours may differ from the calculated staff hours recommended.</t>
        </r>
      </text>
    </comment>
    <comment ref="I10" authorId="0" shapeId="0" xr:uid="{DF97FF97-7D3C-4ACD-82EC-4E12CC4C1DE7}">
      <text>
        <r>
          <rPr>
            <sz val="9"/>
            <color indexed="81"/>
            <rFont val="Tahoma"/>
            <family val="2"/>
          </rPr>
          <t>Consultant recommended staff hours for the project. These hours may differ from the calculated staff hours recommended.</t>
        </r>
      </text>
    </comment>
    <comment ref="J10" authorId="0" shapeId="0" xr:uid="{C09DE7E7-894F-4BA6-9878-E0597F7CC758}">
      <text>
        <r>
          <rPr>
            <sz val="9"/>
            <color indexed="81"/>
            <rFont val="Tahoma"/>
            <family val="2"/>
          </rPr>
          <t>Final negotiated staff hours for the project.</t>
        </r>
      </text>
    </comment>
    <comment ref="E11" authorId="0" shapeId="0" xr:uid="{32F525D7-0F2A-4262-8042-8DD2D6311011}">
      <text>
        <r>
          <rPr>
            <sz val="9"/>
            <color indexed="81"/>
            <rFont val="Tahoma"/>
            <family val="2"/>
          </rPr>
          <t xml:space="preserve"># of sheets  for Drainage Map.
</t>
        </r>
      </text>
    </comment>
    <comment ref="E12" authorId="0" shapeId="0" xr:uid="{669CCE9F-764F-42E2-94F0-5C2D2ED79561}">
      <text>
        <r>
          <rPr>
            <sz val="9"/>
            <color indexed="81"/>
            <rFont val="Tahoma"/>
            <family val="2"/>
          </rPr>
          <t xml:space="preserve"># of bridges. Multiple matching parallel bridges count as one bridge.
</t>
        </r>
      </text>
    </comment>
    <comment ref="E13" authorId="0" shapeId="0" xr:uid="{881DF7DE-074B-4460-8925-9DA632FD0193}">
      <text>
        <r>
          <rPr>
            <sz val="9"/>
            <color indexed="81"/>
            <rFont val="Tahoma"/>
            <family val="2"/>
          </rPr>
          <t>Estimated # of drainage structures. Includes Drainage Plan View, Drainage Profiles, Drainage Cross Sections, Drainage Tabular Information, and Optional Materials Tabulation.</t>
        </r>
      </text>
    </comment>
    <comment ref="E14" authorId="0" shapeId="0" xr:uid="{3BD1CD4C-A184-4CFD-B46C-168CDDB06EA1}">
      <text>
        <r>
          <rPr>
            <sz val="9"/>
            <color indexed="81"/>
            <rFont val="Tahoma"/>
            <family val="2"/>
          </rPr>
          <t xml:space="preserve">Estimated # of drainage special details. Includes any associated notes.
</t>
        </r>
      </text>
    </comment>
    <comment ref="E15" authorId="0" shapeId="0" xr:uid="{1607F2C9-ADC5-4E21-B67E-5EEAB0C21A3D}">
      <text>
        <r>
          <rPr>
            <sz val="9"/>
            <color indexed="81"/>
            <rFont val="Tahoma"/>
            <family val="2"/>
          </rPr>
          <t xml:space="preserve">Estimated # of standard ditches that require plan and profile to be shown in plans.
</t>
        </r>
      </text>
    </comment>
    <comment ref="E16" authorId="0" shapeId="0" xr:uid="{28B281C1-9025-4281-840B-7525E5A09952}">
      <text>
        <r>
          <rPr>
            <sz val="9"/>
            <color indexed="81"/>
            <rFont val="Tahoma"/>
            <family val="2"/>
          </rPr>
          <t>Estimated # of complex ditches (Hoz. &amp; Vert complex geometry) that require plan and profile to be shown in plans.</t>
        </r>
      </text>
    </comment>
    <comment ref="E17" authorId="0" shapeId="0" xr:uid="{8E8CFED8-FCFF-4A7B-BE90-F2AC49CD109E}">
      <text>
        <r>
          <rPr>
            <sz val="9"/>
            <color indexed="81"/>
            <rFont val="Tahoma"/>
            <family val="2"/>
          </rPr>
          <t>Estimated # of ditch alignments that require cross sections.</t>
        </r>
      </text>
    </comment>
    <comment ref="E18" authorId="0" shapeId="0" xr:uid="{EA471933-63B4-4303-A88D-39040051FC13}">
      <text>
        <r>
          <rPr>
            <sz val="9"/>
            <color indexed="81"/>
            <rFont val="Tahoma"/>
            <family val="2"/>
          </rPr>
          <t xml:space="preserve"># of standard ponds.
</t>
        </r>
      </text>
    </comment>
    <comment ref="E19" authorId="0" shapeId="0" xr:uid="{70B5367B-4E0E-48C6-B343-ACBCD4F26C2D}">
      <text>
        <r>
          <rPr>
            <sz val="9"/>
            <color indexed="81"/>
            <rFont val="Tahoma"/>
            <family val="2"/>
          </rPr>
          <t xml:space="preserve"># of complex ponds.
</t>
        </r>
      </text>
    </comment>
    <comment ref="E20" authorId="0" shapeId="0" xr:uid="{5031E59D-E6DA-46EF-9B2D-33A84C9A7E55}">
      <text>
        <r>
          <rPr>
            <sz val="9"/>
            <color indexed="81"/>
            <rFont val="Tahoma"/>
            <family val="2"/>
          </rPr>
          <t># of pond alignments that require cross sections.</t>
        </r>
      </text>
    </comment>
    <comment ref="E22" authorId="0" shapeId="0" xr:uid="{6BC85869-F192-493D-8C44-633C60E433D8}">
      <text>
        <r>
          <rPr>
            <sz val="9"/>
            <color indexed="81"/>
            <rFont val="Tahoma"/>
            <family val="2"/>
          </rPr>
          <t>Is QA/QC required for Drainage Plans?
Yes=1
No=0</t>
        </r>
      </text>
    </comment>
    <comment ref="F22" authorId="0" shapeId="0" xr:uid="{2235266C-88B9-4D4A-A3E8-15C8131B4B76}">
      <text>
        <r>
          <rPr>
            <sz val="9"/>
            <color indexed="81"/>
            <rFont val="Tahoma"/>
            <family val="2"/>
          </rPr>
          <t>% of technical subtotal.</t>
        </r>
      </text>
    </comment>
    <comment ref="E23" authorId="0" shapeId="0" xr:uid="{95D91ED3-1186-4D55-A669-5E2CCFE57EF0}">
      <text>
        <r>
          <rPr>
            <sz val="9"/>
            <color indexed="81"/>
            <rFont val="Tahoma"/>
            <family val="2"/>
          </rPr>
          <t>Is Supervision required for Drainage Plans??
Yes=1
No=0</t>
        </r>
      </text>
    </comment>
    <comment ref="F23" authorId="0" shapeId="0" xr:uid="{3AB30B95-20B5-4B56-AAEC-8B998BF346D1}">
      <text>
        <r>
          <rPr>
            <sz val="9"/>
            <color indexed="81"/>
            <rFont val="Tahoma"/>
            <family val="2"/>
          </rPr>
          <t xml:space="preserve">% of technical subtotal.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Buck, Ryan</author>
    <author>Hiers, Paul</author>
  </authors>
  <commentList>
    <comment ref="G10" authorId="0" shapeId="0" xr:uid="{535C5E16-52F4-4556-BE0D-32BA33B70B49}">
      <text>
        <r>
          <rPr>
            <sz val="9"/>
            <color indexed="81"/>
            <rFont val="Tahoma"/>
            <family val="2"/>
          </rPr>
          <t>Calculated Staff Hours represent a recommended starting point for negotiations based on established guidelines.</t>
        </r>
      </text>
    </comment>
    <comment ref="H10" authorId="0" shapeId="0" xr:uid="{402E941B-D8ED-4564-A7F9-F6857D3C027A}">
      <text>
        <r>
          <rPr>
            <sz val="9"/>
            <color indexed="81"/>
            <rFont val="Tahoma"/>
            <family val="2"/>
          </rPr>
          <t>FDOT recommended staff hours for the project. These hours may differ from the calculated staff hours recommended.</t>
        </r>
      </text>
    </comment>
    <comment ref="I10" authorId="0" shapeId="0" xr:uid="{D5044E03-5BD2-419A-8266-9981EF471376}">
      <text>
        <r>
          <rPr>
            <sz val="9"/>
            <color indexed="81"/>
            <rFont val="Tahoma"/>
            <family val="2"/>
          </rPr>
          <t>Consultant recommended staff hours for the project. These hours may differ from the calculated staff hours recommended.</t>
        </r>
      </text>
    </comment>
    <comment ref="J10" authorId="0" shapeId="0" xr:uid="{B9051792-0A0D-440D-824C-060DC1F1B7AF}">
      <text>
        <r>
          <rPr>
            <sz val="9"/>
            <color indexed="81"/>
            <rFont val="Tahoma"/>
            <family val="2"/>
          </rPr>
          <t>Final negotiated staff hours for the project.</t>
        </r>
      </text>
    </comment>
    <comment ref="E12" authorId="0" shapeId="0" xr:uid="{9ED52530-1A77-4594-BB86-A5F736C97B11}">
      <text>
        <r>
          <rPr>
            <sz val="9"/>
            <color indexed="81"/>
            <rFont val="Tahoma"/>
            <family val="2"/>
          </rPr>
          <t xml:space="preserve">Length of roadway in miles.
</t>
        </r>
      </text>
    </comment>
    <comment ref="E13" authorId="0" shapeId="0" xr:uid="{ACAB84FB-9D70-4C8F-9046-F87A4B829B99}">
      <text>
        <r>
          <rPr>
            <sz val="9"/>
            <color indexed="81"/>
            <rFont val="Tahoma"/>
            <family val="2"/>
          </rPr>
          <t># of Interchanges, rest areas, or similar areas.</t>
        </r>
      </text>
    </comment>
    <comment ref="E14" authorId="1" shapeId="0" xr:uid="{020F4DBD-3683-48F6-8CD8-68DAE94028BB}">
      <text>
        <r>
          <rPr>
            <sz val="9"/>
            <color indexed="81"/>
            <rFont val="Tahoma"/>
            <family val="2"/>
          </rPr>
          <t>Is Assesment and Disposition Table required?
1=yes
0=no</t>
        </r>
      </text>
    </comment>
    <comment ref="E15" authorId="0" shapeId="0" xr:uid="{0B63633A-3223-4527-B4DE-2CADE1C78F63}">
      <text>
        <r>
          <rPr>
            <sz val="9"/>
            <color indexed="81"/>
            <rFont val="Tahoma"/>
            <family val="2"/>
          </rPr>
          <t>Is a SC&amp;G Maintenance Report required?
1=yes
0=no</t>
        </r>
      </text>
    </comment>
    <comment ref="E16" authorId="0" shapeId="0" xr:uid="{4C893EBB-8467-439B-BA45-9FB612B59F00}">
      <text>
        <r>
          <rPr>
            <sz val="9"/>
            <color indexed="81"/>
            <rFont val="Tahoma"/>
            <family val="2"/>
          </rPr>
          <t xml:space="preserve">Length of roadway in miles.
</t>
        </r>
      </text>
    </comment>
    <comment ref="E17" authorId="0" shapeId="0" xr:uid="{BFA14E58-DD35-415C-9E62-9E8090503128}">
      <text>
        <r>
          <rPr>
            <sz val="9"/>
            <color indexed="81"/>
            <rFont val="Tahoma"/>
            <family val="2"/>
          </rPr>
          <t># of Interchanges, rest areas, or similar areas.</t>
        </r>
      </text>
    </comment>
    <comment ref="E18" authorId="0" shapeId="0" xr:uid="{AC75EB78-53FF-46A2-ACB3-D359647A6566}">
      <text>
        <r>
          <rPr>
            <sz val="9"/>
            <color indexed="81"/>
            <rFont val="Tahoma"/>
            <family val="2"/>
          </rPr>
          <t>Estimated # of details. 
This task includes any required notes.
The Disposition Chart is considered a detail.</t>
        </r>
      </text>
    </comment>
    <comment ref="E19" authorId="0" shapeId="0" xr:uid="{02F64845-BC2C-45BD-BB92-41152643F455}">
      <text>
        <r>
          <rPr>
            <sz val="9"/>
            <color indexed="81"/>
            <rFont val="Tahoma"/>
            <family val="2"/>
          </rPr>
          <t>Are quantities required?
Yes=1
No=0</t>
        </r>
      </text>
    </comment>
    <comment ref="E20" authorId="0" shapeId="0" xr:uid="{FD0A63AF-25B9-4EBC-803B-7CB653FCC1C9}">
      <text>
        <r>
          <rPr>
            <sz val="9"/>
            <color indexed="81"/>
            <rFont val="Tahoma"/>
            <family val="2"/>
          </rPr>
          <t>Is a cost estimate required?
Yes=1
No=0</t>
        </r>
      </text>
    </comment>
    <comment ref="E22" authorId="0" shapeId="0" xr:uid="{DCA317C2-7E50-40DF-A757-C89C2CF3FE7E}">
      <text>
        <r>
          <rPr>
            <sz val="9"/>
            <color indexed="81"/>
            <rFont val="Tahoma"/>
            <family val="2"/>
          </rPr>
          <t>Is QA/QC required?
Yes=1
No=0</t>
        </r>
      </text>
    </comment>
    <comment ref="F22" authorId="0" shapeId="0" xr:uid="{685656AD-E9C7-4A29-9888-667ACF5D6099}">
      <text>
        <r>
          <rPr>
            <sz val="9"/>
            <color indexed="81"/>
            <rFont val="Tahoma"/>
            <family val="2"/>
          </rPr>
          <t>% of technical subtotal.</t>
        </r>
      </text>
    </comment>
    <comment ref="E23" authorId="0" shapeId="0" xr:uid="{8CE69DC8-368A-4DF4-9808-65616D2848FA}">
      <text>
        <r>
          <rPr>
            <sz val="9"/>
            <color indexed="81"/>
            <rFont val="Tahoma"/>
            <family val="2"/>
          </rPr>
          <t>Is Supervision required?
Yes=1
No=0</t>
        </r>
      </text>
    </comment>
    <comment ref="F23" authorId="0" shapeId="0" xr:uid="{F7CF849E-63D1-443D-964D-C203DDE1C514}">
      <text>
        <r>
          <rPr>
            <sz val="9"/>
            <color indexed="81"/>
            <rFont val="Tahoma"/>
            <family val="2"/>
          </rPr>
          <t xml:space="preserve">% of technical subtotal.
</t>
        </r>
      </text>
    </comment>
    <comment ref="E24" authorId="0" shapeId="0" xr:uid="{709D36D4-E772-440B-88DF-B82167393EA9}">
      <text>
        <r>
          <rPr>
            <sz val="9"/>
            <color indexed="81"/>
            <rFont val="Tahoma"/>
            <family val="2"/>
          </rPr>
          <t>Estimated # of meeting listed below</t>
        </r>
      </text>
    </comment>
    <comment ref="E32" authorId="0" shapeId="0" xr:uid="{F1C40EEA-2C27-46B3-845B-19C993F76BB6}">
      <text>
        <r>
          <rPr>
            <sz val="9"/>
            <color indexed="81"/>
            <rFont val="Tahoma"/>
            <family val="2"/>
          </rPr>
          <t xml:space="preserve">Total hours of travel time required for in person meetings.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D19" authorId="0" shapeId="0" xr:uid="{E7B4FA42-2679-4A45-96D8-03C2B6090E3B}">
      <text>
        <r>
          <rPr>
            <sz val="9"/>
            <color indexed="81"/>
            <rFont val="Tahoma"/>
            <family val="2"/>
          </rPr>
          <t># of bridges.</t>
        </r>
      </text>
    </comment>
    <comment ref="E19" authorId="0" shapeId="0" xr:uid="{2FC2E536-B85E-4F23-B1F1-9B591059CC4A}">
      <text>
        <r>
          <rPr>
            <sz val="9"/>
            <color indexed="81"/>
            <rFont val="Tahoma"/>
            <family val="2"/>
          </rPr>
          <t>Calculated Staff Hours represent a recommended starting point for negotiations based on established guidelines.</t>
        </r>
      </text>
    </comment>
    <comment ref="D20" authorId="0" shapeId="0" xr:uid="{EC757E38-FB99-4C57-9A85-0AC8876812A9}">
      <text>
        <r>
          <rPr>
            <sz val="9"/>
            <color indexed="81"/>
            <rFont val="Tahoma"/>
            <family val="2"/>
          </rPr>
          <t># of wall segments.</t>
        </r>
      </text>
    </comment>
    <comment ref="D21" authorId="0" shapeId="0" xr:uid="{FD9A28B6-EFD6-4BFB-8294-76799758AC8B}">
      <text>
        <r>
          <rPr>
            <sz val="9"/>
            <color indexed="81"/>
            <rFont val="Tahoma"/>
            <family val="2"/>
          </rPr>
          <t xml:space="preserve"># of box culverts.
</t>
        </r>
      </text>
    </comment>
    <comment ref="E21" authorId="0" shapeId="0" xr:uid="{BC48F6BC-F07F-4C1E-A22F-35B8D3B37FFC}">
      <text>
        <r>
          <rPr>
            <sz val="9"/>
            <color indexed="81"/>
            <rFont val="Tahoma"/>
            <family val="2"/>
          </rPr>
          <t>Consider adding 4 hours to the calculated hours when required to include EQ Report with Phase II Submittal.</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D16" authorId="0" shapeId="0" xr:uid="{170973DE-005C-40DC-85C6-3683F076FB8B}">
      <text>
        <r>
          <rPr>
            <sz val="9"/>
            <color indexed="81"/>
            <rFont val="Tahoma"/>
            <family val="2"/>
          </rPr>
          <t>Length of project plans (miles).</t>
        </r>
      </text>
    </comment>
    <comment ref="E16" authorId="0" shapeId="0" xr:uid="{3AE24939-DA80-43EF-8D7E-C27CFE740C21}">
      <text>
        <r>
          <rPr>
            <sz val="9"/>
            <color indexed="81"/>
            <rFont val="Tahoma"/>
            <family val="2"/>
          </rPr>
          <t>Calculated Staff Hours represent a recommended starting point for negotiations based on established guidelines.</t>
        </r>
      </text>
    </comment>
    <comment ref="D18" authorId="0" shapeId="0" xr:uid="{0E089F14-4E6D-4777-8B52-C18F7EB95548}">
      <text>
        <r>
          <rPr>
            <sz val="9"/>
            <color indexed="81"/>
            <rFont val="Tahoma"/>
            <family val="2"/>
          </rPr>
          <t xml:space="preserve">Estimated # of interchanges or rest areas for the project.
</t>
        </r>
      </text>
    </comment>
    <comment ref="E18" authorId="0" shapeId="0" xr:uid="{94EB6B4E-780B-4963-94EA-905571E45AD4}">
      <text>
        <r>
          <rPr>
            <sz val="9"/>
            <color indexed="81"/>
            <rFont val="Tahoma"/>
            <family val="2"/>
          </rPr>
          <t>Consider adding 4 hours to the calculated hours when required to include EQ Report with Phase II Submittal.</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Buck, Ryan</author>
  </authors>
  <commentList>
    <comment ref="G10" authorId="0" shapeId="0" xr:uid="{2966B45F-28BB-4718-B843-3AFFC7AF17E1}">
      <text>
        <r>
          <rPr>
            <sz val="9"/>
            <color indexed="81"/>
            <rFont val="Tahoma"/>
            <family val="2"/>
          </rPr>
          <t>Calculated Staff Hours represent a recommended starting point for negotiations based on established guidelines.</t>
        </r>
      </text>
    </comment>
    <comment ref="H10" authorId="0" shapeId="0" xr:uid="{578AC541-1916-4D6C-8D08-8969CD568E6F}">
      <text>
        <r>
          <rPr>
            <sz val="9"/>
            <color indexed="81"/>
            <rFont val="Tahoma"/>
            <family val="2"/>
          </rPr>
          <t>FDOT recommended staff hours for the project. These hours may differ from the calculated staff hours recommended.</t>
        </r>
      </text>
    </comment>
    <comment ref="I10" authorId="0" shapeId="0" xr:uid="{1D6D51AA-C24A-43FC-AAB6-CA33B2C87266}">
      <text>
        <r>
          <rPr>
            <sz val="9"/>
            <color indexed="81"/>
            <rFont val="Tahoma"/>
            <family val="2"/>
          </rPr>
          <t>Consultant recommended staff hours for the project. These hours may differ from the calculated staff hours recommended.</t>
        </r>
      </text>
    </comment>
    <comment ref="J10" authorId="0" shapeId="0" xr:uid="{02C22A4D-2BAE-46BA-AF92-37D8CD4FD781}">
      <text>
        <r>
          <rPr>
            <sz val="9"/>
            <color indexed="81"/>
            <rFont val="Tahoma"/>
            <family val="2"/>
          </rPr>
          <t>Final negotiated staff hours for the project.</t>
        </r>
      </text>
    </comment>
    <comment ref="E11" authorId="0" shapeId="0" xr:uid="{2BF23118-79DA-41DB-A295-E4B3D3CC0368}">
      <text>
        <r>
          <rPr>
            <sz val="9"/>
            <color indexed="81"/>
            <rFont val="Tahoma"/>
            <family val="2"/>
          </rPr>
          <t>Is a Key sheet required?
Yes=1
No=0</t>
        </r>
      </text>
    </comment>
    <comment ref="E12" authorId="0" shapeId="0" xr:uid="{A6E06BD9-56F3-4BFF-BEAB-86C67D097B73}">
      <text>
        <r>
          <rPr>
            <sz val="9"/>
            <color indexed="81"/>
            <rFont val="Tahoma"/>
            <family val="2"/>
          </rPr>
          <t>Is a signature sheet required?  If Key Sheet is not required, then no hours will be given for the signature sheet.
Yes=1
No=0</t>
        </r>
      </text>
    </comment>
    <comment ref="E13" authorId="0" shapeId="0" xr:uid="{354749DA-F652-436F-9644-D12C8C048D63}">
      <text>
        <r>
          <rPr>
            <sz val="9"/>
            <color indexed="81"/>
            <rFont val="Tahoma"/>
            <family val="2"/>
          </rPr>
          <t>Is a general notes/pay item notes sheet required?
Yes=1
No=0</t>
        </r>
      </text>
    </comment>
    <comment ref="E14" authorId="0" shapeId="0" xr:uid="{6094ABCD-7779-4F1B-9283-F865D6E79636}">
      <text>
        <r>
          <rPr>
            <sz val="9"/>
            <color indexed="81"/>
            <rFont val="Tahoma"/>
            <family val="2"/>
          </rPr>
          <t>Is a project layout sheet required? Should be used only when necessary (complex projects or multiple work location projects).
Yes=1
No=0</t>
        </r>
      </text>
    </comment>
    <comment ref="E15" authorId="0" shapeId="0" xr:uid="{AEFF0BBA-420F-48F2-9B24-3C944B2953BA}">
      <text>
        <r>
          <rPr>
            <sz val="9"/>
            <color indexed="81"/>
            <rFont val="Tahoma"/>
            <family val="2"/>
          </rPr>
          <t>Estimated number of sheets required for the S&amp;PM plan.</t>
        </r>
      </text>
    </comment>
    <comment ref="E16" authorId="0" shapeId="0" xr:uid="{2B497CEE-54C6-4924-B45E-07D94CEA1B9F}">
      <text>
        <r>
          <rPr>
            <sz val="9"/>
            <color indexed="81"/>
            <rFont val="Tahoma"/>
            <family val="2"/>
          </rPr>
          <t>Estimated # of mid-block crossings or signalized intersections to be shown on plan sheets.</t>
        </r>
      </text>
    </comment>
    <comment ref="E17" authorId="0" shapeId="0" xr:uid="{E9D335D1-C148-488B-B68C-F32943520D44}">
      <text>
        <r>
          <rPr>
            <sz val="9"/>
            <color indexed="81"/>
            <rFont val="Tahoma"/>
            <family val="2"/>
          </rPr>
          <t>Estimated # of interchanges or roundabouts to be shown on plan sheets.</t>
        </r>
      </text>
    </comment>
    <comment ref="E18" authorId="0" shapeId="0" xr:uid="{136A5921-F9F0-43D9-864A-9D0D1793B157}">
      <text>
        <r>
          <rPr>
            <sz val="9"/>
            <color indexed="81"/>
            <rFont val="Tahoma"/>
            <family val="2"/>
          </rPr>
          <t>Estimated # of rest areas or toll facilities to be shown on plan sheets.</t>
        </r>
      </text>
    </comment>
    <comment ref="E19" authorId="0" shapeId="0" xr:uid="{F8D9F4C2-D7C2-4145-B7C3-EB61B7A4CC89}">
      <text>
        <r>
          <rPr>
            <sz val="9"/>
            <color indexed="81"/>
            <rFont val="Tahoma"/>
            <family val="2"/>
          </rPr>
          <t>Estimated # of simple details that that require no engineering and are common on all projects.</t>
        </r>
      </text>
    </comment>
    <comment ref="E20" authorId="0" shapeId="0" xr:uid="{A350D569-3166-4579-B077-19F93AF0899D}">
      <text>
        <r>
          <rPr>
            <sz val="9"/>
            <color indexed="81"/>
            <rFont val="Tahoma"/>
            <family val="2"/>
          </rPr>
          <t>Estimated # Standard details that require some engineering and are site or project specific (e.g., gore markings, cross walk markings, pedestrian and bicycle markings, sign placement)l.</t>
        </r>
      </text>
    </comment>
    <comment ref="E21" authorId="0" shapeId="0" xr:uid="{E25620D3-4789-488D-B9A9-5DCDEDCF0822}">
      <text>
        <r>
          <rPr>
            <sz val="9"/>
            <color indexed="81"/>
            <rFont val="Tahoma"/>
            <family val="2"/>
          </rPr>
          <t xml:space="preserve">Estimated # of complex details that are highly unique or based on new technologies. </t>
        </r>
      </text>
    </comment>
    <comment ref="E22" authorId="0" shapeId="0" xr:uid="{D3542FF0-1860-451D-BDD4-3D3AF64CEF6A}">
      <text>
        <r>
          <rPr>
            <sz val="9"/>
            <color indexed="81"/>
            <rFont val="Tahoma"/>
            <family val="2"/>
          </rPr>
          <t xml:space="preserve">Estimated # of retrofit or modified service points to be shown in plans. </t>
        </r>
      </text>
    </comment>
    <comment ref="E23" authorId="0" shapeId="0" xr:uid="{351CB514-182D-45E3-A68D-642378455A10}">
      <text>
        <r>
          <rPr>
            <sz val="9"/>
            <color indexed="81"/>
            <rFont val="Tahoma"/>
            <family val="2"/>
          </rPr>
          <t xml:space="preserve">Estimated # of new service points to be shown in plans.  </t>
        </r>
      </text>
    </comment>
    <comment ref="E24" authorId="0" shapeId="0" xr:uid="{CE70819E-BF0A-450D-8755-A1E093B7B8B4}">
      <text>
        <r>
          <rPr>
            <sz val="9"/>
            <color indexed="81"/>
            <rFont val="Tahoma"/>
            <family val="2"/>
          </rPr>
          <t>Estimated # of signs that must be imported from guide sign
program.</t>
        </r>
      </text>
    </comment>
    <comment ref="E25" authorId="0" shapeId="0" xr:uid="{E4CB60E6-DB17-4D09-BE13-7E12B4274C26}">
      <text>
        <r>
          <rPr>
            <sz val="9"/>
            <color indexed="81"/>
            <rFont val="Tahoma"/>
            <family val="2"/>
          </rPr>
          <t>Estimated # of multi-post signs that will be shown in the plans on a cross section when required by District.</t>
        </r>
      </text>
    </comment>
    <comment ref="E26" authorId="0" shapeId="0" xr:uid="{672AFADC-E0D0-424D-8C51-C388C8CAB8B6}">
      <text>
        <r>
          <rPr>
            <sz val="9"/>
            <color indexed="81"/>
            <rFont val="Tahoma"/>
            <family val="2"/>
          </rPr>
          <t>Estimated # of single panel overhead structures that will be shown in the plans on a cross section. Includes creation of cross section.</t>
        </r>
      </text>
    </comment>
    <comment ref="E27" authorId="0" shapeId="0" xr:uid="{8DE229FA-A69C-48F1-81B1-1CF911444500}">
      <text>
        <r>
          <rPr>
            <sz val="9"/>
            <color indexed="81"/>
            <rFont val="Tahoma"/>
            <family val="2"/>
          </rPr>
          <t>Estimated # of multi-panel overhead structures that will be shown in the plans on a cross section. Includes creation of cross section.</t>
        </r>
      </text>
    </comment>
    <comment ref="E29" authorId="0" shapeId="0" xr:uid="{690C586A-AFA3-4758-90CF-C53FFF0C5B41}">
      <text>
        <r>
          <rPr>
            <sz val="9"/>
            <color indexed="81"/>
            <rFont val="Tahoma"/>
            <family val="2"/>
          </rPr>
          <t>Is QA/QC required for S&amp;PM Plans?
Yes=1
No=0</t>
        </r>
      </text>
    </comment>
    <comment ref="F29" authorId="0" shapeId="0" xr:uid="{DC426D76-13BD-4C47-994F-0051172D54C9}">
      <text>
        <r>
          <rPr>
            <sz val="9"/>
            <color indexed="81"/>
            <rFont val="Tahoma"/>
            <family val="2"/>
          </rPr>
          <t>% of technical subtotal.</t>
        </r>
      </text>
    </comment>
    <comment ref="E30" authorId="0" shapeId="0" xr:uid="{1B96AE4C-EBA3-431A-8909-C1CF57FDBCB6}">
      <text>
        <r>
          <rPr>
            <sz val="9"/>
            <color indexed="81"/>
            <rFont val="Tahoma"/>
            <family val="2"/>
          </rPr>
          <t>Is Supervision required for S&amp;PM Plans??
Yes=1
No=0</t>
        </r>
      </text>
    </comment>
    <comment ref="F30" authorId="0" shapeId="0" xr:uid="{05473E1E-DDFF-4977-B62C-6EFD1DD08460}">
      <text>
        <r>
          <rPr>
            <sz val="9"/>
            <color indexed="81"/>
            <rFont val="Tahoma"/>
            <family val="2"/>
          </rPr>
          <t xml:space="preserve">% of technical subtotal.
</t>
        </r>
      </text>
    </comment>
  </commentList>
</comments>
</file>

<file path=xl/sharedStrings.xml><?xml version="1.0" encoding="utf-8"?>
<sst xmlns="http://schemas.openxmlformats.org/spreadsheetml/2006/main" count="7428" uniqueCount="2797">
  <si>
    <t>Horizontal Project Control (HPC)</t>
  </si>
  <si>
    <t>Topography/DTM (3D)</t>
  </si>
  <si>
    <t>Planimetric (2D)</t>
  </si>
  <si>
    <t>R/W Staking / R/W Line</t>
  </si>
  <si>
    <t>Baseline Approval Review</t>
  </si>
  <si>
    <t>Network Control Review</t>
  </si>
  <si>
    <t>Vertical Control Review</t>
  </si>
  <si>
    <t>Final Submittal Review</t>
  </si>
  <si>
    <t>Aerial Mapping Submittal Review</t>
  </si>
  <si>
    <t>LBR/Resilient Modulus Sampling</t>
  </si>
  <si>
    <t>Design LBR</t>
  </si>
  <si>
    <t>Laboratory Data</t>
  </si>
  <si>
    <t>Seasonal High Water Table</t>
  </si>
  <si>
    <t>Parameters for Water Retention Areas</t>
  </si>
  <si>
    <t>Electronic Files for Cross-Sections</t>
  </si>
  <si>
    <t>Embankment Settlement and Stability</t>
  </si>
  <si>
    <t xml:space="preserve">Expansion Joint Segment </t>
  </si>
  <si>
    <t>Segment Layout/Designations</t>
  </si>
  <si>
    <t>PT Grouting Plan Details</t>
  </si>
  <si>
    <t>Preparation of Reinforcing Bar Lists</t>
  </si>
  <si>
    <t>Lighting Justification Report</t>
  </si>
  <si>
    <t>Aeronautical Evaluation</t>
  </si>
  <si>
    <t>Voltage Drop Calculations</t>
  </si>
  <si>
    <t>Reference and Master Design Files</t>
  </si>
  <si>
    <t>Service Point Details</t>
  </si>
  <si>
    <t>Stake Borings/Utility Clearance</t>
  </si>
  <si>
    <t>Boring</t>
  </si>
  <si>
    <t>Drilling Access Permits</t>
  </si>
  <si>
    <t>Property Clearances</t>
  </si>
  <si>
    <t>Groundwater Monitoring</t>
  </si>
  <si>
    <t>Coordination of Field Work</t>
  </si>
  <si>
    <t>100 lf of boring</t>
  </si>
  <si>
    <t>Soil and Rock Classification - Roadway</t>
  </si>
  <si>
    <t>Girder Elevation, including Grouting Plan and Vent Locations</t>
  </si>
  <si>
    <t>Cross-section</t>
  </si>
  <si>
    <t>Embankment Boring</t>
  </si>
  <si>
    <t>Stormwater Volume Recovery and/or Background Seepage Analysis</t>
  </si>
  <si>
    <t>Geotechnical Recommendations</t>
  </si>
  <si>
    <t>100 lf boring</t>
  </si>
  <si>
    <t>Soil and Rock Classification - Structures</t>
  </si>
  <si>
    <t>Bridge boring</t>
  </si>
  <si>
    <t>Detailed Analysis of Selected Foundation Alternate(s)</t>
  </si>
  <si>
    <t>Walls</t>
  </si>
  <si>
    <t>Wall Boring</t>
  </si>
  <si>
    <t>Box Culvert Analysis</t>
  </si>
  <si>
    <t>No. of Units</t>
  </si>
  <si>
    <t>Hours/ Units</t>
  </si>
  <si>
    <t>Complete And Submit All Required Permit Applications</t>
  </si>
  <si>
    <t>Mitigation Coordination and Meetings</t>
  </si>
  <si>
    <t xml:space="preserve">Office Support Hours / Crew Days  </t>
  </si>
  <si>
    <t>2-Lane Roadway</t>
  </si>
  <si>
    <t>Multi-lane Roadway</t>
  </si>
  <si>
    <t>Interstate</t>
  </si>
  <si>
    <t>Aerial Targets</t>
  </si>
  <si>
    <t>Reference Points</t>
  </si>
  <si>
    <t>Side Street Surveys</t>
  </si>
  <si>
    <t>Underground Utilities</t>
  </si>
  <si>
    <t>Designates</t>
  </si>
  <si>
    <t>Locates</t>
  </si>
  <si>
    <t>Survey</t>
  </si>
  <si>
    <t>Outfall Survey</t>
  </si>
  <si>
    <t>Drainage Survey</t>
  </si>
  <si>
    <t>Bridge Survey</t>
  </si>
  <si>
    <t>Channel Survey</t>
  </si>
  <si>
    <t>Pond Site Survey</t>
  </si>
  <si>
    <t>Mitigation Survey</t>
  </si>
  <si>
    <t>Jurisdiction Line Survey</t>
  </si>
  <si>
    <t>Geotechnical Support</t>
  </si>
  <si>
    <t>Subdivision Location</t>
  </si>
  <si>
    <t>Maintained R/W</t>
  </si>
  <si>
    <t>Boundary Survey</t>
  </si>
  <si>
    <t>Water Boundary Survey</t>
  </si>
  <si>
    <t>R/W Monumentation</t>
  </si>
  <si>
    <t>Line Cutting</t>
  </si>
  <si>
    <t>Work Zone Safety</t>
  </si>
  <si>
    <t>Miscellaneous Surveys</t>
  </si>
  <si>
    <t>Supplemental Surveys</t>
  </si>
  <si>
    <t>Document Research</t>
  </si>
  <si>
    <t>Coordination</t>
  </si>
  <si>
    <t>Task No.</t>
  </si>
  <si>
    <t>Specifications Package Preparation</t>
  </si>
  <si>
    <t>4. Roadway Analysis Total</t>
  </si>
  <si>
    <t>Technical Meetings</t>
  </si>
  <si>
    <t>Roadway Analysis Technical Subtotal</t>
  </si>
  <si>
    <t>Drainage Analysis Technical Subtotal</t>
  </si>
  <si>
    <t>LS</t>
  </si>
  <si>
    <t>Pavement Design Package</t>
  </si>
  <si>
    <t>Units</t>
  </si>
  <si>
    <t>Traffic Data Analysis</t>
  </si>
  <si>
    <t>Typical Section Package</t>
  </si>
  <si>
    <t>Public Involvement</t>
  </si>
  <si>
    <t>Joint Project Agreements</t>
  </si>
  <si>
    <t>Independent Peer Review</t>
  </si>
  <si>
    <t>No Passing Zone Study</t>
  </si>
  <si>
    <t>Key Sheet</t>
  </si>
  <si>
    <t>Project Layout</t>
  </si>
  <si>
    <t>Plan Sheet</t>
  </si>
  <si>
    <t>Interchange Layout Sheet</t>
  </si>
  <si>
    <t>Cross Sections</t>
  </si>
  <si>
    <t>Utility Adjustment Sheets</t>
  </si>
  <si>
    <t>Sheet</t>
  </si>
  <si>
    <t>No of Units</t>
  </si>
  <si>
    <t>Total Hours</t>
  </si>
  <si>
    <t>Begin Milepost:</t>
  </si>
  <si>
    <t>End Milepost:</t>
  </si>
  <si>
    <t>Number of Lanes:</t>
  </si>
  <si>
    <t>Financial Project Identification Number:</t>
  </si>
  <si>
    <t>Federal Aid Project Identification Number:</t>
  </si>
  <si>
    <t>Project Description:</t>
  </si>
  <si>
    <t>Project Length:</t>
  </si>
  <si>
    <t>Miles</t>
  </si>
  <si>
    <t>Total All Meetings</t>
  </si>
  <si>
    <t>Typical Section:</t>
  </si>
  <si>
    <t>(Divided / Undivided)</t>
  </si>
  <si>
    <t>Pavement Condition Survey and Pavement Evaluation Report</t>
  </si>
  <si>
    <t>Preliminary Roadway Report</t>
  </si>
  <si>
    <t>Tabulation of Laboratory Data</t>
  </si>
  <si>
    <t>Selection of Foundation Alternatives (BDR)</t>
  </si>
  <si>
    <t>Lateral Load Analysis (Optional)</t>
  </si>
  <si>
    <t>Sheet Pile Wall Analysis (Optional)</t>
  </si>
  <si>
    <t>Final Reports - Signs, Signals, Box Culvert, Walls and High Mast Lights</t>
  </si>
  <si>
    <t>Design Soil Parameters for Signs, Signals, High Mast Lights, and Strain Poles and Geotechnical Recommendations</t>
  </si>
  <si>
    <t>Project Type:</t>
  </si>
  <si>
    <t>(Minor / Major)</t>
  </si>
  <si>
    <t>Roadway Classification:</t>
  </si>
  <si>
    <t>Lane Configuration:</t>
  </si>
  <si>
    <t>Access Management Classification:</t>
  </si>
  <si>
    <t>1.</t>
  </si>
  <si>
    <t>2.</t>
  </si>
  <si>
    <t>3.</t>
  </si>
  <si>
    <t>4.</t>
  </si>
  <si>
    <t>5.</t>
  </si>
  <si>
    <t>CAP Level:</t>
  </si>
  <si>
    <t>Field Reviews</t>
  </si>
  <si>
    <t>FDOT Staff Hour Worksheet Package</t>
  </si>
  <si>
    <t>Temporary Drainage Analysis</t>
  </si>
  <si>
    <t>Kickoff Meeting with FDOT</t>
  </si>
  <si>
    <t>Boring Layout Approval</t>
  </si>
  <si>
    <t>Attend in BDR Review Meeting</t>
  </si>
  <si>
    <t>30/60/90% Submittal Review</t>
  </si>
  <si>
    <t>Geotechnical Field and Lab Testing</t>
  </si>
  <si>
    <t>EA</t>
  </si>
  <si>
    <t>Pond Siting Analysis and Report</t>
  </si>
  <si>
    <t>Design of Storm Drains</t>
  </si>
  <si>
    <t>Optional Culvert Material</t>
  </si>
  <si>
    <t>Drainage</t>
  </si>
  <si>
    <t>Environmental</t>
  </si>
  <si>
    <t>Typical Section</t>
  </si>
  <si>
    <t>Local Governments (cities, counties, MPO)</t>
  </si>
  <si>
    <t>Structures</t>
  </si>
  <si>
    <t>Signalization</t>
  </si>
  <si>
    <t>Lighting</t>
  </si>
  <si>
    <t>Geotechnical</t>
  </si>
  <si>
    <t>Landscape Architecture</t>
  </si>
  <si>
    <t>Progress Meetings</t>
  </si>
  <si>
    <t>Phase Review Meetings</t>
  </si>
  <si>
    <t>Total Meetings</t>
  </si>
  <si>
    <t>Pond Siting</t>
  </si>
  <si>
    <t>Agency</t>
  </si>
  <si>
    <t>Local Governments (cities, counties)</t>
  </si>
  <si>
    <t>WMD</t>
  </si>
  <si>
    <t>USCG</t>
  </si>
  <si>
    <t>Mile/Site</t>
  </si>
  <si>
    <t>Corner</t>
  </si>
  <si>
    <t>Comments</t>
  </si>
  <si>
    <t>No. of Sheets</t>
  </si>
  <si>
    <t>1.  Staff hours for prime consultant come directly from each discipline's worksheet.</t>
  </si>
  <si>
    <t>Repetitive Sheets</t>
  </si>
  <si>
    <t>Other Pertinent Project Documentation</t>
  </si>
  <si>
    <t>Supervision</t>
  </si>
  <si>
    <t>Fire Protection Plans Total</t>
  </si>
  <si>
    <t>Unit</t>
  </si>
  <si>
    <t>Key Sheet and Index of Sheets</t>
  </si>
  <si>
    <t>Roof Details</t>
  </si>
  <si>
    <t>Fascia, Soffit and Parapet Details</t>
  </si>
  <si>
    <t>Design Narrative Reports</t>
  </si>
  <si>
    <t>Architectural Plans Total</t>
  </si>
  <si>
    <t>Miscellaneous Sections</t>
  </si>
  <si>
    <t>Structural Plans Total</t>
  </si>
  <si>
    <t>Life Cycle Cost Analysis</t>
  </si>
  <si>
    <t>Mechanical Plans Total</t>
  </si>
  <si>
    <t>Plumbing Plans Total</t>
  </si>
  <si>
    <t>Fire Protection Plan</t>
  </si>
  <si>
    <t>Hydraulic Calculation</t>
  </si>
  <si>
    <t>Miscellaneous Common Details</t>
  </si>
  <si>
    <t>Pier/Bent</t>
  </si>
  <si>
    <t>Lightning Protection Details</t>
  </si>
  <si>
    <t>Energy Analysis</t>
  </si>
  <si>
    <t>Electrical Plans Total</t>
  </si>
  <si>
    <t>Cost Estimate</t>
  </si>
  <si>
    <t>Task</t>
  </si>
  <si>
    <t>Office Support Hours</t>
  </si>
  <si>
    <t>1.  If the hours per meeting vary in length (hours) enter the average in the hour/unit column.</t>
  </si>
  <si>
    <t>Aerial Triangulation</t>
  </si>
  <si>
    <t>Crew Days</t>
  </si>
  <si>
    <t xml:space="preserve">Field Support Hours / Crew Days </t>
  </si>
  <si>
    <t>Field Support Hours</t>
  </si>
  <si>
    <t>Collect and Review Plans and Data from UAO(s)</t>
  </si>
  <si>
    <t xml:space="preserve">Utility Constructability Review </t>
  </si>
  <si>
    <t>Preliminary Utility Meeting</t>
  </si>
  <si>
    <t>Individual/Field Meetings</t>
  </si>
  <si>
    <t>Utility Design Meeting</t>
  </si>
  <si>
    <t>Subordination of Easements Coordination</t>
  </si>
  <si>
    <t xml:space="preserve">Additional Utility Services </t>
  </si>
  <si>
    <t>Sign Panel Design Analysis</t>
  </si>
  <si>
    <t>Sign Lighting/Electrical Calculations</t>
  </si>
  <si>
    <t>Traffic Monitoring Site</t>
  </si>
  <si>
    <t>Special Details</t>
  </si>
  <si>
    <t>Traffic Data Collection</t>
  </si>
  <si>
    <t>System Timings</t>
  </si>
  <si>
    <t>Reference and Master Signalization Design File</t>
  </si>
  <si>
    <t>PI</t>
  </si>
  <si>
    <t>Reference and Master Interconnect Communication Design File</t>
  </si>
  <si>
    <t>Project Total</t>
  </si>
  <si>
    <t>9. Structures - Summary and Miscellaneous Tasks and Drawings Nontechnical and Coordination Total</t>
  </si>
  <si>
    <t>WORKSHEET PACKAGE</t>
  </si>
  <si>
    <t xml:space="preserve">Architectural Plans </t>
  </si>
  <si>
    <t xml:space="preserve">Structural Plans </t>
  </si>
  <si>
    <t>Mechanical Plans</t>
  </si>
  <si>
    <t xml:space="preserve">Plumbing Plans </t>
  </si>
  <si>
    <t>Fire Protection Plans</t>
  </si>
  <si>
    <t>Electrical Plans</t>
  </si>
  <si>
    <t>Other Project General Tasks</t>
  </si>
  <si>
    <t>Other Utilities</t>
  </si>
  <si>
    <t>Erection Sequence</t>
  </si>
  <si>
    <t>Value Engineering (Multi-Discipline Team) Review</t>
  </si>
  <si>
    <t>Plans Update</t>
  </si>
  <si>
    <t>34. Intelligent Transportation Systems Plans</t>
  </si>
  <si>
    <t xml:space="preserve"> (Prime Consultant)</t>
  </si>
  <si>
    <t>General Notes/Pay Item Notes</t>
  </si>
  <si>
    <t>Base Clearance Water Elevation</t>
  </si>
  <si>
    <t>Other Meetings</t>
  </si>
  <si>
    <t>Signing &amp; Pavement Marking</t>
  </si>
  <si>
    <t>Noise Barriers</t>
  </si>
  <si>
    <t>15% Line and Grade</t>
  </si>
  <si>
    <t>Work Zone Traffic Control</t>
  </si>
  <si>
    <t>30/60/90/100% Comment Review Meetings</t>
  </si>
  <si>
    <t>Field Meetings</t>
  </si>
  <si>
    <t>Subtotal Technical Meetings</t>
  </si>
  <si>
    <t xml:space="preserve">Utility Coordination/Followup </t>
  </si>
  <si>
    <t>Certification/Close-Out</t>
  </si>
  <si>
    <t>Establish Wetland Jurisdictional Lines and Assessments</t>
  </si>
  <si>
    <t>Prepare Coastal Construction Control Line (CCCL) Permit Application</t>
  </si>
  <si>
    <t>Other Environmental Permits</t>
  </si>
  <si>
    <t>BDR Coordination/Review</t>
  </si>
  <si>
    <t>90/100% Comment Review</t>
  </si>
  <si>
    <t>Aesthetics Coordination</t>
  </si>
  <si>
    <t>Regulatory Agency</t>
  </si>
  <si>
    <t>Utility Companies</t>
  </si>
  <si>
    <t>Data Collection and Design Criteria</t>
  </si>
  <si>
    <t>Foundation Analysis (FL PIER)</t>
  </si>
  <si>
    <t>Quantity and Cost Estimates - Movable Span</t>
  </si>
  <si>
    <t>Exhibits - Movable Span</t>
  </si>
  <si>
    <t>Report Preparation - Movable Span</t>
  </si>
  <si>
    <t>Bridge Identifier (Number or Name):</t>
  </si>
  <si>
    <t>General Layout Design and Plans [Tasks under Activity 11 are for Prefabricated Temporary Bridges only]</t>
  </si>
  <si>
    <t>Subconsultant Instructions for Submittal of Staffhours for a Technical Proposal</t>
  </si>
  <si>
    <t>Subconsultant Instructions for Submittal of Staffhours for a Fee Proposal</t>
  </si>
  <si>
    <t>Prime Consultant Instructions for Submittal of Staffhours for a Technical Proposal</t>
  </si>
  <si>
    <t>Prime Consultant Instructions for Submittal of Staffhours for a Fee Proposal</t>
  </si>
  <si>
    <t>Spreadsheets to be Submitted with Technical Proposals</t>
  </si>
  <si>
    <t>Miscellaneous Substructure Design and Plans</t>
  </si>
  <si>
    <t>Long Span Concrete Bridge</t>
  </si>
  <si>
    <t>Structural Steel Bridge</t>
  </si>
  <si>
    <t>Miscellaneous Superstructure Design and Plans</t>
  </si>
  <si>
    <t>Load Ratings</t>
  </si>
  <si>
    <t>Supplemental Mapping</t>
  </si>
  <si>
    <t>Develop Detailed Boring Location Plan</t>
  </si>
  <si>
    <t>Coordinate and Develop MOT Plans for Field Investigation</t>
  </si>
  <si>
    <t>Delineate Limits of Unsuitable Material</t>
  </si>
  <si>
    <t>Auger Boring Drafting</t>
  </si>
  <si>
    <t>SPT Boring Drafting</t>
  </si>
  <si>
    <t>Collection of Corrosion Samples</t>
  </si>
  <si>
    <t>Estimate Design Groundwater Level for Structures</t>
  </si>
  <si>
    <t>Final Report - Bridge and Associated Walls</t>
  </si>
  <si>
    <t>3.1.1</t>
  </si>
  <si>
    <t>3.1.2</t>
  </si>
  <si>
    <t>3.1.3</t>
  </si>
  <si>
    <t>3.1.4</t>
  </si>
  <si>
    <t>3.1.5</t>
  </si>
  <si>
    <t>3.1.6</t>
  </si>
  <si>
    <t>3.1.7</t>
  </si>
  <si>
    <t>3.1.8</t>
  </si>
  <si>
    <t>3.1.9</t>
  </si>
  <si>
    <t>3.1.10</t>
  </si>
  <si>
    <t>3.1.11</t>
  </si>
  <si>
    <t>3.1.12</t>
  </si>
  <si>
    <t>Community Awareness Plan</t>
  </si>
  <si>
    <t>Notifications</t>
  </si>
  <si>
    <t>Median Modification Letters</t>
  </si>
  <si>
    <t>Driveway Modification Letters</t>
  </si>
  <si>
    <t>Newsletters</t>
  </si>
  <si>
    <t>Renderings and Fly Throughs</t>
  </si>
  <si>
    <t>PowerPoint Presentation</t>
  </si>
  <si>
    <t>Public Meeting Preparations</t>
  </si>
  <si>
    <t>Public Meeting Attendance/Followup</t>
  </si>
  <si>
    <t>Web Site</t>
  </si>
  <si>
    <t>Architectural Plans Technical Subtotal</t>
  </si>
  <si>
    <t>Structural Plans Technical Subtotal</t>
  </si>
  <si>
    <t>31. Architecture Development Total</t>
  </si>
  <si>
    <t>Agency Verification of Wetland Data</t>
  </si>
  <si>
    <t>Sheet Files</t>
  </si>
  <si>
    <t>11. Temporary Bridge Total</t>
  </si>
  <si>
    <t>Mile</t>
  </si>
  <si>
    <t>Parcel</t>
  </si>
  <si>
    <t>23. Lighting Analysis Total</t>
  </si>
  <si>
    <t>Lighting Analysis Technical Subtotal</t>
  </si>
  <si>
    <t>Quality Assurance/Quality Control</t>
  </si>
  <si>
    <t>Roadway</t>
  </si>
  <si>
    <t>Location</t>
  </si>
  <si>
    <t>Bridge Construction and Testing Recommendations</t>
  </si>
  <si>
    <t>Geotechnical Technical Subtotal</t>
  </si>
  <si>
    <t>Section</t>
  </si>
  <si>
    <t>Jurisdictional/Agency Lines</t>
  </si>
  <si>
    <t>Linear Mile</t>
  </si>
  <si>
    <t>Section and 1/4 Section Lines</t>
  </si>
  <si>
    <t>Topography</t>
  </si>
  <si>
    <t>Parent Tract Properties/Existing Easements</t>
  </si>
  <si>
    <t>Limits of Construction</t>
  </si>
  <si>
    <t>Title Search Map</t>
  </si>
  <si>
    <t>Title Search Report</t>
  </si>
  <si>
    <t>Legal Descriptions</t>
  </si>
  <si>
    <t>Alignment</t>
  </si>
  <si>
    <t>Control Survey Cover Sheet</t>
  </si>
  <si>
    <t>Control Survey Key Sheet</t>
  </si>
  <si>
    <t>Control Survey Detail Sheet</t>
  </si>
  <si>
    <t>Reference Point Sheet</t>
  </si>
  <si>
    <t>Table of Ownerships Sheet</t>
  </si>
  <si>
    <t>Parcel Sketches</t>
  </si>
  <si>
    <t>TIITF Sketches</t>
  </si>
  <si>
    <t>Boundary Survey(s) Map</t>
  </si>
  <si>
    <t>Other BDR Issues</t>
  </si>
  <si>
    <t>General Drawings</t>
  </si>
  <si>
    <t>Vertical PC / Bench Line</t>
  </si>
  <si>
    <t>Alignment and Existing R/W Lines</t>
  </si>
  <si>
    <t>Units/Day</t>
  </si>
  <si>
    <t>"A"</t>
  </si>
  <si>
    <t>"B"</t>
  </si>
  <si>
    <t>Non Alignment Points/Approximate</t>
  </si>
  <si>
    <t>Roadway Cross-Sections/Profiles</t>
  </si>
  <si>
    <t>Minor / Major</t>
  </si>
  <si>
    <t>Sectional / Grant Survey</t>
  </si>
  <si>
    <t>Existing R/W</t>
  </si>
  <si>
    <t>Proposed R/W Requirements</t>
  </si>
  <si>
    <t>R/W Map Cover Sheet</t>
  </si>
  <si>
    <t>R/W Map Key Sheet</t>
  </si>
  <si>
    <t>R/W Map Detail Sheet</t>
  </si>
  <si>
    <t>R/W Monumentation Map</t>
  </si>
  <si>
    <t>Bearing Assembly Design and Detailing (with Jacking Analysis)</t>
  </si>
  <si>
    <t>HVAC Calculations</t>
  </si>
  <si>
    <t>Electrical Site Plan</t>
  </si>
  <si>
    <t>Architecture Development Subtotal</t>
  </si>
  <si>
    <t>28. Photogrammetry Total</t>
  </si>
  <si>
    <t>27. Survey Total</t>
  </si>
  <si>
    <t>Photogrammetry</t>
  </si>
  <si>
    <t xml:space="preserve">Geotechnical </t>
  </si>
  <si>
    <t>Document Collection and Review</t>
  </si>
  <si>
    <t>Signal Warrant Study</t>
  </si>
  <si>
    <t>Strain Pole Schedule</t>
  </si>
  <si>
    <t>EXPENSES:</t>
  </si>
  <si>
    <t>Field Crew Days/Unit</t>
  </si>
  <si>
    <t>SPLS =</t>
  </si>
  <si>
    <t>PLS =</t>
  </si>
  <si>
    <t xml:space="preserve">Office Support = </t>
  </si>
  <si>
    <t>Total Hours =</t>
  </si>
  <si>
    <t>Design Variations and Exceptions</t>
  </si>
  <si>
    <t xml:space="preserve">Cost Estimate </t>
  </si>
  <si>
    <t>Bridge Hydraulics Recommendation Sheets</t>
  </si>
  <si>
    <t>Preliminary Project Research</t>
  </si>
  <si>
    <t>Survey Level:</t>
  </si>
  <si>
    <t>Drainage Design Documentation Report</t>
  </si>
  <si>
    <t>General Notes, Abbreviations, Symbols, and Legend</t>
  </si>
  <si>
    <t>Permitting</t>
  </si>
  <si>
    <t>General Notes, Abbreviations, Symbols, Legend, and Code Issues</t>
  </si>
  <si>
    <t>7. Utilities Total</t>
  </si>
  <si>
    <t>Cross-Frame Design</t>
  </si>
  <si>
    <t>Interior Cross-Frame Design</t>
  </si>
  <si>
    <t xml:space="preserve">Exterior Cross-Frame Design </t>
  </si>
  <si>
    <t>15. Structures - Segmental Concrete Bridge Total</t>
  </si>
  <si>
    <t>14. Structures - Structural Steel Bridge Total</t>
  </si>
  <si>
    <t>13. Structures - Medium Span Concrete Bridge Total</t>
  </si>
  <si>
    <t>12. Structures - Short Span Concrete Bridge Total</t>
  </si>
  <si>
    <t>3. Project Common and Project General Tasks Total</t>
  </si>
  <si>
    <t>Transverse Tendon Layout</t>
  </si>
  <si>
    <t>Longitudinal Tendon Layout</t>
  </si>
  <si>
    <t>Quantities and Stressing Schedule</t>
  </si>
  <si>
    <t>Future Post-Tensioning</t>
  </si>
  <si>
    <t xml:space="preserve">Lighting and Luminaries </t>
  </si>
  <si>
    <t>Load Ratings (LRFR)</t>
  </si>
  <si>
    <t>16. Structures - Movable Span Total</t>
  </si>
  <si>
    <t>Leaf/Pier Clearance Diagrams</t>
  </si>
  <si>
    <t>Back Wall (Approach Span Bearings) Closed Piers Only</t>
  </si>
  <si>
    <t>Ladder and Hatch Details</t>
  </si>
  <si>
    <t>Bascule Pier Notes and Summary of Quantities</t>
  </si>
  <si>
    <t xml:space="preserve">3.1 Public Involvement Subtotal </t>
  </si>
  <si>
    <t>See listing below</t>
  </si>
  <si>
    <t>Flooring Plan and Details</t>
  </si>
  <si>
    <t>Typical Section and Finish Grade Elevations</t>
  </si>
  <si>
    <t>Barrier and Sidewalk Bracket Details</t>
  </si>
  <si>
    <t>Main Girder Preliminary Design</t>
  </si>
  <si>
    <t xml:space="preserve"> </t>
  </si>
  <si>
    <t>Movable Span Geometrics and Clearances</t>
  </si>
  <si>
    <t>Framing Plan Development</t>
  </si>
  <si>
    <t>Conceptual Span Balance/Counterweight</t>
  </si>
  <si>
    <t>Support System Development</t>
  </si>
  <si>
    <t>Drive Power Calculations</t>
  </si>
  <si>
    <t>Drive System Development</t>
  </si>
  <si>
    <t>Power and Control Development</t>
  </si>
  <si>
    <t>Conceptual Pier Design</t>
  </si>
  <si>
    <t>Tender Visibility Study</t>
  </si>
  <si>
    <t>Deck System Evaluation</t>
  </si>
  <si>
    <t>Wall Type Justification</t>
  </si>
  <si>
    <t>Model</t>
  </si>
  <si>
    <t>Prime Consultant Project Manager Meetings</t>
  </si>
  <si>
    <t>Flight Preparation</t>
  </si>
  <si>
    <t>Control Point Coordination</t>
  </si>
  <si>
    <t>Post ID</t>
  </si>
  <si>
    <t>Photo Products</t>
  </si>
  <si>
    <t>Field Control</t>
  </si>
  <si>
    <t>With Aerial GPS Control</t>
  </si>
  <si>
    <t>Rectified Digital Imagery
(Georeferenced)</t>
  </si>
  <si>
    <t>Mosaicking</t>
  </si>
  <si>
    <t>Sheet Clipping</t>
  </si>
  <si>
    <t>Planimetrics (2D)</t>
  </si>
  <si>
    <t>CADD Edit</t>
  </si>
  <si>
    <t>Data Merging</t>
  </si>
  <si>
    <t>Photogrammetry Technical Subtotal</t>
  </si>
  <si>
    <t>Frame</t>
  </si>
  <si>
    <t>Image</t>
  </si>
  <si>
    <t>Point</t>
  </si>
  <si>
    <t>Intermediate Bent Structural Design</t>
  </si>
  <si>
    <t>Intermediate Bent Details</t>
  </si>
  <si>
    <t>1.  This sheet to be used by Prime Consultant to calculate the Grand Total fee.</t>
  </si>
  <si>
    <t>2.  Manually enter fee from each subconsultant.  Unused subconsultant rows may be hidden.</t>
  </si>
  <si>
    <t>Enter Name Sub 1</t>
  </si>
  <si>
    <t>Survey (Field)</t>
  </si>
  <si>
    <t>1.  This sheet to be used by Subconsultant to calculate its fee.</t>
  </si>
  <si>
    <t>ESTIMATE OF WORK EFFORT AND COST - SUBCONSULTANT</t>
  </si>
  <si>
    <t xml:space="preserve">3.  For workbooks prepared by subconsultants, their project hours will be totaled in column C. </t>
  </si>
  <si>
    <t xml:space="preserve">Note:  </t>
  </si>
  <si>
    <t>This spreadsheet to be used in Technical Proposal for Districts requiring the Grand Total hours be provided along with percentage distribution by classification.</t>
  </si>
  <si>
    <t>EA section</t>
  </si>
  <si>
    <t>Initial Config</t>
  </si>
  <si>
    <t>EA Add'l Config</t>
  </si>
  <si>
    <t>Structural Geotechnical Subtotal</t>
  </si>
  <si>
    <t>Roadway Geotechnical Subtotal</t>
  </si>
  <si>
    <t>Proposed Design Contract Time:</t>
  </si>
  <si>
    <t>Signalization Analysis Technical Subtotal</t>
  </si>
  <si>
    <t>Sub 2</t>
  </si>
  <si>
    <t>Sub 3</t>
  </si>
  <si>
    <t>Sub 4</t>
  </si>
  <si>
    <t>Sub 5</t>
  </si>
  <si>
    <t>Sub 6</t>
  </si>
  <si>
    <t>Sub 7</t>
  </si>
  <si>
    <t>Sub 8</t>
  </si>
  <si>
    <t>Sub 9</t>
  </si>
  <si>
    <t>Sub 10</t>
  </si>
  <si>
    <t>Sub 11</t>
  </si>
  <si>
    <t>Sub 12</t>
  </si>
  <si>
    <t>Project Staff Hours</t>
  </si>
  <si>
    <t>check</t>
  </si>
  <si>
    <t xml:space="preserve">Notes: </t>
  </si>
  <si>
    <t>RANGE</t>
  </si>
  <si>
    <t>Hours from "Summary" sheet</t>
  </si>
  <si>
    <t>STAFF HOURS</t>
  </si>
  <si>
    <t>ESTIMATE OF WORK EFFORT FOR TECHNICAL PROPOSALS - GRAND TOTAL</t>
  </si>
  <si>
    <t>EMPLOYEE CLASSIFICATION</t>
  </si>
  <si>
    <t>Hours from "Summary" sheet         Grand Total</t>
  </si>
  <si>
    <t>Staff Hour Distribution Percentages - Grand Total</t>
  </si>
  <si>
    <t>ESTIMATE OF WORK EFFORT FOR TECHNICAL PROPOSALS - FIRM TOTAL</t>
  </si>
  <si>
    <t>Staff Hour Distribution Percentages - Firm Total</t>
  </si>
  <si>
    <t>Hours from "Summary" sheet             Firm Total</t>
  </si>
  <si>
    <t>FIRM TOTAL</t>
  </si>
  <si>
    <t>ESTIMATE OF WORK EFFORT AND COST - PRIME CONSULTANT</t>
  </si>
  <si>
    <t>Total Staff Hours From "SH Summary - Firm"</t>
  </si>
  <si>
    <t>Enter Firm Name</t>
  </si>
  <si>
    <t>2.  Staff hours for subconsultants are to be entered manually into columns D through O.</t>
  </si>
  <si>
    <t>Survey Field Days by Subconsultant</t>
  </si>
  <si>
    <t>4 - Person Crew:</t>
  </si>
  <si>
    <t>Survey (Field - if by Prime)</t>
  </si>
  <si>
    <t>Design and Production Staffhours</t>
  </si>
  <si>
    <t>Hours per Unit</t>
  </si>
  <si>
    <t xml:space="preserve">Total </t>
  </si>
  <si>
    <t>Task 10</t>
  </si>
  <si>
    <t>Task 11</t>
  </si>
  <si>
    <t>Task 12</t>
  </si>
  <si>
    <t>Task 13</t>
  </si>
  <si>
    <t>Task 14</t>
  </si>
  <si>
    <t>Task 15</t>
  </si>
  <si>
    <t>Task 16</t>
  </si>
  <si>
    <t>General Requirement</t>
  </si>
  <si>
    <t>EA Unit</t>
  </si>
  <si>
    <t>EA Section</t>
  </si>
  <si>
    <t>General Requirements</t>
  </si>
  <si>
    <t>EA Typ. Section</t>
  </si>
  <si>
    <t>EA Case</t>
  </si>
  <si>
    <t>EA Wall</t>
  </si>
  <si>
    <t>Concrete Box Culvert</t>
  </si>
  <si>
    <t>Strain Poles</t>
  </si>
  <si>
    <t>Block</t>
  </si>
  <si>
    <t>Task 17</t>
  </si>
  <si>
    <t>Task 18</t>
  </si>
  <si>
    <t>10-16</t>
  </si>
  <si>
    <t>Bridge 3</t>
  </si>
  <si>
    <t>Bridge 4</t>
  </si>
  <si>
    <t>Bridge 5</t>
  </si>
  <si>
    <t>Bridge 6</t>
  </si>
  <si>
    <t>Bridge 7</t>
  </si>
  <si>
    <t>Bridge 8</t>
  </si>
  <si>
    <t>Bridge 9</t>
  </si>
  <si>
    <t>Bridge 10</t>
  </si>
  <si>
    <t>17</t>
  </si>
  <si>
    <t>18</t>
  </si>
  <si>
    <t>SH</t>
  </si>
  <si>
    <t>Hours</t>
  </si>
  <si>
    <t>Maintenance Map Cover Sheet</t>
  </si>
  <si>
    <t>Maintenance Map Key Sheet</t>
  </si>
  <si>
    <t>Maintenance Map Detail Sheet</t>
  </si>
  <si>
    <t>9. Structures - Misc. Tasks, Dwgs, Non-Tech.</t>
  </si>
  <si>
    <t>Financial Project Number:</t>
  </si>
  <si>
    <t>Project Name:</t>
  </si>
  <si>
    <t>Name of Consultant:</t>
  </si>
  <si>
    <t>Date:</t>
  </si>
  <si>
    <t>FAP Number:</t>
  </si>
  <si>
    <t>WORK</t>
  </si>
  <si>
    <t>ACTIVITY</t>
  </si>
  <si>
    <t>ON CADD</t>
  </si>
  <si>
    <t>PERCENT</t>
  </si>
  <si>
    <t xml:space="preserve">TOTALS </t>
  </si>
  <si>
    <t>Field Survey Estimate:</t>
  </si>
  <si>
    <t>TOTAL</t>
  </si>
  <si>
    <t>27. Survey (Field &amp; Office Support)</t>
  </si>
  <si>
    <t xml:space="preserve">Name of Consultant:  </t>
  </si>
  <si>
    <t>Survey - Field and Office Support</t>
  </si>
  <si>
    <t>Survey Field Crew Days</t>
  </si>
  <si>
    <t>Project Manager</t>
  </si>
  <si>
    <t>Staff Classification</t>
  </si>
  <si>
    <t>Total Staff Hours</t>
  </si>
  <si>
    <t>Total Staff Cost</t>
  </si>
  <si>
    <t>Staff Classi- fication 2</t>
  </si>
  <si>
    <t>Staff Classi- fication 3</t>
  </si>
  <si>
    <t>Staff Classi- fication 4</t>
  </si>
  <si>
    <t>Staff Classi- fication 5</t>
  </si>
  <si>
    <t>Staff Classi- fication 6</t>
  </si>
  <si>
    <t>Staff Classi- fication 7</t>
  </si>
  <si>
    <t>Staff Classi- fication 8</t>
  </si>
  <si>
    <t>Staff Classi- fication 9</t>
  </si>
  <si>
    <t>Staff Classi- fication 12</t>
  </si>
  <si>
    <t>Staff Classi- fication 10</t>
  </si>
  <si>
    <t>Staff Classi- fication 11</t>
  </si>
  <si>
    <t>Check =</t>
  </si>
  <si>
    <t>4. Roadway Analysis</t>
  </si>
  <si>
    <t>5. Roadway Plans</t>
  </si>
  <si>
    <t>7. Utilities</t>
  </si>
  <si>
    <t>11. Structures - Temporary Bridge</t>
  </si>
  <si>
    <t>16. Structures - Movable Span</t>
  </si>
  <si>
    <t>32. Noise Barriers Impact Design Assessment</t>
  </si>
  <si>
    <t>33. Intelligent Transportation Systems Analysis</t>
  </si>
  <si>
    <t>17. Structures - Retaining Walls</t>
  </si>
  <si>
    <t>18. Structures - Miscellaneous</t>
  </si>
  <si>
    <t>21. Signalization Analysis</t>
  </si>
  <si>
    <t>22. Signalization Plans</t>
  </si>
  <si>
    <t>23. Lighting Analysis</t>
  </si>
  <si>
    <t>24. Lighting Plans</t>
  </si>
  <si>
    <t>29. Mapping</t>
  </si>
  <si>
    <t>28. Photogrammetry</t>
  </si>
  <si>
    <t>31. Architecture Development</t>
  </si>
  <si>
    <t xml:space="preserve">Name of Project: </t>
  </si>
  <si>
    <t>54321</t>
  </si>
  <si>
    <t>insert name</t>
  </si>
  <si>
    <t>County:</t>
  </si>
  <si>
    <t>Post Design Services</t>
  </si>
  <si>
    <r>
      <t xml:space="preserve">In spreadsheet tab "Project Information" - add as much information as possible; </t>
    </r>
    <r>
      <rPr>
        <u/>
        <sz val="10"/>
        <rFont val="Arial"/>
        <family val="2"/>
      </rPr>
      <t>minimum data is FPID, Federal Aid No., Project Name, name of consultant and county name.</t>
    </r>
  </si>
  <si>
    <t>Total Project Manager Meetings</t>
  </si>
  <si>
    <t>2.  Do not double count agency meetings between permitting agencies.</t>
  </si>
  <si>
    <t>PM Attendance at Meeting Required?</t>
  </si>
  <si>
    <t>Number</t>
  </si>
  <si>
    <t>USFWS</t>
  </si>
  <si>
    <t>Meetings are listed below</t>
  </si>
  <si>
    <t>Other Structures</t>
  </si>
  <si>
    <t>Other Signing and Pavement Marking</t>
  </si>
  <si>
    <t>Carries to 21.15</t>
  </si>
  <si>
    <t>Other Geotechnical</t>
  </si>
  <si>
    <t>Meetings listed below</t>
  </si>
  <si>
    <t>3.6 - List of Project Manager Meetings</t>
  </si>
  <si>
    <t>Total Technical Meetings (sum of meetings above)</t>
  </si>
  <si>
    <t>In tab "Fee Sheet - Sub" - enter rates for employee classifications in row 9; subconsultants project number in cell O4; and name of estimator in cell O6.</t>
  </si>
  <si>
    <t>enter consultants proj. number</t>
  </si>
  <si>
    <t xml:space="preserve">OVERHEAD: </t>
  </si>
  <si>
    <t>OPERATING MARGIN:</t>
  </si>
  <si>
    <t>FCCM (Facilities Capital Cost Money):</t>
  </si>
  <si>
    <t xml:space="preserve">Subconsultant: </t>
  </si>
  <si>
    <t>Estimator:</t>
  </si>
  <si>
    <t xml:space="preserve">FPN:   </t>
  </si>
  <si>
    <t>FAP No.:</t>
  </si>
  <si>
    <t xml:space="preserve">Estimator: </t>
  </si>
  <si>
    <t>Master CADD File</t>
  </si>
  <si>
    <t>Salary</t>
  </si>
  <si>
    <t>Average</t>
  </si>
  <si>
    <t>Summary of Quantities - Aesthetic Requirements</t>
  </si>
  <si>
    <t>Fender System</t>
  </si>
  <si>
    <t>Fender System Access</t>
  </si>
  <si>
    <t>By</t>
  </si>
  <si>
    <t>Cost By</t>
  </si>
  <si>
    <t>Rate Per</t>
  </si>
  <si>
    <t>Notes:</t>
  </si>
  <si>
    <t>SALARY RELATED COSTS:</t>
  </si>
  <si>
    <t xml:space="preserve"> / day</t>
  </si>
  <si>
    <t>SUBTOTAL ESTIMATED FEE:</t>
  </si>
  <si>
    <t>Optional Services</t>
  </si>
  <si>
    <t>GRAND TOTAL ESTIMATED FEE:</t>
  </si>
  <si>
    <t>Survey Subtotal</t>
  </si>
  <si>
    <t>Make Utility Contacts</t>
  </si>
  <si>
    <t>High Mast Lighting</t>
  </si>
  <si>
    <t>Processing Utility Work by Highway Contractor (UWHC)</t>
  </si>
  <si>
    <t>Contract Plans to UAO(s)</t>
  </si>
  <si>
    <t>1</t>
  </si>
  <si>
    <t>Details</t>
  </si>
  <si>
    <t>Temporary Proprietary Walls</t>
  </si>
  <si>
    <t>Design</t>
  </si>
  <si>
    <t>EA Design</t>
  </si>
  <si>
    <t xml:space="preserve">General Notes </t>
  </si>
  <si>
    <t>Sections and Details</t>
  </si>
  <si>
    <t>EA ALT</t>
  </si>
  <si>
    <t>EA Type</t>
  </si>
  <si>
    <t>EA End Bent</t>
  </si>
  <si>
    <t>EA Analysis</t>
  </si>
  <si>
    <t xml:space="preserve">EA Design </t>
  </si>
  <si>
    <t>Per Beam</t>
  </si>
  <si>
    <t>Riser Diagram, Details, and Partial Plans</t>
  </si>
  <si>
    <t>Alternative Evaluation with FDOT</t>
  </si>
  <si>
    <t>Local Agency (cities, counties)</t>
  </si>
  <si>
    <t>Noise Barrier Evaluation</t>
  </si>
  <si>
    <t>Noise Barrier Impact Design Assessment in the Design Phase  Technical Subtotal</t>
  </si>
  <si>
    <t>Noise Barrier Impact Design Assessment in the Design Phase  Nontechnical Subtotal</t>
  </si>
  <si>
    <t>Structures - Summary and Miscellaneous Tasks and Drawings Subtotal</t>
  </si>
  <si>
    <t>Structures Nontechnical Subtotal</t>
  </si>
  <si>
    <t>10. Structures - Bridge Development Report Total</t>
  </si>
  <si>
    <t>Bascule Pier Dimensions - Detailing</t>
  </si>
  <si>
    <t>17. Structures - Retaining Walls Total</t>
  </si>
  <si>
    <t>Signing and Pavement Marking Analysis Nontechnical Subtotal</t>
  </si>
  <si>
    <t>Signalization Analysis Nontechnical Subtotal</t>
  </si>
  <si>
    <t>21. Signalization Analysis Total</t>
  </si>
  <si>
    <t>Lighting Analysis Nontechnical Subtotal</t>
  </si>
  <si>
    <t>Photogrammetry Nontechnical Subtotal</t>
  </si>
  <si>
    <t>Geotechnical Nontechnical Subtotal</t>
  </si>
  <si>
    <t>Mechanical Plans Technical Subtotal</t>
  </si>
  <si>
    <t>Plumbing Plans Technical Subtotal</t>
  </si>
  <si>
    <t>Fire Protection Plans Technical Subtotal</t>
  </si>
  <si>
    <t>Electrical Plans Technical Subtotal</t>
  </si>
  <si>
    <t>Intelligent Transportation Systems Analysis Technical Subtotal</t>
  </si>
  <si>
    <t>Intelligent Transportation Systems Analysis Nontechnical Subtotal</t>
  </si>
  <si>
    <t>33. Intelligent Transportation Systems Analysis Total</t>
  </si>
  <si>
    <t>Power Subsystem</t>
  </si>
  <si>
    <t>Existing ITS System</t>
  </si>
  <si>
    <t>Queue Analysis</t>
  </si>
  <si>
    <t>Reference and Master ITS Design File</t>
  </si>
  <si>
    <t>Reference and Master Communications Design File</t>
  </si>
  <si>
    <t>Other ITS Analyses</t>
  </si>
  <si>
    <t>Fiber Optic Splice Diagrams</t>
  </si>
  <si>
    <t>Lightning Protection Plans</t>
  </si>
  <si>
    <t>Other Retaining Walls and Bulkheads</t>
  </si>
  <si>
    <t>EA Extension</t>
  </si>
  <si>
    <t>Flight Operations</t>
  </si>
  <si>
    <t>Fixed Wing</t>
  </si>
  <si>
    <t>Rotary Wing</t>
  </si>
  <si>
    <t>Flight Crew only</t>
  </si>
  <si>
    <t>Ortho Generation</t>
  </si>
  <si>
    <t>Drainage Basin</t>
  </si>
  <si>
    <t>Miscellaneous</t>
  </si>
  <si>
    <t>Lidar</t>
  </si>
  <si>
    <t>Surfaces</t>
  </si>
  <si>
    <t>Digital Elevation Model</t>
  </si>
  <si>
    <t>Digital Terrain Model</t>
  </si>
  <si>
    <t>Topographics (3D)</t>
  </si>
  <si>
    <t>Enter in formula for CADD Edit</t>
  </si>
  <si>
    <t xml:space="preserve">Wall Plan and Elevations </t>
  </si>
  <si>
    <t>Concrete Box Culverts</t>
  </si>
  <si>
    <t>Concrete Box Culverts Extensions</t>
  </si>
  <si>
    <t>Steel Strain Poles</t>
  </si>
  <si>
    <t>Concrete Strain Poles</t>
  </si>
  <si>
    <t>Mast Arms</t>
  </si>
  <si>
    <t>Cantilever Sign Structures</t>
  </si>
  <si>
    <t>Overhead Span Sign Structures</t>
  </si>
  <si>
    <t>Monotube Overhead Sign Structure</t>
  </si>
  <si>
    <t>Bridge Mounted Signs (Attached to Superstr.)</t>
  </si>
  <si>
    <t>Control Drawings</t>
  </si>
  <si>
    <t>Aesthetic Details</t>
  </si>
  <si>
    <t>Special Structures</t>
  </si>
  <si>
    <t>Data Collection</t>
  </si>
  <si>
    <t>Site Inventory and Analysis</t>
  </si>
  <si>
    <t>Cost Estimates</t>
  </si>
  <si>
    <t xml:space="preserve">Final Report </t>
  </si>
  <si>
    <t>Preliminary Report - BDR</t>
  </si>
  <si>
    <t>Activity</t>
  </si>
  <si>
    <t>Activity No.</t>
  </si>
  <si>
    <t>Roadway Analysis</t>
  </si>
  <si>
    <t>Drainage Analysis</t>
  </si>
  <si>
    <t>Roadway Plans</t>
  </si>
  <si>
    <t>BDR</t>
  </si>
  <si>
    <t>Signalization Analysis</t>
  </si>
  <si>
    <t>Signalization Plans</t>
  </si>
  <si>
    <t>Lighting Analysis</t>
  </si>
  <si>
    <t>Lighting Plans</t>
  </si>
  <si>
    <t>Mapping</t>
  </si>
  <si>
    <t>Architecture</t>
  </si>
  <si>
    <t>Hours/ Unit</t>
  </si>
  <si>
    <t xml:space="preserve">Technical Meetings </t>
  </si>
  <si>
    <t>Wingwall Geometry and Design</t>
  </si>
  <si>
    <t>Pier Construction Loads</t>
  </si>
  <si>
    <t>Superimposed Dead Loads</t>
  </si>
  <si>
    <t>Transverse Analysis</t>
  </si>
  <si>
    <t>Superstructure Design</t>
  </si>
  <si>
    <t>Typical Segment</t>
  </si>
  <si>
    <t>Pier Segment</t>
  </si>
  <si>
    <t>Blister Details</t>
  </si>
  <si>
    <t>Deviator Blocks</t>
  </si>
  <si>
    <t>Bearings</t>
  </si>
  <si>
    <t>Special Analysis</t>
  </si>
  <si>
    <t>Typical Sections</t>
  </si>
  <si>
    <t>Typical Segments</t>
  </si>
  <si>
    <t xml:space="preserve">Variable Depth Segments </t>
  </si>
  <si>
    <t>Pier Segments</t>
  </si>
  <si>
    <t>Expansion Joint Segments</t>
  </si>
  <si>
    <t>CIP Closure Joint Details</t>
  </si>
  <si>
    <t>Casting Geometry</t>
  </si>
  <si>
    <t>Post-Tensioning Details</t>
  </si>
  <si>
    <t>Bulkhead Details</t>
  </si>
  <si>
    <t>Temporary Post-Tensioning</t>
  </si>
  <si>
    <t>Anchorage Blisters</t>
  </si>
  <si>
    <t>Deviation Blocks</t>
  </si>
  <si>
    <t>Erection Sequence and Details</t>
  </si>
  <si>
    <t>Access Opening Details</t>
  </si>
  <si>
    <t>Vermin Screen Details</t>
  </si>
  <si>
    <t>Railing Details</t>
  </si>
  <si>
    <t>Architectural Details</t>
  </si>
  <si>
    <t>Special Systems</t>
  </si>
  <si>
    <t>Final Design Bascule Pier</t>
  </si>
  <si>
    <t>Pier Deck</t>
  </si>
  <si>
    <t>Load Shoe Columns</t>
  </si>
  <si>
    <t>Trunnion Columns</t>
  </si>
  <si>
    <t>Foundations</t>
  </si>
  <si>
    <t>Footing</t>
  </si>
  <si>
    <t>Seal</t>
  </si>
  <si>
    <t>Bascule Pier Deck Elevations</t>
  </si>
  <si>
    <t>EA Pier</t>
  </si>
  <si>
    <t>Pier Plan Views</t>
  </si>
  <si>
    <t>Pier Elevation Views</t>
  </si>
  <si>
    <t>Pier Sections</t>
  </si>
  <si>
    <t>Bascule Pier Reinforcing Details</t>
  </si>
  <si>
    <t>Pier Reinforcing</t>
  </si>
  <si>
    <t>Bascule Pier Miscellaneous Details</t>
  </si>
  <si>
    <t>Pier Barrier Details</t>
  </si>
  <si>
    <t>Stair Details</t>
  </si>
  <si>
    <t>Handrail Details</t>
  </si>
  <si>
    <t>Pier Equipment</t>
  </si>
  <si>
    <t>Bascule Leaf Design</t>
  </si>
  <si>
    <t>Deck Design</t>
  </si>
  <si>
    <t>Sidewalk Design</t>
  </si>
  <si>
    <t>Stringer Design</t>
  </si>
  <si>
    <t>Typical Floorbeam Design</t>
  </si>
  <si>
    <t>End Floorbeam Design</t>
  </si>
  <si>
    <t>Deep Floorbeam Design</t>
  </si>
  <si>
    <t>Sidewalk Bracket Design</t>
  </si>
  <si>
    <t>Roadway Bracket Design</t>
  </si>
  <si>
    <t>Main Girder Influence Lines</t>
  </si>
  <si>
    <t>Main Girder Design</t>
  </si>
  <si>
    <t>Trunnion Girder Design</t>
  </si>
  <si>
    <t>Main Girder Camber Data</t>
  </si>
  <si>
    <t>Grand       Total</t>
  </si>
  <si>
    <t>Firm    Total</t>
  </si>
  <si>
    <t>Name of Prime / Subconsultant:</t>
  </si>
  <si>
    <t>Enter name of prime or subconsultant</t>
  </si>
  <si>
    <t>enter name of county</t>
  </si>
  <si>
    <t xml:space="preserve">Consultant Name:  </t>
  </si>
  <si>
    <t xml:space="preserve">Consultant No.:  </t>
  </si>
  <si>
    <t xml:space="preserve">Date:  </t>
  </si>
  <si>
    <t xml:space="preserve">Estimator:  </t>
  </si>
  <si>
    <t xml:space="preserve">Project Name:  </t>
  </si>
  <si>
    <t>Leaf Lateral Bracing Design</t>
  </si>
  <si>
    <t>Counterweight Design</t>
  </si>
  <si>
    <t>Live Load Shoe Design</t>
  </si>
  <si>
    <t>Barrier Design</t>
  </si>
  <si>
    <t>Deck Elevations</t>
  </si>
  <si>
    <t>Balance Calculations</t>
  </si>
  <si>
    <t>Bascule Leaf Detailing</t>
  </si>
  <si>
    <t>Bascule GP&amp;E</t>
  </si>
  <si>
    <t>Bascule Leaf Notes</t>
  </si>
  <si>
    <t>Girder Details</t>
  </si>
  <si>
    <t>Camber Layout</t>
  </si>
  <si>
    <t>Floor Beams</t>
  </si>
  <si>
    <t>Counterweight Girder/Box</t>
  </si>
  <si>
    <t>Trunnion Girder</t>
  </si>
  <si>
    <t>Cylinder Girder</t>
  </si>
  <si>
    <t>Lateral Bracing Details</t>
  </si>
  <si>
    <t>Counterweight Bracing Details</t>
  </si>
  <si>
    <t>Joint Details</t>
  </si>
  <si>
    <t>Traffic Barrier Details</t>
  </si>
  <si>
    <t>Pedestrian Rail and Support Details</t>
  </si>
  <si>
    <t>Curb and Sidewalk Details</t>
  </si>
  <si>
    <t>Counterweight Details</t>
  </si>
  <si>
    <t>Stress Table or Influence Lines</t>
  </si>
  <si>
    <t>Mechanical Design</t>
  </si>
  <si>
    <t>Final Power Requirements</t>
  </si>
  <si>
    <t>Trunnion Assembly</t>
  </si>
  <si>
    <t>Span Locks</t>
  </si>
  <si>
    <t>Sump Pumps</t>
  </si>
  <si>
    <t xml:space="preserve">Mechanical Drive Design </t>
  </si>
  <si>
    <t>Drive Shafts, Couplings, Keys, Bearings and Supports</t>
  </si>
  <si>
    <t>Rack &amp; Pinion, Bearings and Supports</t>
  </si>
  <si>
    <t>Drive Train</t>
  </si>
  <si>
    <t>Motor Brakes &amp; Machinery Brakes</t>
  </si>
  <si>
    <t>FDOT STAFF HOUR ESTIMATION</t>
  </si>
  <si>
    <t>Hydraulic Drive Design</t>
  </si>
  <si>
    <t>Hydraulic Drive</t>
  </si>
  <si>
    <t>Machinery Detailing</t>
  </si>
  <si>
    <t>Machinery Layout</t>
  </si>
  <si>
    <t>Machinery Elevation</t>
  </si>
  <si>
    <t>Machinery Section</t>
  </si>
  <si>
    <t>Drive Details</t>
  </si>
  <si>
    <t>Electrical Design</t>
  </si>
  <si>
    <t>Load Analysis</t>
  </si>
  <si>
    <t>Power Distribution</t>
  </si>
  <si>
    <t>Drive Equipment</t>
  </si>
  <si>
    <t>Bridge Controls</t>
  </si>
  <si>
    <t>Grounding</t>
  </si>
  <si>
    <t>Pier Lighting</t>
  </si>
  <si>
    <t>Electrical Detailing</t>
  </si>
  <si>
    <t>Electrical Symbols and Abbreviations</t>
  </si>
  <si>
    <t>Single/Three Line Diagram</t>
  </si>
  <si>
    <t>Panelboard and Light Fixture Schedules</t>
  </si>
  <si>
    <t>Wire and Conduit Schedules and Diagrams</t>
  </si>
  <si>
    <t>Control Desk/Panel Layout</t>
  </si>
  <si>
    <t>Control Schematics</t>
  </si>
  <si>
    <t>PLC Logic</t>
  </si>
  <si>
    <t>Communication System</t>
  </si>
  <si>
    <t>Enter project name &amp; description</t>
  </si>
  <si>
    <t>FDOT Traffic Operations</t>
  </si>
  <si>
    <t>FDOT Traffic Design</t>
  </si>
  <si>
    <t>FDOT Lighting Design</t>
  </si>
  <si>
    <t>Airport authority</t>
  </si>
  <si>
    <t>FDOT</t>
  </si>
  <si>
    <t>Local Governments (cities)</t>
  </si>
  <si>
    <t>Local Governments (counties)</t>
  </si>
  <si>
    <t>FDOT Drainage</t>
  </si>
  <si>
    <t>ROW &amp; Mapping</t>
  </si>
  <si>
    <t>FFWCC</t>
  </si>
  <si>
    <t>FDOT (kickoff, concept review)</t>
  </si>
  <si>
    <t>Complete the information in Steps 1 - 5 above.</t>
  </si>
  <si>
    <t>Requirements will vary by District.  A typical submittal would be the "Summary", "Staff Hour Summary -- Grand Total" and "Staff Hour Summary-Firm" completed by the prime consultant along with the "Staff Hour Summary - Firm" completed by each subconsultant.</t>
  </si>
  <si>
    <t>Complete the information in Steps 1 - 6 above.</t>
  </si>
  <si>
    <t>Add subconsultant staff hours to "CITS".</t>
  </si>
  <si>
    <t>Navigation Lighting Details</t>
  </si>
  <si>
    <t>Pedestrian Gate, Traffic Gate and Barrier Details</t>
  </si>
  <si>
    <t>Submarine Cable</t>
  </si>
  <si>
    <t>Control House</t>
  </si>
  <si>
    <t>Architectural Design</t>
  </si>
  <si>
    <t>Structural Design</t>
  </si>
  <si>
    <t>Structural Details</t>
  </si>
  <si>
    <t>HVAC/Plumbing Design</t>
  </si>
  <si>
    <t>Load Rating</t>
  </si>
  <si>
    <t>Progress Meetings (if required by FDOT)</t>
  </si>
  <si>
    <t>Railroads</t>
  </si>
  <si>
    <t>Horizontal Wall Geometry</t>
  </si>
  <si>
    <t>Per Wall</t>
  </si>
  <si>
    <t>Permanent Proprietary Walls</t>
  </si>
  <si>
    <t>Vertical Wall Geometry</t>
  </si>
  <si>
    <t>Semi-Standard Drawings</t>
  </si>
  <si>
    <t>Wall Plan and Elevations (Control Drawings)</t>
  </si>
  <si>
    <t>Bridge 1</t>
  </si>
  <si>
    <t>Bridge 2</t>
  </si>
  <si>
    <t>General Notes and Bid Item Notes</t>
  </si>
  <si>
    <t>Incorporate Report of Core Borings</t>
  </si>
  <si>
    <t>Existing Bridge Plans</t>
  </si>
  <si>
    <t>Temporary Bridge</t>
  </si>
  <si>
    <t>Movable Span</t>
  </si>
  <si>
    <t>Retaining Walls</t>
  </si>
  <si>
    <t>Miscellaneous Structures</t>
  </si>
  <si>
    <t>%</t>
  </si>
  <si>
    <t>Total</t>
  </si>
  <si>
    <t>Bridge Geometry</t>
  </si>
  <si>
    <t>Ship Impact Data Collection</t>
  </si>
  <si>
    <t>Ship Impact Criteria</t>
  </si>
  <si>
    <t>Superstructure Alternatives</t>
  </si>
  <si>
    <t>Foundation &amp; Substructure Alternatives</t>
  </si>
  <si>
    <t>Deep Foundations</t>
  </si>
  <si>
    <t>Aesthetics</t>
  </si>
  <si>
    <t>Constructibility Requirements</t>
  </si>
  <si>
    <t>Quantity and Cost Estimates</t>
  </si>
  <si>
    <t>Exhibits</t>
  </si>
  <si>
    <t>Report Preparation</t>
  </si>
  <si>
    <t>BDR Submittal Package</t>
  </si>
  <si>
    <t>Construction Staging</t>
  </si>
  <si>
    <t>General Layout Design and Plans</t>
  </si>
  <si>
    <t>Overall Bridge Final Geometry</t>
  </si>
  <si>
    <t>Expansion/Contraction Analysis</t>
  </si>
  <si>
    <t>General Plan and Elevation</t>
  </si>
  <si>
    <t>Approach Slab Plan and Details</t>
  </si>
  <si>
    <t>Miscellaneous Details</t>
  </si>
  <si>
    <t>End Bent Design and Plans</t>
  </si>
  <si>
    <t>End Bent Geometry</t>
  </si>
  <si>
    <t>End Bent Structural Design</t>
  </si>
  <si>
    <t>End Bent Plan and Elevation</t>
  </si>
  <si>
    <t>End Bent Details</t>
  </si>
  <si>
    <t>Intermediate Bent Design and Plans</t>
  </si>
  <si>
    <t>Bent Geometry</t>
  </si>
  <si>
    <t>Bent Stability Analysis</t>
  </si>
  <si>
    <t>Bent Structural Design</t>
  </si>
  <si>
    <t>Bent Plan and Elevation</t>
  </si>
  <si>
    <t>Bent Details</t>
  </si>
  <si>
    <t>Total Range</t>
  </si>
  <si>
    <t>PSM</t>
  </si>
  <si>
    <t>Data Compiler</t>
  </si>
  <si>
    <t>Map/Data Editor</t>
  </si>
  <si>
    <t>Ortho Analyst</t>
  </si>
  <si>
    <t>Lab Processor</t>
  </si>
  <si>
    <t>Flight Crew</t>
  </si>
  <si>
    <t xml:space="preserve">Frame </t>
  </si>
  <si>
    <t>Flight crew only</t>
  </si>
  <si>
    <t>Compiler only</t>
  </si>
  <si>
    <t>PSM only</t>
  </si>
  <si>
    <t>Complier only</t>
  </si>
  <si>
    <t>Mobilization</t>
  </si>
  <si>
    <t xml:space="preserve">Hour </t>
  </si>
  <si>
    <t xml:space="preserve">Mile </t>
  </si>
  <si>
    <t>Ortho Analyst only</t>
  </si>
  <si>
    <t>Lab Processor only</t>
  </si>
  <si>
    <t>Map/Data Editor only</t>
  </si>
  <si>
    <t>Foundation Layout</t>
  </si>
  <si>
    <t>Finish Grade Elevation Calculation</t>
  </si>
  <si>
    <t>Finish Grade Elevations</t>
  </si>
  <si>
    <t>Bridge Deck Design</t>
  </si>
  <si>
    <t>Prestressed Slab Unit Design</t>
  </si>
  <si>
    <t>Reinforcing Bar Lists</t>
  </si>
  <si>
    <t>Reinforcing Bar List</t>
  </si>
  <si>
    <t>Cast-in-Place Slab Bridges</t>
  </si>
  <si>
    <t>Superstructure Plan</t>
  </si>
  <si>
    <t>Superstructure Sections and Details</t>
  </si>
  <si>
    <t>Prestressed Slab Unit Bridges</t>
  </si>
  <si>
    <t>EA design</t>
  </si>
  <si>
    <t>Prestressed Slab Unit Layout</t>
  </si>
  <si>
    <t>Prestressed Slab Unit Details and Schedule</t>
  </si>
  <si>
    <t>Deck Topping Reinforcing Layout</t>
  </si>
  <si>
    <t>Wingwall Design and Geometry</t>
  </si>
  <si>
    <t>EA Bent</t>
  </si>
  <si>
    <t>EA bent</t>
  </si>
  <si>
    <t>Pier Design and Plans</t>
  </si>
  <si>
    <t>Pier Geometry</t>
  </si>
  <si>
    <t>EA pier</t>
  </si>
  <si>
    <t>Pier Stability Analysis</t>
  </si>
  <si>
    <t>Pier Structural Design</t>
  </si>
  <si>
    <t>Pier Plan and Elevation</t>
  </si>
  <si>
    <t>Pier Details</t>
  </si>
  <si>
    <t>Superstructure Deck Design and Plans</t>
  </si>
  <si>
    <t>Finish Grade Elevation (FGE) Calculation</t>
  </si>
  <si>
    <t>Utilities</t>
  </si>
  <si>
    <t>Short Span Concrete Bridge</t>
  </si>
  <si>
    <t>Medium Span Concrete Bridge</t>
  </si>
  <si>
    <t>Structural Steel  Bridge</t>
  </si>
  <si>
    <t>Segmental Concrete Bridge</t>
  </si>
  <si>
    <t>Signing &amp; Pavement Marking Analysis</t>
  </si>
  <si>
    <t>Signing &amp; Pavement Marking Plans</t>
  </si>
  <si>
    <t>Architecture Development</t>
  </si>
  <si>
    <t>Noise Barriers Impact Design Assessment</t>
  </si>
  <si>
    <t>ITS Analysis</t>
  </si>
  <si>
    <t>ITS Plans</t>
  </si>
  <si>
    <t>Structures - Summary, Misc. Tasks, Dwgs.</t>
  </si>
  <si>
    <t>Project Common and General Tasks</t>
  </si>
  <si>
    <t>10. Structures - Bridge Development Report</t>
  </si>
  <si>
    <t>12. Structures - Short Span Concrete Bridge</t>
  </si>
  <si>
    <t>13. Structures - Medium Span Concrete Bridge</t>
  </si>
  <si>
    <t>14. Structures - Structural Steel Bridge</t>
  </si>
  <si>
    <t>15. Structures - Segmental Concrete Bridge</t>
  </si>
  <si>
    <t>19. Signing &amp; Pavement Marking Analysis</t>
  </si>
  <si>
    <t>20. Signing &amp; Pavement Marking Plans</t>
  </si>
  <si>
    <t>Bridge Deck Reinforcing and Concrete Quantities</t>
  </si>
  <si>
    <t>Superstructure Section</t>
  </si>
  <si>
    <t>Preparation of Reinforcing Bar List</t>
  </si>
  <si>
    <t>Miscellaneous Superstructure Details</t>
  </si>
  <si>
    <t>Continuous Concrete Girder Design</t>
  </si>
  <si>
    <t>Longitudinal Analysis</t>
  </si>
  <si>
    <t>Section Properties</t>
  </si>
  <si>
    <t>Material Properties</t>
  </si>
  <si>
    <t>Construction Sequence</t>
  </si>
  <si>
    <t>Tendon Layouts</t>
  </si>
  <si>
    <t>Live Load Analysis</t>
  </si>
  <si>
    <t>Temperature Gradient</t>
  </si>
  <si>
    <t>Time Dependent Analysis</t>
  </si>
  <si>
    <t>Stress Summary</t>
  </si>
  <si>
    <t>Ultimate Moments</t>
  </si>
  <si>
    <t>Ultimate Shear</t>
  </si>
  <si>
    <t>Construction Loading</t>
  </si>
  <si>
    <t>Framing Plan</t>
  </si>
  <si>
    <t>Girder Elevation</t>
  </si>
  <si>
    <t>Structural Steel Details</t>
  </si>
  <si>
    <t>Splice Details</t>
  </si>
  <si>
    <t>Girder Deflections and Camber</t>
  </si>
  <si>
    <t>Simple Span Concrete Design</t>
  </si>
  <si>
    <t xml:space="preserve">Prestressed Beam </t>
  </si>
  <si>
    <t xml:space="preserve">Prestressed Beam Schedules </t>
  </si>
  <si>
    <t>Superstructure Plans</t>
  </si>
  <si>
    <t>Expansion Joints</t>
  </si>
  <si>
    <t>Miscellaneous Bridge Deck Details</t>
  </si>
  <si>
    <t>Structural Steel Plate Girder Design</t>
  </si>
  <si>
    <t>Unit Modeling</t>
  </si>
  <si>
    <t>Section Design</t>
  </si>
  <si>
    <t>Stiffener Design and Locations</t>
  </si>
  <si>
    <t>Connections</t>
  </si>
  <si>
    <t>Splice Design</t>
  </si>
  <si>
    <t>Shear Stud Connectors</t>
  </si>
  <si>
    <t>Deflection Analysis</t>
  </si>
  <si>
    <t>Structural Steel Box Girder Design</t>
  </si>
  <si>
    <t>Final Bridge Geometry</t>
  </si>
  <si>
    <t>Casting Geometry Calculation</t>
  </si>
  <si>
    <t>Finish Grade Geometry Calculation</t>
  </si>
  <si>
    <t>Construction Schedule</t>
  </si>
  <si>
    <t>Overhead Street Name Sign Design</t>
  </si>
  <si>
    <t>Pole Elevation Analysis</t>
  </si>
  <si>
    <t>Design Documentation</t>
  </si>
  <si>
    <t>Traffic Signal Operation Report</t>
  </si>
  <si>
    <t>Phase Reviews</t>
  </si>
  <si>
    <t>Hour / Unit</t>
  </si>
  <si>
    <t>Lightning and Surge Suppression</t>
  </si>
  <si>
    <t>Electrical Plan and Elevation</t>
  </si>
  <si>
    <t>Cast-in-Place Retaining Walls</t>
  </si>
  <si>
    <t xml:space="preserve">General Notes, Tables and Misc. Details </t>
  </si>
  <si>
    <t>18. Structures - Miscellaneous Total</t>
  </si>
  <si>
    <t>Overhead/Cantilever Sign Structures</t>
  </si>
  <si>
    <t>Signing and Pavement Marking Analysis Technical Subtotal</t>
  </si>
  <si>
    <t>19. Signing and Pavement Marking Analysis Total</t>
  </si>
  <si>
    <t>Multi-Post Sign Support Calculations</t>
  </si>
  <si>
    <t>Sign Panel Design</t>
  </si>
  <si>
    <t>Queue Length Analysis</t>
  </si>
  <si>
    <t>Power Company (service point coordination)</t>
  </si>
  <si>
    <t>Maintaining Agency (cities, counties)</t>
  </si>
  <si>
    <t>Other Signalization Analysis</t>
  </si>
  <si>
    <t>FDEP Lighting (coast areas)</t>
  </si>
  <si>
    <t>FDEP Coordination and Report</t>
  </si>
  <si>
    <t>Other Lighting Analysis</t>
  </si>
  <si>
    <t>Pole Data, Legend and Criteria</t>
  </si>
  <si>
    <t>Utility Owners</t>
  </si>
  <si>
    <t>Local Agency for Tree Removal</t>
  </si>
  <si>
    <t>Local Citizen Group(s)</t>
  </si>
  <si>
    <t>Outdoor Advertising</t>
  </si>
  <si>
    <t>Permits</t>
  </si>
  <si>
    <t>Only if LBR tests are required</t>
  </si>
  <si>
    <t>Railroad, Transit, and/or Airport Coordination</t>
  </si>
  <si>
    <t>Pavement Type Selection Report</t>
  </si>
  <si>
    <t xml:space="preserve">Field Work </t>
  </si>
  <si>
    <t>Pond Site Alternatives</t>
  </si>
  <si>
    <t>Species Surveys</t>
  </si>
  <si>
    <t>Complete and Submit All Required Wetland Permit Applications</t>
  </si>
  <si>
    <t>Complete and Submit All Required Species Permit Applications</t>
  </si>
  <si>
    <t>NEPA or SEIR Reevaluation</t>
  </si>
  <si>
    <t>Wetland Impact Analysis</t>
  </si>
  <si>
    <t>Contamination Impact Analysis</t>
  </si>
  <si>
    <t>Asbestos Survey</t>
  </si>
  <si>
    <t>NMFS</t>
  </si>
  <si>
    <t>Load Rating for damaged/widened structures</t>
  </si>
  <si>
    <t>When ONLY 30% plans are final deliverable, use Task Nos. as shown for applicable bridge types for project Activities 12 thru 16.  Staffhours to be negotiated and scaled appropriately.</t>
  </si>
  <si>
    <t>Beam Stability</t>
  </si>
  <si>
    <t>Beam/girder stability</t>
  </si>
  <si>
    <t>Bearing pad and bearing plate design</t>
  </si>
  <si>
    <t>Type/
Span</t>
  </si>
  <si>
    <t>Bearing pad and bearing plate details</t>
  </si>
  <si>
    <t>Bearing</t>
  </si>
  <si>
    <t>Erection Scheme</t>
  </si>
  <si>
    <t>Erection scheme analysis</t>
  </si>
  <si>
    <t>EA
Critical
Stage</t>
  </si>
  <si>
    <t>Erection scheme</t>
  </si>
  <si>
    <t>Text
Pages</t>
  </si>
  <si>
    <t>Stair Section, Enlarged Stair Plan and Details</t>
  </si>
  <si>
    <t>31.34.1</t>
  </si>
  <si>
    <t>31.34.2</t>
  </si>
  <si>
    <t>31.34.3</t>
  </si>
  <si>
    <t>31.34.4</t>
  </si>
  <si>
    <t>31.34.5</t>
  </si>
  <si>
    <t>31.34.6</t>
  </si>
  <si>
    <t>31.34.7</t>
  </si>
  <si>
    <t>31.64.1</t>
  </si>
  <si>
    <t>31.64.2</t>
  </si>
  <si>
    <t>31.64.3</t>
  </si>
  <si>
    <t>31.64.4</t>
  </si>
  <si>
    <t>31.64.5</t>
  </si>
  <si>
    <t>31.64.6</t>
  </si>
  <si>
    <t>31.64.7</t>
  </si>
  <si>
    <t>31.83.1</t>
  </si>
  <si>
    <t>31.83.2</t>
  </si>
  <si>
    <t>31.83.3</t>
  </si>
  <si>
    <t>31.83.4</t>
  </si>
  <si>
    <t>31.83.5</t>
  </si>
  <si>
    <t>31.83.6</t>
  </si>
  <si>
    <t>31.83.7</t>
  </si>
  <si>
    <t>31.98.1</t>
  </si>
  <si>
    <t>31.98.2</t>
  </si>
  <si>
    <t>31.98.3</t>
  </si>
  <si>
    <t>31.98.4</t>
  </si>
  <si>
    <t>31.98.5</t>
  </si>
  <si>
    <t>31.98.6</t>
  </si>
  <si>
    <t>31.98.7</t>
  </si>
  <si>
    <t>31.111.1</t>
  </si>
  <si>
    <t>31.111.2</t>
  </si>
  <si>
    <t>31.111.3</t>
  </si>
  <si>
    <t>31.111.4</t>
  </si>
  <si>
    <t>31.111.5</t>
  </si>
  <si>
    <t>31.111.6</t>
  </si>
  <si>
    <t>31.111.7</t>
  </si>
  <si>
    <t>31.137.1</t>
  </si>
  <si>
    <t>31.137.2</t>
  </si>
  <si>
    <t>31.137.3</t>
  </si>
  <si>
    <t>31.137.4</t>
  </si>
  <si>
    <t>31.137.5</t>
  </si>
  <si>
    <t>31.137.6</t>
  </si>
  <si>
    <t>31.137.7</t>
  </si>
  <si>
    <t>Building Information Modeling (BIM)</t>
  </si>
  <si>
    <t>Project</t>
  </si>
  <si>
    <t>- -</t>
  </si>
  <si>
    <t>Using AutoCad Revit or a similar program for the production of construction documents does not cost the Client/Owner any additional design fee. However, the proportion of the fee is more front loaded because of the design process. The creation of the 3D model is part of the design and must be converted into 2D to print the construction documents. The additional use of the Virtual 3D model can provide additional advantages and services, but at an additional cost. Another very useful feature is the user's ability to visualize the spaces in 3D early on as part of the approval process.</t>
  </si>
  <si>
    <t>8.14.4</t>
  </si>
  <si>
    <t>Noise Barrier Walls (Ground Mount)</t>
  </si>
  <si>
    <t>35. Geotechnical</t>
  </si>
  <si>
    <t>Senior LiDAR Technician</t>
  </si>
  <si>
    <t>LiDAR Technician</t>
  </si>
  <si>
    <t>LiDAR Operator</t>
  </si>
  <si>
    <t>Field Technician</t>
  </si>
  <si>
    <t>Terrestrial Mobile LiDAR Mission Planning</t>
  </si>
  <si>
    <t>Scan Miles</t>
  </si>
  <si>
    <t>PSM Only</t>
  </si>
  <si>
    <t>Sr. LiDAR Tech Only</t>
  </si>
  <si>
    <t>LiDAR Technician Only</t>
  </si>
  <si>
    <t>Project Control Point Coordination</t>
  </si>
  <si>
    <t>Terrestrial Mobile LiDAR Mobilization</t>
  </si>
  <si>
    <t>Personnel</t>
  </si>
  <si>
    <t>LiDAR Operator Only</t>
  </si>
  <si>
    <t>Field Technician Only</t>
  </si>
  <si>
    <t>Terrestrial Mobile LiDAR Mission</t>
  </si>
  <si>
    <t>LiDAR Sensor Operator</t>
  </si>
  <si>
    <t xml:space="preserve">Number of Field Technician(s) = </t>
  </si>
  <si>
    <t>1-Technician  to drive vehicle , 1-base station</t>
  </si>
  <si>
    <t>Terrestrial Mobile LiDAR Processing</t>
  </si>
  <si>
    <t>Terrestrial Mobile Photography Processing</t>
  </si>
  <si>
    <t>Transformation / Adjustment</t>
  </si>
  <si>
    <t>Classification / Editing</t>
  </si>
  <si>
    <t>Corridor Miles</t>
  </si>
  <si>
    <t>Specific Surface Reporting</t>
  </si>
  <si>
    <t>Topographic (3D) Mapping</t>
  </si>
  <si>
    <t>Topographic (2D) Planimetric Mapping</t>
  </si>
  <si>
    <t>CADD Edits</t>
  </si>
  <si>
    <t>Survey Report</t>
  </si>
  <si>
    <t>LiDAR Tech Only</t>
  </si>
  <si>
    <t>Quality Assurance / Quality Control</t>
  </si>
  <si>
    <t xml:space="preserve">* The low end of the range is for rural 2-lane; medium range is for typical Multi-Lane; the high end of the range is for urban/interstate. </t>
  </si>
  <si>
    <t>Terrestrial Mobile LiDAR Mapping Submittal Review</t>
  </si>
  <si>
    <t>Carries to 30.16</t>
  </si>
  <si>
    <t>Terrestrial Mobile LiDAR</t>
  </si>
  <si>
    <t>30. Terrestrial Mobile LiDAR</t>
  </si>
  <si>
    <t>See Basis for reducing by 35.35</t>
  </si>
  <si>
    <t>Duplication of Structural Effort?</t>
  </si>
  <si>
    <t>Duplication of Roadway Effort?</t>
  </si>
  <si>
    <t>Duplication of Drainage Effort?</t>
  </si>
  <si>
    <t xml:space="preserve">Review Utility Markups &amp; Work Schedules, and Processing of Schedules &amp; Agreements    </t>
  </si>
  <si>
    <t>Design Variations:</t>
  </si>
  <si>
    <t>Design Exceptions:</t>
  </si>
  <si>
    <t>months/days</t>
  </si>
  <si>
    <t>Risk Assessment Workshop</t>
  </si>
  <si>
    <t>Typical Section Sheets</t>
  </si>
  <si>
    <t>Diaphragm Design</t>
  </si>
  <si>
    <t>In tab "Summary" - enter name of firm in cell C4.</t>
  </si>
  <si>
    <t>In tab "Summary" - enter name of prime firm in cell C4.  Add names of subconsultants.  Add hours from each subconsultant in respective disciplines.</t>
  </si>
  <si>
    <r>
      <t xml:space="preserve">1.  This worksheet provides the distribution of a </t>
    </r>
    <r>
      <rPr>
        <u/>
        <sz val="14"/>
        <color indexed="8"/>
        <rFont val="Arial"/>
        <family val="2"/>
      </rPr>
      <t>firm's total</t>
    </r>
    <r>
      <rPr>
        <sz val="14"/>
        <color indexed="8"/>
        <rFont val="Arial"/>
        <family val="2"/>
      </rPr>
      <t xml:space="preserve"> staff hours for a project.  </t>
    </r>
  </si>
  <si>
    <t>5.  This spreadsheet to be provided in Technical Proposals for Districts that require a breakdown of hours by classification.</t>
  </si>
  <si>
    <r>
      <t xml:space="preserve">1.  This worksheet provides the distribution of the </t>
    </r>
    <r>
      <rPr>
        <u/>
        <sz val="14"/>
        <color indexed="8"/>
        <rFont val="Arial"/>
        <family val="2"/>
      </rPr>
      <t>grand total</t>
    </r>
    <r>
      <rPr>
        <sz val="14"/>
        <color indexed="8"/>
        <rFont val="Arial"/>
        <family val="2"/>
      </rPr>
      <t xml:space="preserve"> staff hours for a project.  </t>
    </r>
  </si>
  <si>
    <t>Other Agency Meetings</t>
  </si>
  <si>
    <t>Drainage Map (Including Interchanges)</t>
  </si>
  <si>
    <t>Exception Processing</t>
  </si>
  <si>
    <t>Key Sheet and Index of Drawings</t>
  </si>
  <si>
    <t>Shallow Foundations / GRS Abutments</t>
  </si>
  <si>
    <t>EA Foundation Evaluated</t>
  </si>
  <si>
    <t>HVAC/Plumbing/Electrical Cables</t>
  </si>
  <si>
    <t>Non-Standard High Mast Lighting Structures</t>
  </si>
  <si>
    <r>
      <t>Design of Noise Barrier Walls Covered by Standards</t>
    </r>
    <r>
      <rPr>
        <sz val="10"/>
        <rFont val="Symbol"/>
        <family val="1"/>
        <charset val="2"/>
      </rPr>
      <t/>
    </r>
  </si>
  <si>
    <t>Design of Noise Barrier Walls Not Covered by Standards</t>
  </si>
  <si>
    <t>Carries to 19.12</t>
  </si>
  <si>
    <t>Room Finish Schedule or Finish Plan</t>
  </si>
  <si>
    <t>Door and Window Schedule</t>
  </si>
  <si>
    <t>Carries to 33.18</t>
  </si>
  <si>
    <t>35. Geotechnical Total</t>
  </si>
  <si>
    <t>Lower End of Range Projects</t>
  </si>
  <si>
    <t>Middle of Range Projects</t>
  </si>
  <si>
    <t>Upper End of Range</t>
  </si>
  <si>
    <t>(Urban / Rural / Int.)</t>
  </si>
  <si>
    <t>(NHS/FIHS/Off Sys.)</t>
  </si>
  <si>
    <t>Date of Negotiation:</t>
  </si>
  <si>
    <t>Project Activity:</t>
  </si>
  <si>
    <t>Estimated By:</t>
  </si>
  <si>
    <t>Negotiated By: (name - firm)</t>
  </si>
  <si>
    <t>Consultant</t>
  </si>
  <si>
    <t>3. Project Common &amp; Project General Tasks</t>
  </si>
  <si>
    <t>Enter name &amp; firm</t>
  </si>
  <si>
    <t>Enter name &amp; office</t>
  </si>
  <si>
    <t>9. Structures Summary</t>
  </si>
  <si>
    <t>12. Structures - Short Span Concrete</t>
  </si>
  <si>
    <t>13. Structures - Medium Span Concrete</t>
  </si>
  <si>
    <t>14. Structures - Structural Steel</t>
  </si>
  <si>
    <t>15. Structures - Segmental Concrete</t>
  </si>
  <si>
    <t>19. Signing and Pavement Marking Analysis</t>
  </si>
  <si>
    <t>20. Signing and Pavement Marking Plans</t>
  </si>
  <si>
    <t>27. Survey</t>
  </si>
  <si>
    <t>Total PM Meeting Hours carries to Task 3.6 above</t>
  </si>
  <si>
    <t>UTILITY GUIDELINES</t>
  </si>
  <si>
    <t>The staff hour ranges presented in this section represent the work effort that might be expected for individual tasks on typical roadway projects, ranging from a standard 2-lane rural resurfacing project (lower end of range) to a complicated urban reconstruction project  (upper end of range). The ranges represent neither the minimum nor maximum hours that might be negotiated on a project for individual utility tasks. Hours below or above the presented ranges may be applicable based on the constraints or requirements that are specific to the individual project. Specific aspects of each individual project should be considered in negotiating hours for each individual task.  Whenever possible, examples of individual tasks will be included to provide guidance in determining what types of effort are associated with each individual task.</t>
  </si>
  <si>
    <t>Any Verified Vertical Elevation and Horizontal Locaiton (Vvh; SUE) information is addressed in the Survey activity.</t>
  </si>
  <si>
    <t>The following are general examples of the types of projects which would contain work effort from below the staff hour ranges contained in this handbook to above the ranges. This list is not inclusive, or always exact, but will provide the basis for beginning estimation and negotiation of staff hours for a project.</t>
  </si>
  <si>
    <t>Low Range Projects</t>
  </si>
  <si>
    <r>
      <t>·</t>
    </r>
    <r>
      <rPr>
        <sz val="10"/>
        <rFont val="Arial"/>
        <family val="2"/>
      </rPr>
      <t>  Rural 2-lane resurfacing (with no 3R improvements).</t>
    </r>
  </si>
  <si>
    <r>
      <t>·</t>
    </r>
    <r>
      <rPr>
        <sz val="10"/>
        <rFont val="Arial"/>
        <family val="2"/>
      </rPr>
      <t>  Sidewalk project with no utility involvement.</t>
    </r>
  </si>
  <si>
    <r>
      <t>·</t>
    </r>
    <r>
      <rPr>
        <sz val="10"/>
        <rFont val="Arial"/>
        <family val="2"/>
      </rPr>
      <t>  Minor bridge repair projects (painting or caulking) with no utility involvement.</t>
    </r>
  </si>
  <si>
    <r>
      <t>·</t>
    </r>
    <r>
      <rPr>
        <sz val="10"/>
        <rFont val="Arial"/>
        <family val="2"/>
      </rPr>
      <t>  Multi-lane limited access resurfacing (no interchange involvement).</t>
    </r>
  </si>
  <si>
    <r>
      <t>·</t>
    </r>
    <r>
      <rPr>
        <sz val="10"/>
        <rFont val="Arial"/>
        <family val="2"/>
      </rPr>
      <t>  Rural 3R (minor safety improvements)</t>
    </r>
  </si>
  <si>
    <r>
      <t>·</t>
    </r>
    <r>
      <rPr>
        <sz val="10"/>
        <rFont val="Arial"/>
        <family val="2"/>
      </rPr>
      <t>  Rural Signalization</t>
    </r>
  </si>
  <si>
    <r>
      <t>·</t>
    </r>
    <r>
      <rPr>
        <sz val="10"/>
        <rFont val="Arial"/>
        <family val="2"/>
      </rPr>
      <t>  Multi-lane limited access resurfacing (safety, earthwork, and minor intersection involvement).</t>
    </r>
  </si>
  <si>
    <r>
      <t>·</t>
    </r>
    <r>
      <rPr>
        <sz val="10"/>
        <rFont val="Arial"/>
        <family val="2"/>
      </rPr>
      <t>  Intersection improvements without lane additions or signalization</t>
    </r>
  </si>
  <si>
    <r>
      <t>·</t>
    </r>
    <r>
      <rPr>
        <sz val="10"/>
        <rFont val="Arial"/>
        <family val="2"/>
      </rPr>
      <t>  Rural 3R (major safety, minor earthwork, realigning ditches).</t>
    </r>
  </si>
  <si>
    <r>
      <t>·</t>
    </r>
    <r>
      <rPr>
        <sz val="10"/>
        <rFont val="Arial"/>
        <family val="2"/>
      </rPr>
      <t>  Urban 3R (safety, no change to profile grade line, utility exception granted).</t>
    </r>
  </si>
  <si>
    <r>
      <t>·</t>
    </r>
    <r>
      <rPr>
        <sz val="10"/>
        <rFont val="Arial"/>
        <family val="2"/>
      </rPr>
      <t>  Highway lighting (FDOT Installed).</t>
    </r>
  </si>
  <si>
    <r>
      <t>·</t>
    </r>
    <r>
      <rPr>
        <sz val="10"/>
        <rFont val="Arial"/>
        <family val="2"/>
      </rPr>
      <t>  Rural widening/resurfacing (minor ROW and earthwork).</t>
    </r>
  </si>
  <si>
    <r>
      <t>·</t>
    </r>
    <r>
      <rPr>
        <sz val="10"/>
        <rFont val="Arial"/>
        <family val="2"/>
      </rPr>
      <t>  Urban Signalization with utility impact.</t>
    </r>
  </si>
  <si>
    <r>
      <t>·</t>
    </r>
    <r>
      <rPr>
        <sz val="10"/>
        <rFont val="Arial"/>
        <family val="2"/>
      </rPr>
      <t>  Intersection improvements with lane additions and signalization.</t>
    </r>
  </si>
  <si>
    <r>
      <t>·</t>
    </r>
    <r>
      <rPr>
        <sz val="10"/>
        <rFont val="Arial"/>
        <family val="2"/>
      </rPr>
      <t>  Urban 3R (major safety, extensive above ground feature relocation).</t>
    </r>
  </si>
  <si>
    <r>
      <t>·</t>
    </r>
    <r>
      <rPr>
        <sz val="10"/>
        <rFont val="Arial"/>
        <family val="2"/>
      </rPr>
      <t>  Rural 2-lane new construction (new alignment, ROW, and earthwork).</t>
    </r>
  </si>
  <si>
    <r>
      <t>·</t>
    </r>
    <r>
      <rPr>
        <sz val="10"/>
        <rFont val="Arial"/>
        <family val="2"/>
      </rPr>
      <t>  Rural 2-lane to urban multi-lane reconstruction (ROW and intersection involvement).</t>
    </r>
  </si>
  <si>
    <r>
      <t>·</t>
    </r>
    <r>
      <rPr>
        <sz val="10"/>
        <rFont val="Arial"/>
        <family val="2"/>
      </rPr>
      <t>  Rural or urban 4-lane to 6-lane widening/resurfacing (widening in median, minor ROW, earthwork, and intersection involvement).</t>
    </r>
  </si>
  <si>
    <r>
      <t>·</t>
    </r>
    <r>
      <rPr>
        <sz val="10"/>
        <rFont val="Arial"/>
        <family val="2"/>
      </rPr>
      <t>  Urban Multi-intersection Signalization with utility impact.</t>
    </r>
  </si>
  <si>
    <r>
      <t>·</t>
    </r>
    <r>
      <rPr>
        <sz val="10"/>
        <rFont val="Arial"/>
        <family val="2"/>
      </rPr>
      <t>  Rural multi-lane new construction (new alignment, ROW, earthwork and intersection involvement).</t>
    </r>
  </si>
  <si>
    <r>
      <t>·</t>
    </r>
    <r>
      <rPr>
        <sz val="10"/>
        <rFont val="Arial"/>
        <family val="2"/>
      </rPr>
      <t>  Rural 2-lane to 4-lane (major ROW and earthwork).</t>
    </r>
  </si>
  <si>
    <r>
      <t>·</t>
    </r>
    <r>
      <rPr>
        <sz val="10"/>
        <rFont val="Arial"/>
        <family val="2"/>
      </rPr>
      <t>  Multi-lane limited access reconstruction (ROW and interchange involvement).</t>
    </r>
  </si>
  <si>
    <r>
      <t>·</t>
    </r>
    <r>
      <rPr>
        <sz val="10"/>
        <rFont val="Arial"/>
        <family val="2"/>
      </rPr>
      <t>  Multi-lane rural limited access new construction (new alignment, ROW and interchange construction).</t>
    </r>
  </si>
  <si>
    <r>
      <t>·</t>
    </r>
    <r>
      <rPr>
        <sz val="10"/>
        <rFont val="Arial"/>
        <family val="2"/>
      </rPr>
      <t>  Urban multi-lane new construction (new alignment, ROW and intersection construction).</t>
    </r>
  </si>
  <si>
    <r>
      <t>·</t>
    </r>
    <r>
      <rPr>
        <sz val="10"/>
        <rFont val="Arial"/>
        <family val="2"/>
      </rPr>
      <t>  Multi-lane limited access, urban reconstruction or new alignment with major interchange involvement (major ROW and interchange</t>
    </r>
  </si>
  <si>
    <t>construction, major access management impacts).</t>
  </si>
  <si>
    <r>
      <t>·</t>
    </r>
    <r>
      <rPr>
        <sz val="10"/>
        <rFont val="Arial"/>
        <family val="2"/>
      </rPr>
      <t>  Multi-lane Urban limited access new construction (new alignment, major ROW and, major interchange involvement).</t>
    </r>
  </si>
  <si>
    <r>
      <t>Typical Low-Range Project</t>
    </r>
    <r>
      <rPr>
        <sz val="10"/>
        <rFont val="Arial"/>
        <family val="2"/>
      </rPr>
      <t>- A low-range project will typically not include additional travel lanes, but may include minor wetland or surface water impacts not requiring mitigation.  Low-range projects do not typically require authorization for use of Sovereign Submerged Lands and have no involvement with Threatened or Endangered Species.  Examples of typical low-range projects may include permitting for:</t>
    </r>
  </si>
  <si>
    <r>
      <t>·</t>
    </r>
    <r>
      <rPr>
        <sz val="10"/>
        <rFont val="Arial"/>
        <family val="2"/>
      </rPr>
      <t>  Minor intersection improvements</t>
    </r>
  </si>
  <si>
    <r>
      <t>·</t>
    </r>
    <r>
      <rPr>
        <sz val="10"/>
        <rFont val="Arial"/>
        <family val="2"/>
      </rPr>
      <t>  Culvert extensions</t>
    </r>
  </si>
  <si>
    <r>
      <t>·</t>
    </r>
    <r>
      <rPr>
        <sz val="10"/>
        <rFont val="Arial"/>
        <family val="2"/>
      </rPr>
      <t>  Bridge replacement (in-kind or rehabilitation)</t>
    </r>
  </si>
  <si>
    <r>
      <t>·</t>
    </r>
    <r>
      <rPr>
        <sz val="10"/>
        <rFont val="Arial"/>
        <family val="2"/>
      </rPr>
      <t>  Shoulder widening</t>
    </r>
  </si>
  <si>
    <r>
      <t>·</t>
    </r>
    <r>
      <rPr>
        <sz val="10"/>
        <rFont val="Arial"/>
        <family val="2"/>
      </rPr>
      <t xml:space="preserve">  Rehabilitation, Resurfacing, and Restoration  </t>
    </r>
  </si>
  <si>
    <r>
      <t>·</t>
    </r>
    <r>
      <rPr>
        <sz val="10"/>
        <rFont val="Arial"/>
        <family val="2"/>
      </rPr>
      <t xml:space="preserve">  Sidewalks    </t>
    </r>
  </si>
  <si>
    <t>Permits may be issued from the following agencies:</t>
  </si>
  <si>
    <r>
      <t>·</t>
    </r>
    <r>
      <rPr>
        <sz val="10"/>
        <rFont val="Arial"/>
        <family val="2"/>
      </rPr>
      <t>  USCG (Advanced Approval)</t>
    </r>
  </si>
  <si>
    <r>
      <t>·</t>
    </r>
    <r>
      <rPr>
        <sz val="10"/>
        <rFont val="Arial"/>
        <family val="2"/>
      </rPr>
      <t>  Local Government</t>
    </r>
  </si>
  <si>
    <r>
      <t>·</t>
    </r>
    <r>
      <rPr>
        <sz val="10"/>
        <rFont val="Arial"/>
        <family val="2"/>
      </rPr>
      <t>  Multi-lane reconstruction</t>
    </r>
  </si>
  <si>
    <r>
      <t>·</t>
    </r>
    <r>
      <rPr>
        <sz val="10"/>
        <rFont val="Arial"/>
        <family val="2"/>
      </rPr>
      <t>  Add lane and resurfacing</t>
    </r>
  </si>
  <si>
    <r>
      <t>·</t>
    </r>
    <r>
      <rPr>
        <sz val="10"/>
        <rFont val="Arial"/>
        <family val="2"/>
      </rPr>
      <t>  Bridge widening or replacement (not in-kind)</t>
    </r>
  </si>
  <si>
    <r>
      <t>·</t>
    </r>
    <r>
      <rPr>
        <sz val="10"/>
        <rFont val="Arial"/>
        <family val="2"/>
      </rPr>
      <t>  Minor activities within Water Management District or local drainage district lands</t>
    </r>
  </si>
  <si>
    <r>
      <t>· </t>
    </r>
    <r>
      <rPr>
        <sz val="10"/>
        <rFont val="Arial"/>
        <family val="2"/>
      </rPr>
      <t> WMD Right of Way Occupancy Permit</t>
    </r>
  </si>
  <si>
    <r>
      <t>·</t>
    </r>
    <r>
      <rPr>
        <sz val="10"/>
        <rFont val="Arial"/>
        <family val="2"/>
      </rPr>
      <t>  USCG (bridge permit issued by USCG District)</t>
    </r>
  </si>
  <si>
    <t xml:space="preserve">   ·  FDEP Class V deep well permit</t>
  </si>
  <si>
    <r>
      <t>·</t>
    </r>
    <r>
      <rPr>
        <sz val="10"/>
        <rFont val="Arial"/>
        <family val="2"/>
      </rPr>
      <t>  New road construction</t>
    </r>
  </si>
  <si>
    <r>
      <t>·</t>
    </r>
    <r>
      <rPr>
        <sz val="10"/>
        <rFont val="Arial"/>
        <family val="2"/>
      </rPr>
      <t>  New bridge construction</t>
    </r>
  </si>
  <si>
    <r>
      <t>·</t>
    </r>
    <r>
      <rPr>
        <sz val="10"/>
        <rFont val="Arial"/>
        <family val="2"/>
      </rPr>
      <t>  Adding lanes and resurfacing</t>
    </r>
  </si>
  <si>
    <r>
      <t>·</t>
    </r>
    <r>
      <rPr>
        <sz val="10"/>
        <rFont val="Arial"/>
        <family val="2"/>
      </rPr>
      <t>  Major activities waterward of the CCCL</t>
    </r>
  </si>
  <si>
    <t>·  WMD Right of Way Occupancy Permit</t>
  </si>
  <si>
    <r>
      <t>·</t>
    </r>
    <r>
      <rPr>
        <sz val="10"/>
        <rFont val="Arial"/>
        <family val="2"/>
      </rPr>
      <t>  USCG (bridge permit issued by USCG Headquarters, Washington, D.C.)</t>
    </r>
  </si>
  <si>
    <t>·  Local Government</t>
  </si>
  <si>
    <t>STRUCTURES GUIDELINES</t>
  </si>
  <si>
    <t xml:space="preserve">The staff hour workbook for structural design efforts, the staff hour worksheets, and the typical ranges and descriptions of each task were developed by a committee consisting of individuals from the FDOT and the consulting industry.  </t>
  </si>
  <si>
    <t>It is intended that individuals negotiating work efforts for both the FDOT and the Consultant be experienced structural engineers knowledgeable of the work effort to complete each task.  The worksheets are intended to guide negotiators who have hands on experience designing multiple similar projects.</t>
  </si>
  <si>
    <t xml:space="preserve">These worksheets are intended to accommodate approximately 90% of the structures being designed.  Staff hour ranges are for new, replacement and widened bridges, rural and urban grade separation, interchange bridges, typical trestle and high level water crossings, retaining walls, box culverts, overhead signs, and other miscellaneous structures. The ranges represent neither the minimum nor maximum hours that might be negotiated on a project for individual design tasks.  Hours below or above the presented ranges may be applicable based upon the constraints or requirements that are specific to the individual task.  Specific aspects of each individual project should be considered in negotiating hours for each individual task. </t>
  </si>
  <si>
    <t>Worksheets and ranges have not been developed for rehabilitation or repair projects or exceptionally complex projects (Skyway) or tunnels.  It is anticipated that approximately 10% of structure task efforts will fall outside the ranges, either above or below the maximum and minimum values given, respectively.</t>
  </si>
  <si>
    <t>Activity worksheets have been developed for the different work elements and bridge structure types normally encountered within FDOT projects. Only the Activity worksheets required should be included in the final workbook. Where more than one bridge is included within the project, individual worksheets shall be replicated for each bridge, such as Activity 10 BDR and other bridge task sheets as required. Each of these worksheets will have to be individually linked to the Activity 9 Structures Summary worksheet. It is the Consultant's responsibility to ensure the accuracy of the formulas.</t>
  </si>
  <si>
    <t>There are many cases where individual tasks included within these activity worksheets are not required. In such cases, the number of units shall be indicated as zero. Individual line items shall not be deleted, nor inserted.</t>
  </si>
  <si>
    <t>The following Activity worksheets are provided:</t>
  </si>
  <si>
    <t>Activity 10 addresses Bridge Development Report tasks. The staff hour ranges were developed for general geometric requirements, statical systems, superstructures alternates, substructure alternatives, foundation alternates, vessel collision, scour, precast bridge options, moveable spans, temporary traffic control, constructability requirements, bridge security, retaining wall, quantities, cost estimates and aesthetics consideration. Report preparation including conclusions and recommendations, development of exhibits and supporting documentation are to be included. The option to include Preliminary Plans is also available.</t>
  </si>
  <si>
    <t>·  Activity 11 addresses Temporary Bridge tasks. The staff hour ranges were developed for an ACROW bridge superstructure with layout of substructure and possibly special design of substructure for longer spans or taller substructures than allowed by the Standard Drawings.</t>
  </si>
  <si>
    <t>·  Activity 12 addresses Short Span Concrete bridge tasks. The staff hour ranges were developed for precast and cast-in-place slab type bridges, inverted T and other slab type bridges. Use either Cast-in-Place Bridge or Prestressed Slab Unit Bridge depending on the anticipated structure type.</t>
  </si>
  <si>
    <t xml:space="preserve">·  Activity 13 addresses Medium Span Concrete bridge tasks. The staff hour ranges were developed for precast, prestressed concrete beam bridges designed as simply supported or continuous over intermediate supports. Use either Simple Span Concrete Design or Continuous Concrete Girder Design depending on the anticipated structure type, unless both systems are used in the same bridge. </t>
  </si>
  <si>
    <t>·  Activity 14 addresses Structural Steel bridge tasks. The staff hour ranges were developed for all steel girder superstructure types, including steel plates, standard rolled shapes, box girders, simple and continuous configurations. The forms were not intended to cover steel frames or trusses. Use either Structural Steel Plate Girder Design or Structural Steel Box Girder Design depending on the anticipated structure type.</t>
  </si>
  <si>
    <t>·  Activity 15 addresses Segmental Concrete bridge tasks. The staff hour ranges were developed for precast, cast-in-place, span-by-span, balanced cantilever, single or multi-celled box, multiple box.</t>
  </si>
  <si>
    <t>·  Activity 16 addresses Bascule bridge tasks. The staff hour ranges were developed for the bascule pier, rest pier, movable span, electrical, mechanical &amp; control house. The worksheet does not cover approach spans. Account for approach spans by adding worksheets for Activity 12, 13, 14 or 15, as applicable. The following task clarifications are provided for Activity 16:</t>
  </si>
  <si>
    <t>Task 16.23 Stringer Design: This task is only used if deck stringers are anticipated in the design as is typical for steel grid deck bridges where the deck spans transversely between stringers. If a deck system that spans longitudinally between floorbeams is used, this task is not used.</t>
  </si>
  <si>
    <t>Task 16.27 Sidewalk Bracket Design: This task only used on bridges with sidewalks.</t>
  </si>
  <si>
    <t>Task 16.28 Roadway Bracket Design: This task is used when cantilever brackets are used to support the deck outside of the main girders as is the most common case.</t>
  </si>
  <si>
    <t>Task 16.31 Trunnion Girder Design: This task only used for Hopkins (cantilever) trunnion arrangements.</t>
  </si>
  <si>
    <t>Task 16.39  Bascule GP&amp;E: This task is only used if the bridge length prohibits providing a scale for the overall bridge GP&amp;E that is appropriate for detailing of the movable span (clearances, subcable location, etc.)</t>
  </si>
  <si>
    <t>Task 16.49 Trunnion Girder: This task only used for Hopkins (cantilever) trunnion arrangements.</t>
  </si>
  <si>
    <t>Task 16.50 Cylinder Girder: This task only used for hydraulic cylinder driven bascule bridges incorporating independent cylinder girders.</t>
  </si>
  <si>
    <t>Task 16.55 Pedestrian Rail and Support Details: Use only if bridge has a pedestrian rail.</t>
  </si>
  <si>
    <t>Task 16.56 Curb and Sidewalk Details: Use only if bridge has a raised curb or sidewalk decking that differs from the roadway deck.</t>
  </si>
  <si>
    <t>Task 16.64, 16.65, 16.66, 16.67: Mechanical Drive Design: Use tasks 16.64, 16.65, 16.66, &amp; 16.67 for bridges utilizing an electric motor or hydraulic motor drive train with a rack and pinion. If a hydraulic motor is used use these tasks with Task 16.68, Hydraulic Drive Design.</t>
  </si>
  <si>
    <t>Task 16.68 Hydraulic Drive Design: Use if hydraulic cylinder or hydraulic motor drive is employed in the design. If a hydraulic motor drive is employed, use this task with appropriate tasks from 16.64, 16.65, 16.66, &amp; 16.67.</t>
  </si>
  <si>
    <t>Task 16.89 PLC Logic: Use only for bridges with Programmable Logic Controllers.</t>
  </si>
  <si>
    <t>·  Activity 17 addresses Retaining Wall tasks. The staff hour ranges were developed for permanent and temporary proprietary walls, cast-in-place retaining walls and other retaining walls.</t>
  </si>
  <si>
    <t>·  Activity 18 addresses Miscellaneous structure tasks. The staff hour ranges were developed for concrete box culverts, strain poles, mast arms, overhead and cantilever sign structures, high mast light foundations, noise barrier walls and special structures.</t>
  </si>
  <si>
    <t>SIGNING AND PAVEMENT MARKING GUIDELINES</t>
  </si>
  <si>
    <t xml:space="preserve">The staff hour ranges presented in this section represent the work effort that might be expected for individual design tasks on typical traffic projects.  The ranges represent neither the minimum nor maximum hours that might be negotiated on a project for individual design tasks.  Hours below or above the presented ranges may be applicable based upon the constraints or requirements that are specific to the individual project.  Specific aspects of each individual project should be considered in negotiation hours for each individual task.  Whenever possible, examples of individual tasks will be included to provide guidance in determining what types of effort are associated with each individual task.  </t>
  </si>
  <si>
    <t>A "Lower Range" roadway project may fall in the "Middle Range" for Signing and Pavement Marking projects and vice versa.  See the project ranges below.  The project ranges should be used only for Reference &amp; Master Design Files and Quantities from Analysis.  All other tasks should be defined on task by task basis and should not necessarily use the Project Ranges.</t>
  </si>
  <si>
    <t>Lower Range</t>
  </si>
  <si>
    <t>Middle Range</t>
  </si>
  <si>
    <t>Upper Range</t>
  </si>
  <si>
    <t>SIGNALIZATION GUIDELINES</t>
  </si>
  <si>
    <t>A "Lower Range" roadway project may fall in the "Middle Range" for Lighting projects and vice versa.  See the project ranges below.  The project ranges should be used only for Reference &amp; Master Design Files and Quantities from Analysis.  All other tasks should be defined on task by task basis and should not necessarily use the Project Ranges.</t>
  </si>
  <si>
    <t>1.  Rural 2-Lane Project</t>
  </si>
  <si>
    <t>2.  Vehicular Loop Replacement</t>
  </si>
  <si>
    <t>3.  Flashing Beacon</t>
  </si>
  <si>
    <t>4.  Mid Block Traffic Signal</t>
  </si>
  <si>
    <t>1.  Rural Multi-Lane Highway</t>
  </si>
  <si>
    <t>2.  Urban Multi-Lane with minor R/W issues or Utility impacts</t>
  </si>
  <si>
    <t>3.  Urban 2-Lane with major R/W issues or Utility impacts.</t>
  </si>
  <si>
    <t xml:space="preserve"> Upper Range</t>
  </si>
  <si>
    <t>1.  Urban Multi-Lane with major R/W issues or Utility impacts</t>
  </si>
  <si>
    <t>2.  Single Point Urban Interchange</t>
  </si>
  <si>
    <t>LIGHTING GUIDELINES</t>
  </si>
  <si>
    <t>Roadway Type</t>
  </si>
  <si>
    <t>Existing Roadway</t>
  </si>
  <si>
    <t>Roadway Widening</t>
  </si>
  <si>
    <t>New Roadway Alignment</t>
  </si>
  <si>
    <t>Roadway Elements</t>
  </si>
  <si>
    <t>Minor Intersections</t>
  </si>
  <si>
    <t>Utility Coordination</t>
  </si>
  <si>
    <t>Stakeholder Participation</t>
  </si>
  <si>
    <t>Below to Lower End of Range Projects</t>
  </si>
  <si>
    <r>
      <t>·</t>
    </r>
    <r>
      <rPr>
        <sz val="10"/>
        <rFont val="Arial"/>
        <family val="2"/>
      </rPr>
      <t>  Urban and rural 2-lane resurfacing Level 1 survey.</t>
    </r>
  </si>
  <si>
    <r>
      <t>·</t>
    </r>
    <r>
      <rPr>
        <sz val="10"/>
        <rFont val="Arial"/>
        <family val="2"/>
      </rPr>
      <t>  Rural 2-lane 3R (minor safety, earthwork, and utility involvement) Level 1 or 2.</t>
    </r>
  </si>
  <si>
    <r>
      <t>·</t>
    </r>
    <r>
      <rPr>
        <sz val="10"/>
        <rFont val="Arial"/>
        <family val="2"/>
      </rPr>
      <t>  Rural 4-lane 3R (minor safety, earthwork, and utility involvement) Level 1 or 2</t>
    </r>
  </si>
  <si>
    <r>
      <t>·</t>
    </r>
    <r>
      <rPr>
        <sz val="10"/>
        <rFont val="Arial"/>
        <family val="2"/>
      </rPr>
      <t>  Urban 3R (minor safety, earthwork, and utility involvement, primarily only milling and resurfacing) Level 1 or 2</t>
    </r>
  </si>
  <si>
    <r>
      <t>·</t>
    </r>
    <r>
      <rPr>
        <sz val="10"/>
        <rFont val="Arial"/>
        <family val="2"/>
      </rPr>
      <t>  Multi-lane limited access resurfacing (minimal interchange involvement) Level 1 or 2</t>
    </r>
  </si>
  <si>
    <t xml:space="preserve"> Lower End of Range Projects</t>
  </si>
  <si>
    <r>
      <t>·</t>
    </r>
    <r>
      <rPr>
        <sz val="10"/>
        <rFont val="Arial"/>
        <family val="2"/>
      </rPr>
      <t>  Rural 2-lane 3R (major safety, earthwork, and utility involvement) Level 2 or 3</t>
    </r>
  </si>
  <si>
    <r>
      <t>·</t>
    </r>
    <r>
      <rPr>
        <sz val="10"/>
        <rFont val="Arial"/>
        <family val="2"/>
      </rPr>
      <t>  Rural 4-lane 3R (major safety, earthwork, and utility involvement) Level 2 or 3</t>
    </r>
  </si>
  <si>
    <r>
      <t>·</t>
    </r>
    <r>
      <rPr>
        <sz val="10"/>
        <rFont val="Arial"/>
        <family val="2"/>
      </rPr>
      <t>  Urban 3R (major safety, earthwork, and utility involvement) Level 2 or 3</t>
    </r>
  </si>
  <si>
    <r>
      <t>·</t>
    </r>
    <r>
      <rPr>
        <sz val="10"/>
        <rFont val="Arial"/>
        <family val="2"/>
      </rPr>
      <t>  Rural 2-lane to multi-lane widening/resurfacing (minor ROW, earthwork and utility impacts) Level 2 or 3</t>
    </r>
  </si>
  <si>
    <t>Upper End to Above Range Projects</t>
  </si>
  <si>
    <t>ARCHITECTURE GUIDELINES</t>
  </si>
  <si>
    <t xml:space="preserve">The range of hours following each element of design is to be used as a guide to calculate the number of total hours required to perform that task, including design and drafting. The negotiator must use professional judgment based on the project scope to determine where each task would fall with in the range of hours. Each task must be judged based on its complexity. Various factors must be evaluated when considering the complexity of a project. Two of the primary considerations used to analyze projects are size and level of design effort.  </t>
  </si>
  <si>
    <t>Size factors to consider:</t>
  </si>
  <si>
    <r>
      <t>·</t>
    </r>
    <r>
      <rPr>
        <sz val="10"/>
        <rFont val="Arial"/>
        <family val="2"/>
      </rPr>
      <t>  Amount of information placed on each sheet</t>
    </r>
  </si>
  <si>
    <r>
      <t>·</t>
    </r>
    <r>
      <rPr>
        <sz val="10"/>
        <rFont val="Arial"/>
        <family val="2"/>
      </rPr>
      <t>  Number of unique spaces to be designed</t>
    </r>
  </si>
  <si>
    <r>
      <t>·</t>
    </r>
    <r>
      <rPr>
        <sz val="10"/>
        <rFont val="Arial"/>
        <family val="2"/>
      </rPr>
      <t>  Shape and massing of the structure</t>
    </r>
  </si>
  <si>
    <r>
      <t>·</t>
    </r>
    <r>
      <rPr>
        <sz val="10"/>
        <rFont val="Arial"/>
        <family val="2"/>
      </rPr>
      <t>  Site constraints</t>
    </r>
  </si>
  <si>
    <r>
      <t>·</t>
    </r>
    <r>
      <rPr>
        <sz val="10"/>
        <rFont val="Arial"/>
        <family val="2"/>
      </rPr>
      <t>  Number of stories</t>
    </r>
  </si>
  <si>
    <r>
      <t>·</t>
    </r>
    <r>
      <rPr>
        <sz val="10"/>
        <rFont val="Arial"/>
        <family val="2"/>
      </rPr>
      <t>  Number of areas which require an enlarged floor plan</t>
    </r>
  </si>
  <si>
    <t>Level of design effort factors to consider:</t>
  </si>
  <si>
    <r>
      <t>·</t>
    </r>
    <r>
      <rPr>
        <sz val="10"/>
        <rFont val="Arial"/>
        <family val="2"/>
      </rPr>
      <t>  Level of interior and exterior finishes</t>
    </r>
  </si>
  <si>
    <r>
      <t>·</t>
    </r>
    <r>
      <rPr>
        <sz val="10"/>
        <rFont val="Arial"/>
        <family val="2"/>
      </rPr>
      <t>  Soil conditions</t>
    </r>
  </si>
  <si>
    <r>
      <t>·</t>
    </r>
    <r>
      <rPr>
        <sz val="10"/>
        <rFont val="Arial"/>
        <family val="2"/>
      </rPr>
      <t>  Access to utilities</t>
    </r>
  </si>
  <si>
    <r>
      <t>·</t>
    </r>
    <r>
      <rPr>
        <sz val="10"/>
        <rFont val="Arial"/>
        <family val="2"/>
      </rPr>
      <t>  Structural system</t>
    </r>
  </si>
  <si>
    <r>
      <t>·</t>
    </r>
    <r>
      <rPr>
        <sz val="10"/>
        <rFont val="Arial"/>
        <family val="2"/>
      </rPr>
      <t>  Communication requirements</t>
    </r>
  </si>
  <si>
    <r>
      <t>·</t>
    </r>
    <r>
      <rPr>
        <sz val="10"/>
        <rFont val="Arial"/>
        <family val="2"/>
      </rPr>
      <t>  Number of dissimilar building components</t>
    </r>
  </si>
  <si>
    <r>
      <t>·</t>
    </r>
    <r>
      <rPr>
        <sz val="10"/>
        <rFont val="Arial"/>
        <family val="2"/>
      </rPr>
      <t>  Amount of specialty equipment</t>
    </r>
  </si>
  <si>
    <t>The range of hours following each element of design is to be used as a guide to calculate the number of total hours required to perform that task, including design and drafting. The negotiator must use professional judgment based on the project scope to determine where each task would fall with in the range of hours. Each task must be judged based on its complexity and work effort.</t>
  </si>
  <si>
    <t>The size of a building is not necessarily related to the complexity/work effort of its design. To determine the design complexity/work effort several factors must be considered.</t>
  </si>
  <si>
    <r>
      <t xml:space="preserve">1.      </t>
    </r>
    <r>
      <rPr>
        <b/>
        <sz val="10"/>
        <rFont val="Arial"/>
        <family val="2"/>
      </rPr>
      <t>Site Constraints:</t>
    </r>
    <r>
      <rPr>
        <sz val="10"/>
        <rFont val="Arial"/>
        <family val="2"/>
      </rPr>
      <t xml:space="preserve"> Limited R/W, topo, utilities placement, roadway geometry, and lane configurations, wind zones, flood zones, etc.</t>
    </r>
  </si>
  <si>
    <r>
      <t xml:space="preserve">2.      </t>
    </r>
    <r>
      <rPr>
        <b/>
        <sz val="10"/>
        <rFont val="Arial"/>
        <family val="2"/>
      </rPr>
      <t>Familiarity:</t>
    </r>
    <r>
      <rPr>
        <sz val="10"/>
        <rFont val="Arial"/>
        <family val="2"/>
      </rPr>
      <t xml:space="preserve"> Whether or not a design Consultant is familiar with FDOT processes, building types, and use of generic plans.</t>
    </r>
  </si>
  <si>
    <r>
      <t xml:space="preserve">3.      </t>
    </r>
    <r>
      <rPr>
        <b/>
        <sz val="10"/>
        <rFont val="Arial"/>
        <family val="2"/>
      </rPr>
      <t>Expandability:</t>
    </r>
    <r>
      <rPr>
        <sz val="10"/>
        <rFont val="Arial"/>
        <family val="2"/>
      </rPr>
      <t xml:space="preserve"> A requirement for future expandability may be a consideration in the initial design of the building.</t>
    </r>
  </si>
  <si>
    <r>
      <t xml:space="preserve">4.      </t>
    </r>
    <r>
      <rPr>
        <b/>
        <sz val="10"/>
        <rFont val="Arial"/>
        <family val="2"/>
      </rPr>
      <t>Building Type:</t>
    </r>
    <r>
      <rPr>
        <sz val="10"/>
        <rFont val="Arial"/>
        <family val="2"/>
      </rPr>
      <t xml:space="preserve"> The function, size, utility requirements, operator space, location, etc. will affect the design.</t>
    </r>
  </si>
  <si>
    <r>
      <t xml:space="preserve">5.      </t>
    </r>
    <r>
      <rPr>
        <b/>
        <sz val="10"/>
        <rFont val="Arial"/>
        <family val="2"/>
      </rPr>
      <t>Code requirements, Capacity ands Occupancy</t>
    </r>
    <r>
      <rPr>
        <sz val="10"/>
        <rFont val="Arial"/>
        <family val="2"/>
      </rPr>
      <t xml:space="preserve"> These requirements can have a profound effect on materials and systems</t>
    </r>
  </si>
  <si>
    <t>used in the design. Life Safety and other code requirements will have a direct influence on layout and size of space.</t>
  </si>
  <si>
    <r>
      <t xml:space="preserve">6.      </t>
    </r>
    <r>
      <rPr>
        <b/>
        <sz val="10"/>
        <rFont val="Arial"/>
        <family val="2"/>
      </rPr>
      <t>Location:</t>
    </r>
    <r>
      <rPr>
        <sz val="10"/>
        <rFont val="Arial"/>
        <family val="2"/>
      </rPr>
      <t xml:space="preserve"> The location of the building project can greatly affect elements such as utilities access and site access.</t>
    </r>
  </si>
  <si>
    <r>
      <t xml:space="preserve">7.      </t>
    </r>
    <r>
      <rPr>
        <b/>
        <sz val="10"/>
        <rFont val="Arial"/>
        <family val="2"/>
      </rPr>
      <t>Sheet Production:</t>
    </r>
    <r>
      <rPr>
        <sz val="10"/>
        <rFont val="Arial"/>
        <family val="2"/>
      </rPr>
      <t xml:space="preserve"> The number of sheets will be determined by such elements as content of sheet, unique and special</t>
    </r>
  </si>
  <si>
    <t>purpose spaces, shape and mass of building(s), spaces requiring enlarged floor plans and details, interior finishes, structural</t>
  </si>
  <si>
    <t>system, mechanical system, communications and data systems, and special equipment.</t>
  </si>
  <si>
    <t>The following examples are used as a guide only.  See the State's DMS Fee Curve Guidelines for a complete guide of complexity.</t>
  </si>
  <si>
    <t>1.      Considerably more than average complexity</t>
  </si>
  <si>
    <t>Materials testing and research lab, Special purpose, Multiple use buildings.</t>
  </si>
  <si>
    <t xml:space="preserve">                                                            </t>
  </si>
  <si>
    <t>2.      More than average complexity</t>
  </si>
  <si>
    <t>Vehicle Maintenance and Vehicle Maintenance Yard, Renovations, alterations, Large Toll Plaza, Weigh in Motion/Inspection Sta., Rest Area addition/redesign, Medium Toll Plaza, Small Toll Plaza, Rest Area interior modifications/refinish, Rest Area replacement</t>
  </si>
  <si>
    <t>Office Space improvements, Medium Toll Plaza, WIM Sta., Rest Area replacement</t>
  </si>
  <si>
    <t>Garage, Service, Repetitive Design, Open space office building</t>
  </si>
  <si>
    <t>Parking garage, warehouse, storage</t>
  </si>
  <si>
    <t>ITS GUIDELINES</t>
  </si>
  <si>
    <t>The staff hour ranges presented in this section represent the work effort that might be expected for individual design tasks on typical traffic projects. The ranges represent neither the minimum nor maximum hours that might be negotiated on a project.</t>
  </si>
  <si>
    <t xml:space="preserve">A "Lower Range" roadway project may fall in the "Middle Range" for Lighting projects and vice versa.  See the project ranges below.  The project ranges should be used only for Reference &amp; Master Design Files and Quantities from Analysis. </t>
  </si>
  <si>
    <t>1.  Adding very limited number of ITS devices.</t>
  </si>
  <si>
    <t>2.  Small extension of existing freeway management system.</t>
  </si>
  <si>
    <t>3.  Installation of isolated devices such as a CCTV camera, a DMS sign or RWIS site.</t>
  </si>
  <si>
    <t>1. Small extension of existing freeway management system, communications architecture already determined.</t>
  </si>
  <si>
    <t>2.  Freeway management system with no communications hubs and all devices of a single type.</t>
  </si>
  <si>
    <t>1.  Complex urban freeway management system with a variety of different ITS of devices.</t>
  </si>
  <si>
    <t>2.  Lengthy rural freeway management system.</t>
  </si>
  <si>
    <t>3.  Freeway management system with numerous communications hubs and rings of devices.</t>
  </si>
  <si>
    <t>GEOTECHNICAL GUIDELINES</t>
  </si>
  <si>
    <t>The staff hour estimating form, basis and these accompanying instructions were developed to be consistent with the Geotechnical section of the Standard Scope of Service covering the typical range of geotechnical investigations anticipated on 80 percent of all highway projects. It is recognized that the Districts may need to vary the specific requirements of the scope for performance of geotechnical work to make them District or project specific. Where such variations occur, it is recommended that all changes to the Standard Scope be shown in italics to alert the user that the scope requirements have changed from the standard and that the range of staff hours shown in the basis may no longer be applicable to a specific task.</t>
  </si>
  <si>
    <t>The ‘typical’ range of geotechnical investigations considered as applicable includes the following:</t>
  </si>
  <si>
    <t>·  Projects with geotechnical staffhours ranging from approx. 100 to 3,000;</t>
  </si>
  <si>
    <t>·  Projects that include commonly encountered soil and rock conditions, site investigation methods and geotechnical</t>
  </si>
  <si>
    <t>design recommendations.</t>
  </si>
  <si>
    <t xml:space="preserve">An example of a typical project would include evaluation of roadway subgrade or embankment stability/settlement related to sinkholes, soft clays, organic soils and/or high groundwater.  A typical project would require geotechnical guidance for normal cut and fill.  It may also require recommendations for realignment, surcharge, excavation and replacement, subgrade reinforcement using geosynthetics and/or underdrains.  Examples of projects considered atypical and, therefore, may fall below the range are: RRR projects, minor intersection improvements, etc. Examples of projects considered atypical and, therefore, may fall above the range are: dealing with extensive waste phosphatic clays or design recommendations for soil improvement by lime/cement subgrade stabilization, deep dynamic compaction, vibroflotation, compaction grouting, pile reinforced embankments, etc.  </t>
  </si>
  <si>
    <t>The user must use experience and common sense in assessing where the specific project requirements may deviate from the typical project and some guidance is provided in the basis for each task. For instance, minimum hours listed are only applicable to typical projects. If needed, individual Structures Items can be used when negotiating Roadway projects, and individual Roadway Items can be used when negotiating Structures projects. If neither the Standard Scope nor the basis specifically include or describe an activity, type of analysis or geotechnical solution then it most likely is not covered within the typical staff hour ranges provided for guidance.</t>
  </si>
  <si>
    <t>Although not specifically developed for Districtwide Geotechnical services, the staff hour estimating form, basis and these instructions may be used as a reference to such work if it falls within the typical range as defined above. Since analysis and reporting requirements for small geotechnical tasks may vary from the Standard Scope, the user should be cautious in applying the ranges shown in the basis to such work. The ranges were ‘proof tested’ against several typical projects from various Districts and found to result in reasonably consistent staff hour estimates compared to previously negotiated total staff hours. The form may be applicable to large projects over 3,000 staff hours but there is no comparative experience with a project of this size. Again the user should be cautious in applying the form, basis and instructions to very small or very large projects.</t>
  </si>
  <si>
    <t xml:space="preserve">A number of tasks included in the staff hour estimating form are  frequently requested of the geotechnical engineer by other design professionals. These tasks include Stormwater Volume Recovery Analysis and/or Background Seepage Analysis, Lateral Load Analysis, and Sheet Pile Wall Analysis. The user should determine if adequate hours for these activities are included in the relevant Drainage and Structures portions of the project to avoid repetition. </t>
  </si>
  <si>
    <t xml:space="preserve">To use the form and instructions the user must have evaluated the project scope in addition to the likely subsurface conditions and foundation alternatives in sufficient detail to estimate the total number, type and depth of exploratory borings for Roadways and Structures as well as the relative complexity of the project. In general, simple straightforward projects will require lower staffhours, while conversely more complex projects will merit higher staffhours per unit within the ‘typical’ ranges listed on the estimating sheet for ‘lump sum’ items.  When hours are determined ‘per item’ (such as per 100 LF of boring), and a range of hours is given to be multiplied by that item, it is intended that the higher end of the range be used for smaller projects, and vice versa.    </t>
  </si>
  <si>
    <t xml:space="preserve">Remember that this form is intended to estimate the TOTAL number of hours for each task including engineering or technician hours to perform the task, senior review hours and applicable clerical hours.   </t>
  </si>
  <si>
    <t>6b</t>
  </si>
  <si>
    <t>Drainage Plans</t>
  </si>
  <si>
    <t>Representing</t>
  </si>
  <si>
    <t>Print Name</t>
  </si>
  <si>
    <t>Signature / Date</t>
  </si>
  <si>
    <t>Consultant Name</t>
  </si>
  <si>
    <t>FDOT District</t>
  </si>
  <si>
    <t>WORK ACTIVITY</t>
  </si>
  <si>
    <t>Subtotal Project Manager Meetings</t>
  </si>
  <si>
    <t>PM attendance at Progress Meetings is manually entered on General Task 3</t>
  </si>
  <si>
    <t>PM attendance at Phase Review Meetings is manually entered on General Task 3</t>
  </si>
  <si>
    <t>Carries to Tab 3</t>
  </si>
  <si>
    <t>Drainage Plans Technical Subtotal</t>
  </si>
  <si>
    <t>Kickoff (see 7.1)</t>
  </si>
  <si>
    <t>Preliminary Meeting (see 7.5)</t>
  </si>
  <si>
    <t>Individual UAO Meetings (see 7.6)</t>
  </si>
  <si>
    <t>Field Meetings (see 7.6)</t>
  </si>
  <si>
    <t>Design Meeting (see 7.9)</t>
  </si>
  <si>
    <t>EA SHEET</t>
  </si>
  <si>
    <t>EA
Diagram</t>
  </si>
  <si>
    <t>Total Project Manager Meetings (carries to Tab 3)</t>
  </si>
  <si>
    <t>Subtotal PM Meetings</t>
  </si>
  <si>
    <t>Total PM Mtgs (carries to Tab 3)</t>
  </si>
  <si>
    <t>** Project Manager attendance at progress, phase and field review meetings are manually entered on General Task 3</t>
  </si>
  <si>
    <t>**</t>
  </si>
  <si>
    <t>From Meetings Table Below</t>
  </si>
  <si>
    <t>Mobile Scan Nontechnical Subtotal</t>
  </si>
  <si>
    <t>30. Terrestrial Mobile LiDAR Mapping Total</t>
  </si>
  <si>
    <t>Mobile Scan Technical Subtotal</t>
  </si>
  <si>
    <t>Architectural Plans</t>
  </si>
  <si>
    <t>Structural Plans</t>
  </si>
  <si>
    <t>Plumbing Plans</t>
  </si>
  <si>
    <t>Total PM Meetings (carries to Tab 3)</t>
  </si>
  <si>
    <t>Meeting</t>
  </si>
  <si>
    <t>32. Noise Barrier Impact Design Assessment in the Design Phase Total</t>
  </si>
  <si>
    <r>
      <t xml:space="preserve">The staff hour ranges presented on the following sheets represent the work effort that may be expected for each specific task on typical projects.  These hourly ranges vary from a simple project (lower end of range) to a complicated project (upper end of range).  The ranges represent neither the minimum nor maximum hours that may be negotiated for a particular task on a project.  </t>
    </r>
    <r>
      <rPr>
        <b/>
        <sz val="12"/>
        <rFont val="Arial"/>
        <family val="2"/>
      </rPr>
      <t>Hours below or above these ranges may be applicable based upon constraints and requirements that are specific to the project.</t>
    </r>
  </si>
  <si>
    <t>NOTE: Signature Block is optional, per District preference</t>
  </si>
  <si>
    <t>Scale</t>
  </si>
  <si>
    <t>6b. Drainage Plans</t>
  </si>
  <si>
    <t>6a. Drainage Analysis</t>
  </si>
  <si>
    <t>Concrete Box Culvert Data Table Plan Sheets</t>
  </si>
  <si>
    <t>Concrete Box Culvert Special Details Plan Sheets</t>
  </si>
  <si>
    <t>Strain Pole Data Table Plan Sheets</t>
  </si>
  <si>
    <t>Strain Pole Special Details Plan Sheets</t>
  </si>
  <si>
    <t>Mast Arms Data Table Plan Sheets</t>
  </si>
  <si>
    <t>Mast Arm Special Details Plan Sheets</t>
  </si>
  <si>
    <t>Special (Long Span) Overhead Span Sign Structures</t>
  </si>
  <si>
    <t>Overhead and Cantilever Sign Structures Data Table Plan Sheets</t>
  </si>
  <si>
    <t>Overhead and Cantilever Sign Structures Special Details Plan Sheets</t>
  </si>
  <si>
    <t>High Mast Lighting Special Details Plan Sheets</t>
  </si>
  <si>
    <t>Structures Technical Subtotal</t>
  </si>
  <si>
    <t>Muck Probing</t>
  </si>
  <si>
    <t>Crew Day</t>
  </si>
  <si>
    <t>35.19</t>
  </si>
  <si>
    <t>35.54</t>
  </si>
  <si>
    <t>6a.1</t>
  </si>
  <si>
    <t>6a.21</t>
  </si>
  <si>
    <t>Carries to 32.6</t>
  </si>
  <si>
    <t>These four work activities are interrelated.  Not all projects will require photogrammetry, mapping or terrestrial mobile LiDAR: the need or extent of any of these will have a direct relationship on the tasks included in the survey work activity.</t>
  </si>
  <si>
    <t>All ranges shown in the Survey tasks are for 4-person crew days based on an 8 hour day.  The ranges presented in the photogrammetry section represent the work effort that might be expected for individual tasks on typical mapping projects, including topographics, planimetrics, image processing, and fixed and rotary wing flight operations.</t>
  </si>
  <si>
    <r>
      <t>·</t>
    </r>
    <r>
      <rPr>
        <sz val="10"/>
        <rFont val="Arial"/>
        <family val="2"/>
      </rPr>
      <t>  Rural or urban 4-lane to 6-lane widening/resurfacing (widening in median, minor ROW, earthwork, and utility impacts, minimal intersection improvement)  Level 3 or 4</t>
    </r>
  </si>
  <si>
    <r>
      <t>·</t>
    </r>
    <r>
      <rPr>
        <sz val="10"/>
        <rFont val="Arial"/>
        <family val="2"/>
      </rPr>
      <t>  Multi-lane limited access resurfacing (minor safety, earthwork, and utility involvement, minimal intersection involvement)  Level 2 or 3</t>
    </r>
  </si>
  <si>
    <t>Meeting is listed below</t>
  </si>
  <si>
    <t>6a</t>
  </si>
  <si>
    <t>Digital Delivery</t>
  </si>
  <si>
    <t>6a.2</t>
  </si>
  <si>
    <t>6a.3</t>
  </si>
  <si>
    <t>6a.4</t>
  </si>
  <si>
    <t>6a.5</t>
  </si>
  <si>
    <t>6a.6</t>
  </si>
  <si>
    <t>6a.7</t>
  </si>
  <si>
    <t>6a.8</t>
  </si>
  <si>
    <t>6a.10</t>
  </si>
  <si>
    <t>6a.11</t>
  </si>
  <si>
    <t>6a.12</t>
  </si>
  <si>
    <t>6a.13</t>
  </si>
  <si>
    <t>6a.14</t>
  </si>
  <si>
    <t>6a.15</t>
  </si>
  <si>
    <t>6a.17</t>
  </si>
  <si>
    <t>6a.18</t>
  </si>
  <si>
    <t>6a.19</t>
  </si>
  <si>
    <t>6a.20</t>
  </si>
  <si>
    <t>6a.22</t>
  </si>
  <si>
    <t>6a.23</t>
  </si>
  <si>
    <t>6a.24</t>
  </si>
  <si>
    <t>6a.25</t>
  </si>
  <si>
    <t>Design of Floodplain Compensation</t>
  </si>
  <si>
    <t>6b.1</t>
  </si>
  <si>
    <t>6b.2</t>
  </si>
  <si>
    <t>6b.3</t>
  </si>
  <si>
    <t>6b.4</t>
  </si>
  <si>
    <t>6b.5</t>
  </si>
  <si>
    <t>6b.6</t>
  </si>
  <si>
    <t>6b.7</t>
  </si>
  <si>
    <t>Utility Kickoff Meeting</t>
  </si>
  <si>
    <r>
      <t xml:space="preserve">Other Meetings </t>
    </r>
    <r>
      <rPr>
        <i/>
        <sz val="11"/>
        <rFont val="Arial"/>
        <family val="2"/>
      </rPr>
      <t>(this is automatically added into Utilities Total (cell F27))</t>
    </r>
  </si>
  <si>
    <t>The CONSULTANT, the Department's Permit Coordinator and the Department's Environmental Management Office will fully review the project's PD&amp;E documents to determine any special requirements or commitments.  The Department's staff and the CONSULTANT will also review the regulating agencies requirements for any species issues to fully understand surveying and permitting.</t>
  </si>
  <si>
    <r>
      <t>·</t>
    </r>
    <r>
      <rPr>
        <sz val="10"/>
        <rFont val="Arial"/>
        <family val="2"/>
      </rPr>
      <t>  USACE (Nationwide)</t>
    </r>
  </si>
  <si>
    <r>
      <t>·</t>
    </r>
    <r>
      <rPr>
        <sz val="10"/>
        <rFont val="Arial"/>
        <family val="2"/>
      </rPr>
      <t>  USACE (Nationwide, or Letter of Permission)</t>
    </r>
  </si>
  <si>
    <r>
      <t>·</t>
    </r>
    <r>
      <rPr>
        <sz val="10"/>
        <rFont val="Arial"/>
        <family val="2"/>
      </rPr>
      <t>  EPA and/or FDEP [National Pollutant Discharge Elimination System (NPDES) Construction General Permit]</t>
    </r>
  </si>
  <si>
    <r>
      <t>·</t>
    </r>
    <r>
      <rPr>
        <sz val="10"/>
        <rFont val="Arial"/>
        <family val="2"/>
      </rPr>
      <t>  Department of Environmental Protection (CCCL permit)</t>
    </r>
  </si>
  <si>
    <t>8.2</t>
  </si>
  <si>
    <t>8.2.1</t>
  </si>
  <si>
    <t>8.2.2</t>
  </si>
  <si>
    <t>8.2.3</t>
  </si>
  <si>
    <t>8.3</t>
  </si>
  <si>
    <t>8.4</t>
  </si>
  <si>
    <t>8.4.1</t>
  </si>
  <si>
    <t>8.4.2</t>
  </si>
  <si>
    <t>8.5</t>
  </si>
  <si>
    <t>8.6</t>
  </si>
  <si>
    <t>8.7</t>
  </si>
  <si>
    <t>8.8</t>
  </si>
  <si>
    <t>8.9</t>
  </si>
  <si>
    <t>8.10</t>
  </si>
  <si>
    <t>8.11</t>
  </si>
  <si>
    <t>8.12</t>
  </si>
  <si>
    <t>8.14.1</t>
  </si>
  <si>
    <t>8.14.2</t>
  </si>
  <si>
    <t>8.14.3</t>
  </si>
  <si>
    <t>8.14.5</t>
  </si>
  <si>
    <t>8.16</t>
  </si>
  <si>
    <t>8.17</t>
  </si>
  <si>
    <t>8.18</t>
  </si>
  <si>
    <t>8.19</t>
  </si>
  <si>
    <t>8.20</t>
  </si>
  <si>
    <t>Preparation of Environmental Clearances and Reevaluations (use when consultant prepares all documents associated with reevaluation)</t>
  </si>
  <si>
    <t>per pond site</t>
  </si>
  <si>
    <t xml:space="preserve">·  Activity 9 is a summary of the General Tasks, Bridge Development Report, Bridge Design and Production, Retaining Wall Design and Production and Miscellaneous Structure Design and Production activities within the project. The general tasks address the technical tasks associated with the development of the project-based key sheet/index of drawings, general notes, cost estimates and Technical Special Provisions. This worksheet also addresses non-technical tasks such as field reviews, technical meetings and coordination. This Activity worksheet also addresses Quality Assurance/Quality Control, Independent Peer Review and Supervision activities. </t>
  </si>
  <si>
    <t>The staff hour ranges presented in this section represent the work effort that might be expected for individual tasks on typical roadway projects, ranging from a standard 2-lane resurfacing project (lower end of range) to a complicated reconstruction project  (upper end of range). The ranges represent neither the minimum nor maximum hours that might be negotiated on a project for individual survey tasks. Hours below or above the presented ranges may be applicable based on the constraints or requirements that are specific to the individual project. Whenever possible, examples of individual tasks will be included to provide guidance in determining what types of effort are associated with each individual task.</t>
  </si>
  <si>
    <r>
      <t>·</t>
    </r>
    <r>
      <rPr>
        <sz val="10"/>
        <rFont val="Arial"/>
        <family val="2"/>
      </rPr>
      <t>  Rural 2-lane to urban multi-lane reconstruction (minor ROW and utility impacts, minimal intersection involvement) (This is for full design survey and ROW)  Level 4</t>
    </r>
  </si>
  <si>
    <r>
      <t>·</t>
    </r>
    <r>
      <rPr>
        <sz val="10"/>
        <rFont val="Arial"/>
        <family val="2"/>
      </rPr>
      <t>  Rural 2-lane to 4-lane widening/resurfacing (major ROW, earthwork and utility impacts) Level 3 or 4 for full design model</t>
    </r>
  </si>
  <si>
    <r>
      <t>·</t>
    </r>
    <r>
      <rPr>
        <sz val="10"/>
        <rFont val="Arial"/>
        <family val="2"/>
      </rPr>
      <t>  Rural 2-lane to urban multi-lane widening/resurfacing (utilizing existing pavement, minor cross slope correction, major ROW and utility impacts, intersection involvement)  Level 3 or 4 for full design model</t>
    </r>
  </si>
  <si>
    <r>
      <t>·</t>
    </r>
    <r>
      <rPr>
        <sz val="10"/>
        <rFont val="Arial"/>
        <family val="2"/>
      </rPr>
      <t>  Rural 2-lane new construction (new alignment, ROW, earthwork and utility impacts) (This is for full design survey and ROW) Level 4</t>
    </r>
  </si>
  <si>
    <r>
      <t>·</t>
    </r>
    <r>
      <rPr>
        <sz val="10"/>
        <rFont val="Arial"/>
        <family val="2"/>
      </rPr>
      <t>  Rural 2-lane to urban multi-lane reconstruction (major ROW and utility impacts, intersection involvement) (This is for full design survey and ROW)  Level 4</t>
    </r>
  </si>
  <si>
    <r>
      <t>·</t>
    </r>
    <r>
      <rPr>
        <sz val="10"/>
        <rFont val="Arial"/>
        <family val="2"/>
      </rPr>
      <t>  Rural multi-lane new construction (new alignment, ROW, earthwork and utility impacts, minimal intersection involvement) (This is for full design survey and ROW)  Level 4</t>
    </r>
  </si>
  <si>
    <r>
      <t>·</t>
    </r>
    <r>
      <rPr>
        <sz val="10"/>
        <rFont val="Arial"/>
        <family val="2"/>
      </rPr>
      <t>  Urban multi-lane new construction (new alignment, major ROW and utility impacts, intersection involvement) (This is for full design survey and ROW)  Level 4</t>
    </r>
  </si>
  <si>
    <r>
      <t>·</t>
    </r>
    <r>
      <rPr>
        <sz val="10"/>
        <rFont val="Arial"/>
        <family val="2"/>
      </rPr>
      <t>  Multi-lane limited access widening/resurfacing (minor ROW and utility impacts, interchange involvement) Level 3 or 4 for full design model (This is for full design survey and ROW)</t>
    </r>
  </si>
  <si>
    <r>
      <t>·</t>
    </r>
    <r>
      <rPr>
        <sz val="10"/>
        <rFont val="Arial"/>
        <family val="2"/>
      </rPr>
      <t>  Multi-lane limited access reconstruction (minor ROW and utility impacts, interchange involvement)  (This is for full design survey and ROW)  Level 4</t>
    </r>
  </si>
  <si>
    <r>
      <t>·</t>
    </r>
    <r>
      <rPr>
        <sz val="10"/>
        <rFont val="Arial"/>
        <family val="2"/>
      </rPr>
      <t>  Multi-lane limited access new construction (new alignment, minor ROW and utility impacts, minimal interchange involvement)  (This is for full design survey and ROW)  Level 4</t>
    </r>
  </si>
  <si>
    <r>
      <t>·</t>
    </r>
    <r>
      <rPr>
        <sz val="10"/>
        <rFont val="Arial"/>
        <family val="2"/>
      </rPr>
      <t>  Multi-lane widening, reconstruction or new alignment with major interchange involvement (major ROW and utility impacts,urban interchange involvement, major access management impacts)  (This is for full design survey and ROW)  Level 4</t>
    </r>
  </si>
  <si>
    <r>
      <t>·</t>
    </r>
    <r>
      <rPr>
        <sz val="10"/>
        <rFont val="Arial"/>
        <family val="2"/>
      </rPr>
      <t>  Urban limited access (widening or reconstruction with multi-level interchanges)  (This is for full design survey and ROW)  Level 4</t>
    </r>
  </si>
  <si>
    <r>
      <t>·</t>
    </r>
    <r>
      <rPr>
        <sz val="10"/>
        <rFont val="Arial"/>
        <family val="2"/>
      </rPr>
      <t>  Multi-lane limited access new construction (new alignment, major ROW and utility impacts, major interchange involvement)  (This is for full design survey and ROW)  Level 4</t>
    </r>
  </si>
  <si>
    <t>Architectural Program Review/Verification</t>
  </si>
  <si>
    <t>Noise Analysis</t>
  </si>
  <si>
    <t>Outdoor Advertising Identification</t>
  </si>
  <si>
    <t>Noise Study Report (NSR) Addendum</t>
  </si>
  <si>
    <t>32.6</t>
  </si>
  <si>
    <t>32.7</t>
  </si>
  <si>
    <t>32.8</t>
  </si>
  <si>
    <t>32.9</t>
  </si>
  <si>
    <t>Per Site</t>
  </si>
  <si>
    <t>35.5</t>
  </si>
  <si>
    <t>35.6</t>
  </si>
  <si>
    <t>35.7</t>
  </si>
  <si>
    <t>35.8</t>
  </si>
  <si>
    <t>35.9</t>
  </si>
  <si>
    <t>35.10</t>
  </si>
  <si>
    <t>35.11</t>
  </si>
  <si>
    <t>35.12</t>
  </si>
  <si>
    <t>35.13</t>
  </si>
  <si>
    <t>35.14</t>
  </si>
  <si>
    <t>35.15</t>
  </si>
  <si>
    <t>35.16</t>
  </si>
  <si>
    <t>35.17</t>
  </si>
  <si>
    <t>35.18</t>
  </si>
  <si>
    <t>35.20</t>
  </si>
  <si>
    <t>35.21</t>
  </si>
  <si>
    <t>35.22</t>
  </si>
  <si>
    <t>35.23</t>
  </si>
  <si>
    <t>35.24</t>
  </si>
  <si>
    <t>35.25</t>
  </si>
  <si>
    <t>35.26</t>
  </si>
  <si>
    <t>35.27</t>
  </si>
  <si>
    <t>35.28</t>
  </si>
  <si>
    <t>35.29</t>
  </si>
  <si>
    <t>35.30</t>
  </si>
  <si>
    <t>35.31</t>
  </si>
  <si>
    <t>35.32</t>
  </si>
  <si>
    <t>35.33</t>
  </si>
  <si>
    <t>35.34</t>
  </si>
  <si>
    <t>35.35</t>
  </si>
  <si>
    <t>35.36</t>
  </si>
  <si>
    <t>35.37</t>
  </si>
  <si>
    <t>35.38</t>
  </si>
  <si>
    <t>35.39</t>
  </si>
  <si>
    <t>35.40</t>
  </si>
  <si>
    <t>35.41</t>
  </si>
  <si>
    <t>35.42</t>
  </si>
  <si>
    <t>35.43</t>
  </si>
  <si>
    <t>35.44</t>
  </si>
  <si>
    <t>35.45</t>
  </si>
  <si>
    <t>35.46</t>
  </si>
  <si>
    <t>35.47</t>
  </si>
  <si>
    <t>35.48</t>
  </si>
  <si>
    <t>35.49</t>
  </si>
  <si>
    <t>35.50</t>
  </si>
  <si>
    <t>35.51</t>
  </si>
  <si>
    <t>35.52</t>
  </si>
  <si>
    <t>35.53</t>
  </si>
  <si>
    <t xml:space="preserve">4.  Formulas under "Total Staff Hours Range" (columns O &amp; P) may be adjusted to provide desired range. </t>
  </si>
  <si>
    <t>3.  Total Staff Hours (column O) may not match staff hours from Summary worksheet (column B) due to rounding.  Staff hours calculated for employee classifications are to be adjusted so totals in columns B and O match.</t>
  </si>
  <si>
    <t>35.55</t>
  </si>
  <si>
    <t>USACE</t>
  </si>
  <si>
    <t>Monitor Existing Structures</t>
  </si>
  <si>
    <t>In tab "Fee Sheet - Prime" - enter rates for employee classifications in row 9; prime consultant project number in cell O4; and name of estimator in cell O6.  Also add fees for each subconsultant in cells Q55-Q66.</t>
  </si>
  <si>
    <t>Also in "Fee Sheet - Prime" - enter Overhead Rate in cell N49, Operating Margin in N50, and FCCM in N51.</t>
  </si>
  <si>
    <t xml:space="preserve">In spreadsheet tab "Staff Hour Summary--Grand Total" - add staff classifications in columns C through N, row 10 (for example Project Manager, Chief Engineer, Landscape Architect, Technician, etc.) </t>
  </si>
  <si>
    <t>Also in "Fee Sheet - Sub" - enter Overhead Rate in cell N49, Operating Margin in N50, and FCCM in N51.</t>
  </si>
  <si>
    <t xml:space="preserve">In tab "Staff Hour Summary--Grand Total" - add staff classifications in columns C through N, row 10 (for example Project Manager, Chief Engineer, Landscape Architect, Technician, etc.).  After classifications are added for prime, add in all other classifications from Subconsultants.  Additional columns may be required if over 12 classifications are used. </t>
  </si>
  <si>
    <t>4-person crew days</t>
  </si>
  <si>
    <t>4-person crew days @</t>
  </si>
  <si>
    <t>Landscape and Existing Vegetation Coordination</t>
  </si>
  <si>
    <t>SELECTIVE CLEARING AND GRUBBING GUIDELINES</t>
  </si>
  <si>
    <t xml:space="preserve">Complexity of ROW </t>
  </si>
  <si>
    <t>No screening or buffering impacts</t>
  </si>
  <si>
    <t>Minor screening or buffering impacts</t>
  </si>
  <si>
    <t>Minimum</t>
  </si>
  <si>
    <t>Moderate</t>
  </si>
  <si>
    <t>Extensive</t>
  </si>
  <si>
    <t>Number of Species to Eradicate/Preserve</t>
  </si>
  <si>
    <t>Part of the project site is sensitive</t>
  </si>
  <si>
    <t xml:space="preserve">A large majority of the project site is sensitive </t>
  </si>
  <si>
    <t xml:space="preserve">Tree/Palm Relocation </t>
  </si>
  <si>
    <t>None</t>
  </si>
  <si>
    <t>Add an EXPENSE sheet to this workbook (this sheet is not included in spreadsheet).  Reference expense amount into "Fee Sheet - Sub" cell N52.</t>
  </si>
  <si>
    <t>Add an EXPENSE sheet to this workbook.  Reference expense amount into "Fee Sheet - Prime" cell N52.</t>
  </si>
  <si>
    <t xml:space="preserve">1.  Rural Multi-Lane </t>
  </si>
  <si>
    <t xml:space="preserve">2.  Limited Access </t>
  </si>
  <si>
    <t>1.  Urban Multi-Lane</t>
  </si>
  <si>
    <t xml:space="preserve">2.  Complex Limited Access </t>
  </si>
  <si>
    <t>3.  Interchange Projects</t>
  </si>
  <si>
    <t>1.  Complex Interchange Projects</t>
  </si>
  <si>
    <t>2.  Stand-alone Corridor Lighting Projects</t>
  </si>
  <si>
    <t>Existing Permit Analysis</t>
  </si>
  <si>
    <t>Hydroplaning Analysis</t>
  </si>
  <si>
    <t>6a.26</t>
  </si>
  <si>
    <t>6a.27</t>
  </si>
  <si>
    <t>Ancillary Structures Report</t>
  </si>
  <si>
    <t>Condition Evaluation of Signal and Sign Structures, and High Mast Light Poles</t>
  </si>
  <si>
    <t>Condition Evaluation of Signal and Sign Structures, and High Mast Light Poles (No As built or Design Plans Available)</t>
  </si>
  <si>
    <t>Analytical Evaluation of Signal and Sign Structures, and High Mast Light Poles</t>
  </si>
  <si>
    <t>EA structure</t>
  </si>
  <si>
    <t>Technical Special Provisions and Modified Special Provisions</t>
  </si>
  <si>
    <t>Technical Special Provisions and Modified Special Provisions Packages</t>
  </si>
  <si>
    <r>
      <t xml:space="preserve">THE % FOR SUPPLEMENTAL WILL BE DETERMINED AT NEGOTIATIONS. </t>
    </r>
    <r>
      <rPr>
        <sz val="11"/>
        <color rgb="FFC00000"/>
        <rFont val="Arial"/>
        <family val="2"/>
      </rPr>
      <t>THIS ITEM CAN ONLY BE USED IF AUTHORIZED IN WRITING BY THE DISTRICT SURVEYOR</t>
    </r>
  </si>
  <si>
    <t xml:space="preserve"> Comments</t>
  </si>
  <si>
    <r>
      <t>Standard</t>
    </r>
    <r>
      <rPr>
        <sz val="11"/>
        <color rgb="FFFF0000"/>
        <rFont val="Arial"/>
        <family val="2"/>
      </rPr>
      <t xml:space="preserve"> </t>
    </r>
    <r>
      <rPr>
        <sz val="11"/>
        <rFont val="Arial"/>
        <family val="2"/>
      </rPr>
      <t>Plans- Bridges</t>
    </r>
  </si>
  <si>
    <r>
      <t>Typical Mid-range Project</t>
    </r>
    <r>
      <rPr>
        <sz val="10"/>
        <rFont val="Arial"/>
        <family val="2"/>
      </rPr>
      <t xml:space="preserve"> - A mid-range project will typically include additional travel lanes, may include wetland or surface water impacts of less than one half acre and may require mitigation.  Mid-range projects may require authorization for use of Sovereign Submerged Lands and may have involvement with Threatened or Endangered Species.   Examples of typical mid-range projects may include permitting for:</t>
    </r>
  </si>
  <si>
    <r>
      <t>·</t>
    </r>
    <r>
      <rPr>
        <sz val="10"/>
        <rFont val="Arial"/>
        <family val="2"/>
      </rPr>
      <t>  Trails</t>
    </r>
  </si>
  <si>
    <r>
      <t>·</t>
    </r>
    <r>
      <rPr>
        <sz val="10"/>
        <rFont val="Arial"/>
        <family val="2"/>
      </rPr>
      <t>  Local Water Control District Right of Way Occupancy Permit</t>
    </r>
  </si>
  <si>
    <r>
      <t>·</t>
    </r>
    <r>
      <rPr>
        <sz val="10"/>
        <rFont val="Arial"/>
        <family val="2"/>
      </rPr>
      <t>  USACE (Individual Permit or Regional General Permit)</t>
    </r>
  </si>
  <si>
    <t xml:space="preserve">Coordinate and Review Dredge and Fill Sketches </t>
  </si>
  <si>
    <t>Compensatory Mitigation Plan</t>
  </si>
  <si>
    <t>Essential Fish Habitat Impact Analysis</t>
  </si>
  <si>
    <t>Protected Species and Habitat Impact Analysis</t>
  </si>
  <si>
    <t xml:space="preserve">Prepare Water Management District or Local Water Control District Right of Way Occupancy Permit Application </t>
  </si>
  <si>
    <t>9.10'</t>
  </si>
  <si>
    <t>3.11.1</t>
  </si>
  <si>
    <t>Contract Maintenance and Project Documentation</t>
  </si>
  <si>
    <t>TTCP Level:</t>
  </si>
  <si>
    <t>TTCP/Staged Construction Requirements</t>
  </si>
  <si>
    <t>Temporary Traffic Control Plans</t>
  </si>
  <si>
    <t>6a.28</t>
  </si>
  <si>
    <t>Preparing Mailing Lists</t>
  </si>
  <si>
    <t>Identify Existing Utility Agency Owner(s)</t>
  </si>
  <si>
    <t>Prepare USACE Section 408 Application to Alter a Civil Works Project</t>
  </si>
  <si>
    <t>Archaeological and Historical Resources</t>
  </si>
  <si>
    <t>Conceptual Planting Design</t>
  </si>
  <si>
    <t>Mainline</t>
  </si>
  <si>
    <t>Final Planting Design</t>
  </si>
  <si>
    <t>Conceptual Irrigation Design</t>
  </si>
  <si>
    <t xml:space="preserve">Feasibility Report </t>
  </si>
  <si>
    <t>Conceptual Hardscape Design</t>
  </si>
  <si>
    <t>Final Hardscape Design</t>
  </si>
  <si>
    <t>Other Landscape Services</t>
  </si>
  <si>
    <t>Vegetation Survey</t>
  </si>
  <si>
    <t>Tree Survey</t>
  </si>
  <si>
    <t>Adjacent Property Screening Concerns</t>
  </si>
  <si>
    <t>An effective permitting program is based on a commitment to close coordination and documentation among the CONSULTANT, the Department’s District Permit Coordinator, the Department's Environmental Management Office, the Department’s  Project Manager, and regulatory agencies.  The CONSULTANT shall meet with the District Permit Coordinator and  the Department’s  Project Manager prior to developing and submitting all permit application packages to ensure District policies regarding acquisition of environmental permits have been adequately addressed.  The Consultant shall meet with the Permit Coordinator and the Environmental Management Office to determine the level of work required for reevaluations and environmental clearances.  The CONSULTANT shall proceed with the development and submittal of permit application packages and acquisition of permits based upon the general guidelines provided by the DEPARTMENT.  The Environmental Permits Task is generally considered complete once all applicable environmental permits have been obtained.</t>
  </si>
  <si>
    <t>Below is a brief description of a typical low-range project, a typical mid-range project, and a typical high-range project, with examples of each.   Some projects, even typical ones, may not fall neatly into one of these categories.  Thus, the descriptions and lists below should be used only as a general guide and should never be used in lieu of close coordination among the CONSULTANT, the Department’s District Permit Coordinator, the Department's Environmental Management Office and  the Department’s  Project Manager.</t>
  </si>
  <si>
    <t>·  DEP (Coastal Construction Control Line (CCCL) permit)</t>
  </si>
  <si>
    <t>·  Local Water Control District Right of Way Occupancy Permit</t>
  </si>
  <si>
    <r>
      <t>Typical High-Range Project</t>
    </r>
    <r>
      <rPr>
        <sz val="10"/>
        <rFont val="Arial"/>
        <family val="2"/>
      </rPr>
      <t xml:space="preserve"> – A high-range project will typically include additional travel lanes, wetland or surface water impacts of one half acre or greater, and require mitigation.  High-range projects may require authorization for use of Sovereign Submerged Lands and may have involvement with Threatened or Endangered Species. Examples of typical high-range projects may include permitting for:</t>
    </r>
  </si>
  <si>
    <t xml:space="preserve">                     Context Classification:</t>
  </si>
  <si>
    <t>8. Environmental Permits and Env. Clearances</t>
  </si>
  <si>
    <t>25. Landscape Analysis</t>
  </si>
  <si>
    <t>26. Landscape Plans</t>
  </si>
  <si>
    <t>Environmental Permits and Environmental Clearances</t>
  </si>
  <si>
    <t>Environmental Permits and Environmental Clearances/Reevaluations Technical Subtotal</t>
  </si>
  <si>
    <t xml:space="preserve">Environmental Permits and Environmental Clearances Nontechnical Subtotal </t>
  </si>
  <si>
    <t>8. Environmental Permits and Environmental Clearances Total</t>
  </si>
  <si>
    <t>Landscape Analysis Technical Subtotal</t>
  </si>
  <si>
    <t>Landscape Plans Technical Hours Subtotal</t>
  </si>
  <si>
    <t>26. Landscape Plans Total</t>
  </si>
  <si>
    <t>Env. Permits and Env. Clearances</t>
  </si>
  <si>
    <t>Landscape Analysis</t>
  </si>
  <si>
    <t>Landscape Plans</t>
  </si>
  <si>
    <t>8. Environmental Permits,and Env. Clearances</t>
  </si>
  <si>
    <t>Project Control Sheet</t>
  </si>
  <si>
    <t>LANDSCAPE GUIDELINES</t>
  </si>
  <si>
    <t>1-3 Sign Faces</t>
  </si>
  <si>
    <t>4-6  Sign Faces</t>
  </si>
  <si>
    <t>7+ Sign Faces</t>
  </si>
  <si>
    <t>ENVIRONMENTAL PERMITS and ENVIRONMENTAL CLEARANCES GUIDELINES</t>
  </si>
  <si>
    <r>
      <t>·</t>
    </r>
    <r>
      <rPr>
        <sz val="10"/>
        <rFont val="Arial"/>
        <family val="2"/>
      </rPr>
      <t>  DEP/WMD (General Permit)</t>
    </r>
  </si>
  <si>
    <r>
      <t>·</t>
    </r>
    <r>
      <rPr>
        <sz val="10"/>
        <rFont val="Arial"/>
        <family val="2"/>
      </rPr>
      <t>  EPA and/or DEP [National Pollutant Discharge Elimination System (NPDES) Construction General Permit]</t>
    </r>
  </si>
  <si>
    <r>
      <t>·</t>
    </r>
    <r>
      <rPr>
        <sz val="10"/>
        <rFont val="Arial"/>
        <family val="2"/>
      </rPr>
      <t>  Minor activities waterward of the Coastal Construction Control Line (CCCL)</t>
    </r>
  </si>
  <si>
    <r>
      <t>·</t>
    </r>
    <r>
      <rPr>
        <sz val="10"/>
        <rFont val="Arial"/>
        <family val="2"/>
      </rPr>
      <t>  DEP/WMD (Individual Permit)</t>
    </r>
  </si>
  <si>
    <r>
      <t>·</t>
    </r>
    <r>
      <rPr>
        <sz val="10"/>
        <rFont val="Arial"/>
        <family val="2"/>
      </rPr>
      <t>  DEP (CCCL permit)</t>
    </r>
  </si>
  <si>
    <t>· DEP Class V Deep Well Permit</t>
  </si>
  <si>
    <t>Standard intersections and Interchanges</t>
  </si>
  <si>
    <t>Complex intersections and Multiple-Level Interchanges</t>
  </si>
  <si>
    <t>1. Two-Lane Arterial and Collector Roadways</t>
  </si>
  <si>
    <t>2. New Construction &amp; Reconstruction Projects on Limited Access Roadways with Interchange Spacing &gt; 3 miles</t>
  </si>
  <si>
    <t>3. Resurfacing Projects on Limited Access Roadways with Minor Signing Improvements</t>
  </si>
  <si>
    <t>1. Multi-Lane Arterial and Collector Roadways</t>
  </si>
  <si>
    <t>2. New Construction &amp; Reconstruction Projects on Limited Access Roadways with Interchange Spacing between 2 and 3 miles</t>
  </si>
  <si>
    <r>
      <rPr>
        <sz val="10"/>
        <rFont val="Arial"/>
        <family val="2"/>
      </rPr>
      <t>3. Stand-alone Rural</t>
    </r>
    <r>
      <rPr>
        <sz val="10"/>
        <color rgb="FFFF0000"/>
        <rFont val="Arial"/>
        <family val="2"/>
      </rPr>
      <t xml:space="preserve"> </t>
    </r>
    <r>
      <rPr>
        <sz val="10"/>
        <rFont val="Arial"/>
        <family val="2"/>
      </rPr>
      <t>Interchange Improvements</t>
    </r>
  </si>
  <si>
    <t>2. Stand-alone Urban Interchange Improvements</t>
  </si>
  <si>
    <t>1. New Construction &amp; Reconstruction Projects on Limited Access Roadways with Interchange Spacing &lt; 2 miles</t>
  </si>
  <si>
    <t>Signing and Pavement Marking Master Design File</t>
  </si>
  <si>
    <t>Lighting Design Analysis Report (LDAR)</t>
  </si>
  <si>
    <t>Temporary Highway Lighting</t>
  </si>
  <si>
    <t>Project Control Sheets</t>
  </si>
  <si>
    <t>Integrated 3D Drawings</t>
  </si>
  <si>
    <t>Life Safety Plans</t>
  </si>
  <si>
    <t>Site Plans</t>
  </si>
  <si>
    <t>Floor Plans (Small Scale)</t>
  </si>
  <si>
    <t>Floor Plans (Large Scale)</t>
  </si>
  <si>
    <t>Exterior Elevations</t>
  </si>
  <si>
    <t>Roof Plans</t>
  </si>
  <si>
    <t>Interior Elevations</t>
  </si>
  <si>
    <t>Rest Room Plans (Enlarged)</t>
  </si>
  <si>
    <t>Rest Room Elevations</t>
  </si>
  <si>
    <t>Building Sections</t>
  </si>
  <si>
    <t>Reflective Ceiling Plans</t>
  </si>
  <si>
    <t>Door Jamb Details and Window Details</t>
  </si>
  <si>
    <t>Exterior Wall Sections</t>
  </si>
  <si>
    <t>Interior Wall Sections</t>
  </si>
  <si>
    <t>Overhead Door Details</t>
  </si>
  <si>
    <t>Curtain Wall Details</t>
  </si>
  <si>
    <t>Signage Details</t>
  </si>
  <si>
    <t>Foundation Plans (Small Scale)</t>
  </si>
  <si>
    <t>Foundation Plans (Large Scale)</t>
  </si>
  <si>
    <t>Slab Plans (Small Scale)</t>
  </si>
  <si>
    <t>Slab Plans (Large Scale)</t>
  </si>
  <si>
    <t xml:space="preserve">Slab Placement Plans </t>
  </si>
  <si>
    <t>Slab Placement Details</t>
  </si>
  <si>
    <t>Foundation Sections</t>
  </si>
  <si>
    <t>Foundation Details</t>
  </si>
  <si>
    <t>Slab Sections</t>
  </si>
  <si>
    <t>Slab Details</t>
  </si>
  <si>
    <t>Roof Framing Plans (Small Scale)</t>
  </si>
  <si>
    <t>Roof Framing Plans (Large Scale)</t>
  </si>
  <si>
    <t>Roof Loading Plans and Details</t>
  </si>
  <si>
    <t>Roof Sections</t>
  </si>
  <si>
    <t>Bearing Wall Sections</t>
  </si>
  <si>
    <t>Bearing Wall Details</t>
  </si>
  <si>
    <t>Column Sections</t>
  </si>
  <si>
    <t>Column Details</t>
  </si>
  <si>
    <t>Plans (Small Scale)</t>
  </si>
  <si>
    <t>Plans (Large Scale)</t>
  </si>
  <si>
    <t>Sections</t>
  </si>
  <si>
    <t>Piping Schematics</t>
  </si>
  <si>
    <t>Control Plans</t>
  </si>
  <si>
    <t xml:space="preserve">Schedules </t>
  </si>
  <si>
    <t>Isometrics (Large Scale)</t>
  </si>
  <si>
    <t>Riser Diagrams</t>
  </si>
  <si>
    <t>Lighting Fixtures Schedules</t>
  </si>
  <si>
    <t>Lighting Fixtures Details</t>
  </si>
  <si>
    <t>Power Plans</t>
  </si>
  <si>
    <t>Power Distribution Riser Diagrams</t>
  </si>
  <si>
    <t>Panel Board Schedules</t>
  </si>
  <si>
    <t>Data Plans</t>
  </si>
  <si>
    <t>Data Details</t>
  </si>
  <si>
    <t>Communication Plans</t>
  </si>
  <si>
    <t>Communication Details</t>
  </si>
  <si>
    <t>Security Alarm System Plans</t>
  </si>
  <si>
    <t>3.3.2</t>
  </si>
  <si>
    <t>999999-1-32-01</t>
  </si>
  <si>
    <t>Drainage Structures</t>
  </si>
  <si>
    <t xml:space="preserve">    o    Intensive public involvement anticipated (high likelihood of abatement and outreach to many people or to numerous distinct NSAs).</t>
  </si>
  <si>
    <t xml:space="preserve">    o    Many traffic volumes to be input for many distinct segments of roadway</t>
  </si>
  <si>
    <t xml:space="preserve">    o    Complex terrain and/or roadway cross section near NSAs that requires multiple features in model including terrain lines to define cut/fill, bridges, MSE walls, barrier walls, ditches, etc.</t>
  </si>
  <si>
    <t xml:space="preserve">    o    Numerous roadway links to be modeled (highway mainline, ramps, turn lanes, crossroads/overpass/underpass, etc.)</t>
  </si>
  <si>
    <t xml:space="preserve">    o    Extensive outdoor “special land use” properties: parks, pools, etc.</t>
  </si>
  <si>
    <t xml:space="preserve">    o    many churches, schools, outdoor uses (restaurant dining, etc.) or other sensitive receptors</t>
  </si>
  <si>
    <t xml:space="preserve">    o    dense single family or multi-family residential; some or many multi-story properties</t>
  </si>
  <si>
    <t xml:space="preserve">·        Density of NSAs is high resulting in large number of closely-spaced receptors, building rows in model, etc.: </t>
  </si>
  <si>
    <t>·        large number of distinct NSAs proximate to corridor</t>
  </si>
  <si>
    <t>Factors contributing to an upper end classification include:</t>
  </si>
  <si>
    <t>Any corridor greater than 5 miles identified with a context classification of C2T-Rural Town, 3CR-Suburban Residential, C3C- Suburban Commercial, T3 Suburban Zone, or C4-Urban General);</t>
  </si>
  <si>
    <t>Any corridor identified with a context classification of C5-Urban Center or C6-Urban Core of any length; or</t>
  </si>
  <si>
    <t xml:space="preserve"> Upper End of Range Projects</t>
  </si>
  <si>
    <t>·        Moderate public involvement anticipated (potential for some abatement and outreach to a few communities)</t>
  </si>
  <si>
    <t>·        Relatively simple terrain and simple rural/suburban cross section to be included in model</t>
  </si>
  <si>
    <t>·        Moderate numbers of roadway segments with distinct traffic volumes to be input.</t>
  </si>
  <si>
    <t xml:space="preserve">·        Some additional roadway links to be modeled (crossroads, turn lanes, interchange ramps, etc.) of a moderate level of complexity (few curves, few superelevated sections, etc.) </t>
  </si>
  <si>
    <r>
      <t xml:space="preserve">    o</t>
    </r>
    <r>
      <rPr>
        <sz val="7"/>
        <rFont val="Arial"/>
        <family val="2"/>
      </rPr>
      <t xml:space="preserve">    </t>
    </r>
    <r>
      <rPr>
        <sz val="10"/>
        <rFont val="Arial"/>
        <family val="2"/>
      </rPr>
      <t>few building rows or coded barriers needed</t>
    </r>
  </si>
  <si>
    <r>
      <t xml:space="preserve">    o</t>
    </r>
    <r>
      <rPr>
        <sz val="7"/>
        <rFont val="Arial"/>
        <family val="2"/>
      </rPr>
      <t xml:space="preserve">    </t>
    </r>
    <r>
      <rPr>
        <sz val="10"/>
        <rFont val="Arial"/>
        <family val="2"/>
      </rPr>
      <t>low to moderate number of outdoor “special land use” properties: parks, pools, etc.</t>
    </r>
  </si>
  <si>
    <r>
      <t xml:space="preserve">    o</t>
    </r>
    <r>
      <rPr>
        <sz val="7"/>
        <rFont val="Arial"/>
        <family val="2"/>
      </rPr>
      <t xml:space="preserve">    </t>
    </r>
    <r>
      <rPr>
        <sz val="10"/>
        <rFont val="Arial"/>
        <family val="2"/>
      </rPr>
      <t>churches, schools, outdoor uses (restaurant dining, etc.) or other sensitive receptors</t>
    </r>
  </si>
  <si>
    <r>
      <t xml:space="preserve">    o</t>
    </r>
    <r>
      <rPr>
        <sz val="7"/>
        <rFont val="Arial"/>
        <family val="2"/>
      </rPr>
      <t xml:space="preserve">    </t>
    </r>
    <r>
      <rPr>
        <sz val="10"/>
        <rFont val="Arial"/>
        <family val="2"/>
      </rPr>
      <t>single family or low-level multi-family residential; mostly single-story properties</t>
    </r>
  </si>
  <si>
    <t xml:space="preserve">·        moderate density and number of Noise Sensitive Areas (NSAs) proximate to corridor resulting in moderate number of receptors modeled: </t>
  </si>
  <si>
    <t>·        length less or equal to 5 miles (greater length may justify “upper end” classification)</t>
  </si>
  <si>
    <t xml:space="preserve">Any corridor identified with a context classification of C2T-Rural Town, C3R-Suburban Residential, C3C- Suburban Commercial, or C4-Urban General. Factors contributing to a lower classification include: </t>
  </si>
  <si>
    <t>·         Minimal public involvement expected since likelihood of noise abatement is low</t>
  </si>
  <si>
    <t>·         Simple terrain and roadway cross-sections (minimal terrain or elevation changes that need to be coded in model)</t>
  </si>
  <si>
    <t>·         Minimal number of distinct traffic volumes needed to be entered into model</t>
  </si>
  <si>
    <t>·         Few cross-roads, interchange ramps or other facilities that require additional modeling effort</t>
  </si>
  <si>
    <t>·         Minimal noise sensitive uses in the corridor at a low density of development</t>
  </si>
  <si>
    <t xml:space="preserve">Any corridor identified with a context classification of C1-Natural; C2-Rural of any length; or C3C-Surban Commercial with no residentials. Factors contributing to a lower classification include: </t>
  </si>
  <si>
    <t>Each alternative is considered a corridor and may be categorized at different ranges of complexity. Specific aspects of each individual project should be considered in negotiating hours for each individual task.  Whenever possible, examples of individual tasks will be included to provide guidance in determining what types of effort are associated with each individual task.</t>
  </si>
  <si>
    <t xml:space="preserve">  </t>
  </si>
  <si>
    <t>The staff hour ranges presented in this section represent the work effort that is expected for individual tasks related to modeling a typical roadway project.  Noise analysis ranges are based on the number of noise receptors that have a potential to be impacted by the project. Number of noise receptors is a function of existing land use and roadway context classification.</t>
  </si>
  <si>
    <t>NOISE GUIDELINES</t>
  </si>
  <si>
    <t>3.3.1</t>
  </si>
  <si>
    <t>Specifications &amp; Estimates</t>
  </si>
  <si>
    <t>6a.16</t>
  </si>
  <si>
    <t>6a.29</t>
  </si>
  <si>
    <t>Carries to 9.12</t>
  </si>
  <si>
    <t>Carries to 23.13</t>
  </si>
  <si>
    <t>Carries to 27.34</t>
  </si>
  <si>
    <t>Carries to 35.52</t>
  </si>
  <si>
    <t>6b. Drainage Plans Staff Hours</t>
  </si>
  <si>
    <t>How to Use This Form</t>
  </si>
  <si>
    <t>Calculated hours represent the expected effort to complete each task based on project parameters and should be considered a starting point for staff hour negotiations.  The Consultant and Department staff must jointly determine the appropriate staff hours to fully cover the effort.</t>
  </si>
  <si>
    <t>Project Parameter</t>
  </si>
  <si>
    <t>Staff Hours</t>
  </si>
  <si>
    <t>Documentation</t>
  </si>
  <si>
    <t>Description</t>
  </si>
  <si>
    <t>Complexity</t>
  </si>
  <si>
    <t>Calculated</t>
  </si>
  <si>
    <t>Department</t>
  </si>
  <si>
    <t xml:space="preserve">Negotiated </t>
  </si>
  <si>
    <t>Provide documentation when negotiated hours differ from the calculated hours.</t>
  </si>
  <si>
    <t>Length (Miles)</t>
  </si>
  <si>
    <t>Low Range</t>
  </si>
  <si>
    <t>Mid Range</t>
  </si>
  <si>
    <t>Standard</t>
  </si>
  <si>
    <t>Complex</t>
  </si>
  <si>
    <t>Ditches</t>
  </si>
  <si>
    <t>26. Landscape Plans Staff Hours</t>
  </si>
  <si>
    <t>Negotiated</t>
  </si>
  <si>
    <t>Signature Sheet</t>
  </si>
  <si>
    <t>Planting Plans For Linear Areas</t>
  </si>
  <si>
    <t>Yes</t>
  </si>
  <si>
    <t>Planting Plans for Non-Linear Areas (Stormwater Facilities, Rest Areas, Interchanges, &amp; Toll Plazas)</t>
  </si>
  <si>
    <t>No</t>
  </si>
  <si>
    <t>Irrigation Plans for Linear Areas</t>
  </si>
  <si>
    <t>Irrigation Plans for Non-Linear Areas (Stormwater Facilities, Rest Areas, Interchanges, &amp; Toll Plazas)</t>
  </si>
  <si>
    <t>8.6.1</t>
  </si>
  <si>
    <t>Prepare and submit required documents for USCG coordination</t>
  </si>
  <si>
    <t>8.6.2</t>
  </si>
  <si>
    <t>Complete and submit USCG Bridge Application</t>
  </si>
  <si>
    <t>8.21</t>
  </si>
  <si>
    <t>3.      Repairs and Renovations</t>
  </si>
  <si>
    <t>Miscellaneous Repairs and Renovations, Alterations to Office Space, Fire Code Corrective Work</t>
  </si>
  <si>
    <t>31.141.1</t>
  </si>
  <si>
    <t>GBRS Coordination Meetings</t>
  </si>
  <si>
    <t>31.141.2</t>
  </si>
  <si>
    <t>GBRS Commissioning</t>
  </si>
  <si>
    <t>31.141.3</t>
  </si>
  <si>
    <t>GBRS Green Credit</t>
  </si>
  <si>
    <t>Carries to Summary Tab</t>
  </si>
  <si>
    <t>Low</t>
  </si>
  <si>
    <t>Mid</t>
  </si>
  <si>
    <t>Upper</t>
  </si>
  <si>
    <t>Other</t>
  </si>
  <si>
    <t>Bridges</t>
  </si>
  <si>
    <t>Lateral Ditches</t>
  </si>
  <si>
    <t>Cross Section Alignments</t>
  </si>
  <si>
    <t>Retention/Detention/Floodplain Compensation Ponds</t>
  </si>
  <si>
    <t>Ponds</t>
  </si>
  <si>
    <t>Calculated Hours</t>
  </si>
  <si>
    <t>Project Complexity</t>
  </si>
  <si>
    <t>Per Mile</t>
  </si>
  <si>
    <t>Regulatory Agency Support</t>
  </si>
  <si>
    <t>Carries to 8.18</t>
  </si>
  <si>
    <t>Carries to 28.20</t>
  </si>
  <si>
    <t>4.      Average Complexity</t>
  </si>
  <si>
    <t>5.      Less than average complexity</t>
  </si>
  <si>
    <r>
      <t xml:space="preserve">6. </t>
    </r>
    <r>
      <rPr>
        <sz val="10"/>
        <rFont val="Arial"/>
        <family val="2"/>
      </rPr>
      <t xml:space="preserve">    </t>
    </r>
    <r>
      <rPr>
        <b/>
        <sz val="10"/>
        <rFont val="Arial"/>
        <family val="2"/>
      </rPr>
      <t>Considerably Less Than Average Complexity</t>
    </r>
  </si>
  <si>
    <t>GBRS Certification</t>
  </si>
  <si>
    <t>Communications Subsystem Analysis</t>
  </si>
  <si>
    <t>Grounding, Surge Suppression, and Lightning Protection Analysis</t>
  </si>
  <si>
    <t>ITS Poles and Overhead Structures Elevation Analysis</t>
  </si>
  <si>
    <t>DMS Sign Panel Design Analysis</t>
  </si>
  <si>
    <r>
      <t xml:space="preserve">1. All items in </t>
    </r>
    <r>
      <rPr>
        <b/>
        <sz val="12"/>
        <color rgb="FFC00000"/>
        <rFont val="Arial"/>
        <family val="2"/>
      </rPr>
      <t>RED</t>
    </r>
    <r>
      <rPr>
        <sz val="12"/>
        <rFont val="Arial"/>
        <family val="2"/>
      </rPr>
      <t xml:space="preserve"> font are for the user to edit cell. 
2. All cells that are shaded in </t>
    </r>
    <r>
      <rPr>
        <b/>
        <sz val="12"/>
        <color rgb="FFC00000"/>
        <rFont val="Arial"/>
        <family val="2"/>
      </rPr>
      <t>RED</t>
    </r>
    <r>
      <rPr>
        <sz val="12"/>
        <rFont val="Arial"/>
        <family val="2"/>
      </rPr>
      <t xml:space="preserve"> contain a drop down list for the user to make a selection. 
3. Most "Project Parameter" cells will have a brief explanation of what should be inserted in the cell, this information is displayed by selecting a cell and hovering over that cell with your cursor. 
4. All cells designed not to be edited by the user have been locked for the users convenience to avoid accidental edits of formulas, text, etc. If you recognize any errors in the locked cells, please contact the Staff Hour Forms Manager listed below.
</t>
    </r>
  </si>
  <si>
    <t>Simple</t>
  </si>
  <si>
    <t xml:space="preserve">Service Point Details </t>
  </si>
  <si>
    <t>Service
Point</t>
  </si>
  <si>
    <t>Guide Sign Data</t>
  </si>
  <si>
    <t>Sign Panel</t>
  </si>
  <si>
    <t>Cross Sections (Sign Installations)</t>
  </si>
  <si>
    <t>Multi-post
signs</t>
  </si>
  <si>
    <t>S&amp;PM Plans Technical Hours Subtotal</t>
  </si>
  <si>
    <t>S&amp;PM Plans Total</t>
  </si>
  <si>
    <t>Signalization Plan Sheets</t>
  </si>
  <si>
    <t>Intersections</t>
  </si>
  <si>
    <t>Interconnect Plan Sheets</t>
  </si>
  <si>
    <t>Sites
(Loop Detect.)</t>
  </si>
  <si>
    <t>Sites
(Other Detect.)</t>
  </si>
  <si>
    <t>Mast Arm / Monotube Data</t>
  </si>
  <si>
    <t>Signal Arm</t>
  </si>
  <si>
    <t>Single
Mast Arm</t>
  </si>
  <si>
    <t>Double
Mast Arm</t>
  </si>
  <si>
    <t>Span</t>
  </si>
  <si>
    <t xml:space="preserve">TTCP Signal </t>
  </si>
  <si>
    <t>Intersections
w/o ped signal</t>
  </si>
  <si>
    <t>Intersections
with ped signal</t>
  </si>
  <si>
    <t>Poles</t>
  </si>
  <si>
    <t>Plan Sheets (Corridor Projects)</t>
  </si>
  <si>
    <t>Plan Sheets (Isolated Loctions)</t>
  </si>
  <si>
    <t>Lighting Plans Technical Hours Subtotal</t>
  </si>
  <si>
    <t>Lighting Plans Total</t>
  </si>
  <si>
    <t>Intersections or  Mid-Blocks</t>
  </si>
  <si>
    <t>Light Poles</t>
  </si>
  <si>
    <t>ITS Installations</t>
  </si>
  <si>
    <t>Box Culverts</t>
  </si>
  <si>
    <t>Task Complexity</t>
  </si>
  <si>
    <t>Rounded Length</t>
  </si>
  <si>
    <t>Subtotal per Complexity range</t>
  </si>
  <si>
    <t>each extra mi</t>
  </si>
  <si>
    <t>Interchange</t>
  </si>
  <si>
    <t>Phase 2</t>
  </si>
  <si>
    <t>Subtotals:</t>
  </si>
  <si>
    <t>Subtotal</t>
  </si>
  <si>
    <r>
      <t xml:space="preserve">Bridges </t>
    </r>
    <r>
      <rPr>
        <u/>
        <sz val="10"/>
        <rFont val="Times New Roman"/>
        <family val="1"/>
      </rPr>
      <t>&gt;</t>
    </r>
    <r>
      <rPr>
        <sz val="10"/>
        <rFont val="Times New Roman"/>
        <family val="1"/>
      </rPr>
      <t xml:space="preserve"> 7</t>
    </r>
  </si>
  <si>
    <t>Bridges 2-6</t>
  </si>
  <si>
    <t>Base for 
1st bridge</t>
  </si>
  <si>
    <t># Bridges</t>
  </si>
  <si>
    <t>Below</t>
  </si>
  <si>
    <t>Above</t>
  </si>
  <si>
    <t>Base 1</t>
  </si>
  <si>
    <t>Base 2</t>
  </si>
  <si>
    <t>Base 3</t>
  </si>
  <si>
    <t>N/A 1</t>
  </si>
  <si>
    <t>N/A 2</t>
  </si>
  <si>
    <t>N/A 3</t>
  </si>
  <si>
    <t>DRN02-001</t>
  </si>
  <si>
    <t>DRN02-002</t>
  </si>
  <si>
    <t>DRN02-003</t>
  </si>
  <si>
    <t>DRN02-004</t>
  </si>
  <si>
    <t>DRN02-005</t>
  </si>
  <si>
    <t>DRN02-006</t>
  </si>
  <si>
    <t>DRN02-007</t>
  </si>
  <si>
    <t>DRN02-008</t>
  </si>
  <si>
    <t>DRN02-009</t>
  </si>
  <si>
    <t>DRN02-010</t>
  </si>
  <si>
    <t>DRN02-013</t>
  </si>
  <si>
    <t>DRN02-014</t>
  </si>
  <si>
    <t>LND02-001</t>
  </si>
  <si>
    <t>LND02-002</t>
  </si>
  <si>
    <t>LND02-003</t>
  </si>
  <si>
    <t>LND02-004</t>
  </si>
  <si>
    <t>LND02-005</t>
  </si>
  <si>
    <t>LND02-006</t>
  </si>
  <si>
    <t>LND02-007</t>
  </si>
  <si>
    <t>LND02-008</t>
  </si>
  <si>
    <t>LND02-009</t>
  </si>
  <si>
    <t>LND02-010</t>
  </si>
  <si>
    <t>LND02-011</t>
  </si>
  <si>
    <t>LND02-012</t>
  </si>
  <si>
    <t>LND02-013</t>
  </si>
  <si>
    <t>LND02-014</t>
  </si>
  <si>
    <t>Basis</t>
  </si>
  <si>
    <t>LTG02-001</t>
  </si>
  <si>
    <t>LTG02-002</t>
  </si>
  <si>
    <t>LTG02-003</t>
  </si>
  <si>
    <t>LTG02-004</t>
  </si>
  <si>
    <t>LTG02-005</t>
  </si>
  <si>
    <t>LTG02-006</t>
  </si>
  <si>
    <t>LTG02-007</t>
  </si>
  <si>
    <t>LTG02-008</t>
  </si>
  <si>
    <t>LTG02-009</t>
  </si>
  <si>
    <t>LTG02-010</t>
  </si>
  <si>
    <t>LTG02-011</t>
  </si>
  <si>
    <t>LTG02-012</t>
  </si>
  <si>
    <t>LTG02-013</t>
  </si>
  <si>
    <t>LTG02-014</t>
  </si>
  <si>
    <t>LTG02-015</t>
  </si>
  <si>
    <t>LTG02-016</t>
  </si>
  <si>
    <t>LTG02-017</t>
  </si>
  <si>
    <t>Interchanges 
or Rest Areas</t>
  </si>
  <si>
    <t>SIG02-001</t>
  </si>
  <si>
    <t>SIG02-002</t>
  </si>
  <si>
    <t>SIG02-003</t>
  </si>
  <si>
    <t>SIG02-004</t>
  </si>
  <si>
    <t>SIG02-005</t>
  </si>
  <si>
    <t>SIG02-006</t>
  </si>
  <si>
    <t>SIG02-007</t>
  </si>
  <si>
    <t>SIG02-008</t>
  </si>
  <si>
    <t>SIG02-009</t>
  </si>
  <si>
    <t>SIG02-010</t>
  </si>
  <si>
    <t>SIG02-011</t>
  </si>
  <si>
    <t>SIG02-012</t>
  </si>
  <si>
    <t>SIG02-013</t>
  </si>
  <si>
    <t>SIG02-014</t>
  </si>
  <si>
    <t>SIG02-015</t>
  </si>
  <si>
    <t>SIG02-016</t>
  </si>
  <si>
    <t>SIG02-017</t>
  </si>
  <si>
    <t>SIG02-018</t>
  </si>
  <si>
    <t>SIG02-019</t>
  </si>
  <si>
    <t>SIG02-020</t>
  </si>
  <si>
    <t>SIG02-021</t>
  </si>
  <si>
    <t>Signalized Intersections</t>
  </si>
  <si>
    <t>SPM02-001</t>
  </si>
  <si>
    <t>SPM02-002</t>
  </si>
  <si>
    <t>SPM02-003</t>
  </si>
  <si>
    <t>SPM02-004</t>
  </si>
  <si>
    <t>SPM02-005</t>
  </si>
  <si>
    <t>SPM02-006</t>
  </si>
  <si>
    <t>SPM02-007</t>
  </si>
  <si>
    <t>SPM02-008</t>
  </si>
  <si>
    <t>SPM02-009</t>
  </si>
  <si>
    <t>SPM02-010</t>
  </si>
  <si>
    <t>SPM02-011</t>
  </si>
  <si>
    <t>SPM02-012</t>
  </si>
  <si>
    <t>SPM02-013</t>
  </si>
  <si>
    <t>SPM02-014</t>
  </si>
  <si>
    <t>SPM02-015</t>
  </si>
  <si>
    <t>SPM02-016</t>
  </si>
  <si>
    <t>SPM02-017</t>
  </si>
  <si>
    <t>SPM02-018</t>
  </si>
  <si>
    <t>SPM02-019</t>
  </si>
  <si>
    <t>Sig Intersection
Mid-Block Xing</t>
  </si>
  <si>
    <t>Interchange
Roundabout</t>
  </si>
  <si>
    <t>Signalization Plans Total</t>
  </si>
  <si>
    <t>Base for 
1st mi</t>
  </si>
  <si>
    <t>each mi &gt; 10.00</t>
  </si>
  <si>
    <t>Signalization Plans Technical Hours Subtotal</t>
  </si>
  <si>
    <t>Rest Area 
Toll Facility</t>
  </si>
  <si>
    <t>`</t>
  </si>
  <si>
    <t>Interchanges
Rest Areas</t>
  </si>
  <si>
    <t>TTCP Quantities for EQ Report</t>
  </si>
  <si>
    <t>Major Phases</t>
  </si>
  <si>
    <t>Report</t>
  </si>
  <si>
    <t>Components</t>
  </si>
  <si>
    <t>Maintenance Plan</t>
  </si>
  <si>
    <t>Temporary Detection Sheet</t>
  </si>
  <si>
    <t>Plant Schedule (Sheet no longer produced)</t>
  </si>
  <si>
    <t>Roadway Quantities for EQ Report</t>
  </si>
  <si>
    <t>Drainage Quantities for EQ Report</t>
  </si>
  <si>
    <t>Structures Quantites for EQ Report</t>
  </si>
  <si>
    <t>S&amp;PM Quantities for EQ Report</t>
  </si>
  <si>
    <t>Overhead Sign Structures</t>
  </si>
  <si>
    <t>Signalization Quantities for EQ Report</t>
  </si>
  <si>
    <t>Lighting Quantities for EQ Report</t>
  </si>
  <si>
    <t>Planting Details</t>
  </si>
  <si>
    <t>Irrigation Details</t>
  </si>
  <si>
    <t>Hardscape Plans</t>
  </si>
  <si>
    <t>ITS Quantities for EQ Report</t>
  </si>
  <si>
    <t>Element</t>
  </si>
  <si>
    <t>Complexity Guidance</t>
  </si>
  <si>
    <t>Rating</t>
  </si>
  <si>
    <t>N/A</t>
  </si>
  <si>
    <t>N/A:</t>
  </si>
  <si>
    <t xml:space="preserve">Simple: </t>
  </si>
  <si>
    <t xml:space="preserve">Standard: </t>
  </si>
  <si>
    <t>Significant screening or buffering impacts</t>
  </si>
  <si>
    <t xml:space="preserve">Complex: </t>
  </si>
  <si>
    <t>Commitments/Stakeholders involved</t>
  </si>
  <si>
    <t>No Roadway (pond, rest area)</t>
  </si>
  <si>
    <t>No Intersections</t>
  </si>
  <si>
    <t>Utility, and Local and State Agency Coordination</t>
  </si>
  <si>
    <t>No coordination</t>
  </si>
  <si>
    <t>Minimum - 2 or less utilities and agencies</t>
  </si>
  <si>
    <t>Moderate - 3 to 5 utilities and agencies</t>
  </si>
  <si>
    <t>1-3 Plant Species, 1 Method</t>
  </si>
  <si>
    <t>1-6 Plant Species, 1-2 Methods</t>
  </si>
  <si>
    <t>7+ Plant Species or 3+ Methods</t>
  </si>
  <si>
    <t>No sensitive sites involvement</t>
  </si>
  <si>
    <t>Minimal sensitive sites involvement</t>
  </si>
  <si>
    <t xml:space="preserve">Number of Trees to be Inventoried </t>
  </si>
  <si>
    <t>1-20 Trees</t>
  </si>
  <si>
    <t xml:space="preserve">21-50  Trees </t>
  </si>
  <si>
    <t>51+ Trees</t>
  </si>
  <si>
    <t>Number of Trees to be Root or Branch Pruned</t>
  </si>
  <si>
    <t>1 to 3 Trees</t>
  </si>
  <si>
    <t>4 to 10 Trees</t>
  </si>
  <si>
    <t>11 Trees</t>
  </si>
  <si>
    <t>1-10 Trees</t>
  </si>
  <si>
    <t xml:space="preserve">11 - 20  Trees </t>
  </si>
  <si>
    <t>21+ Trees</t>
  </si>
  <si>
    <t xml:space="preserve">Total Points: </t>
  </si>
  <si>
    <t xml:space="preserve">Overall Complexity: </t>
  </si>
  <si>
    <t>Total Points 21 or more:</t>
  </si>
  <si>
    <t>Utility impacts and R/W involvement/constraints</t>
  </si>
  <si>
    <t>Limited Access</t>
  </si>
  <si>
    <t>Multi-Lane</t>
  </si>
  <si>
    <t>Utility impacts, driveway connections, intersection improvements, and R/W involvement/constraints</t>
  </si>
  <si>
    <t>Reconstruction</t>
  </si>
  <si>
    <t>Curbed</t>
  </si>
  <si>
    <t>Minimal utility involvement, interchange/intersection improvements, and possible R/W involvement</t>
  </si>
  <si>
    <t>New Construction or Reconstruction</t>
  </si>
  <si>
    <t>Widening/Resurfacing</t>
  </si>
  <si>
    <t>New Construction or Widening/Resurfacing</t>
  </si>
  <si>
    <t>2-Lane or Multi-Lane</t>
  </si>
  <si>
    <t>2-Lane</t>
  </si>
  <si>
    <t>Reconstruction or Widening/Resurfacing</t>
  </si>
  <si>
    <t>Flush Shoulder</t>
  </si>
  <si>
    <t>New Innovative Intersections</t>
  </si>
  <si>
    <t>Flush Shoulder or Curbed</t>
  </si>
  <si>
    <t>All Roadway Types</t>
  </si>
  <si>
    <t>Safety enhancements, interchange involvement, and cross slope correction</t>
  </si>
  <si>
    <t>Resurfacing or Widening/Resurfacing</t>
  </si>
  <si>
    <t>Safety &amp; Bike/Ped enhancements, ADA improvements,  intersection improvements, and cross slope correction</t>
  </si>
  <si>
    <t>RRR</t>
  </si>
  <si>
    <t>New Construction</t>
  </si>
  <si>
    <t>Safety enhancements, turnout improvements, intersection improvements, and cross slope correction</t>
  </si>
  <si>
    <t>RRR or Widening/Resurfacing</t>
  </si>
  <si>
    <t>Resurfacing</t>
  </si>
  <si>
    <t>Calculated earthwork quantities</t>
  </si>
  <si>
    <t xml:space="preserve">Safety Improvement or Sidewalk Projects </t>
  </si>
  <si>
    <t>No improvements, or cross slope correction</t>
  </si>
  <si>
    <t>Below (very low) Complexity Projects</t>
  </si>
  <si>
    <t>ROADWAY GUIDELINES FOR DETERMINING PROJECT COMPLEXITY</t>
  </si>
  <si>
    <t>6c. Selective Clearing and Grubbing Staff Hours</t>
  </si>
  <si>
    <t>SCG01-001</t>
  </si>
  <si>
    <t>6c.1</t>
  </si>
  <si>
    <t>Roadway Length (Miles)</t>
  </si>
  <si>
    <t>SCG01-002</t>
  </si>
  <si>
    <t>SCG01-003</t>
  </si>
  <si>
    <t>6c.2</t>
  </si>
  <si>
    <t>SCG01-004</t>
  </si>
  <si>
    <t>6c.3</t>
  </si>
  <si>
    <t xml:space="preserve">Selective C&amp;G Maintenance Report </t>
  </si>
  <si>
    <t>SCG01-005</t>
  </si>
  <si>
    <t>6c.4</t>
  </si>
  <si>
    <t>SCG01-006</t>
  </si>
  <si>
    <t>SCG01-007</t>
  </si>
  <si>
    <t>6c.5</t>
  </si>
  <si>
    <t>SCG01-008</t>
  </si>
  <si>
    <t>6c.6</t>
  </si>
  <si>
    <t>SCG01-009</t>
  </si>
  <si>
    <t>SCG01-010</t>
  </si>
  <si>
    <t>6c.7</t>
  </si>
  <si>
    <t>SCG01-011</t>
  </si>
  <si>
    <t>6c.8</t>
  </si>
  <si>
    <t>Meetings</t>
  </si>
  <si>
    <t>SCG01-012</t>
  </si>
  <si>
    <t>6c.9</t>
  </si>
  <si>
    <t>SCG01-013</t>
  </si>
  <si>
    <t>6c.10</t>
  </si>
  <si>
    <t># Meetings
 Designer</t>
  </si>
  <si>
    <t># Meetings
PM</t>
  </si>
  <si>
    <t>Pavement Design</t>
  </si>
  <si>
    <t>Access Management / Driveways</t>
  </si>
  <si>
    <t>RRR / ECAR Resolution</t>
  </si>
  <si>
    <t>Total Roadway Meetings</t>
  </si>
  <si>
    <t>The following matrix was developed to determine the level of complexity of a Planting Plan.</t>
  </si>
  <si>
    <t>Planting Palette</t>
  </si>
  <si>
    <t>Palms/Trees Only</t>
  </si>
  <si>
    <t>Palms/Trees and shrubs</t>
  </si>
  <si>
    <t>Reconstruction or New Roadway Alignment</t>
  </si>
  <si>
    <t>Roadway Location
(Context Classification)</t>
  </si>
  <si>
    <t>C1, C2 (rural)</t>
  </si>
  <si>
    <t>C2T, C3C, C3R (Suburban), Rural LA Facilities</t>
  </si>
  <si>
    <t>C4, C5, C6 (Urban), Urban LA Facilities</t>
  </si>
  <si>
    <t>1-3 Stakeholders</t>
  </si>
  <si>
    <t>4-6 Stakeholders</t>
  </si>
  <si>
    <t>7+ Stakeholders or Public Workshop</t>
  </si>
  <si>
    <t xml:space="preserve">Planting Plan Complexity: </t>
  </si>
  <si>
    <t xml:space="preserve">Total Points 6 or less: </t>
  </si>
  <si>
    <t xml:space="preserve">Total Points 7 to 12: </t>
  </si>
  <si>
    <t>Total Points 13 or more:</t>
  </si>
  <si>
    <t>High</t>
  </si>
  <si>
    <t>4. Roadway Analysis Staff Hours</t>
  </si>
  <si>
    <t>Base</t>
  </si>
  <si>
    <t>RDY01-001</t>
  </si>
  <si>
    <t>Cover</t>
  </si>
  <si>
    <t>RDY01-002</t>
  </si>
  <si>
    <t>Typical</t>
  </si>
  <si>
    <t>2-Lane FS
&amp; Ramps</t>
  </si>
  <si>
    <t>RDY01-003</t>
  </si>
  <si>
    <t>RDY01-004</t>
  </si>
  <si>
    <t>LA w/ Barrier
&amp; Multi-Lane C</t>
  </si>
  <si>
    <t>RDY01-005</t>
  </si>
  <si>
    <t>RDY01-006</t>
  </si>
  <si>
    <t>Report &amp; Assembly</t>
  </si>
  <si>
    <t>RDY01-007</t>
  </si>
  <si>
    <t>Pavt Designs</t>
  </si>
  <si>
    <t>Travel/Aux. Lanes</t>
  </si>
  <si>
    <t>RDY01-008</t>
  </si>
  <si>
    <t>RDY01-009</t>
  </si>
  <si>
    <t>Cross Slope Analysis (lanes and shoulders)</t>
  </si>
  <si>
    <t>X-Slope Assessment</t>
  </si>
  <si>
    <t>Undivided Roadway</t>
  </si>
  <si>
    <t>RDY01-010</t>
  </si>
  <si>
    <t>Divided Roadway</t>
  </si>
  <si>
    <t>RDY01-011</t>
  </si>
  <si>
    <t>Concepts for  Corrections</t>
  </si>
  <si>
    <t>RDY01-012</t>
  </si>
  <si>
    <t>Safety Analysis</t>
  </si>
  <si>
    <t>HSM
Assessment</t>
  </si>
  <si>
    <t>RDY01-013</t>
  </si>
  <si>
    <t>Crash Analysis</t>
  </si>
  <si>
    <t>RDY01-014</t>
  </si>
  <si>
    <t>Design Analysis</t>
  </si>
  <si>
    <t>Monitor Exist. Structures</t>
  </si>
  <si>
    <t>RDY01-015</t>
  </si>
  <si>
    <t>Operational Analysis</t>
  </si>
  <si>
    <t>Roundabout</t>
  </si>
  <si>
    <t>1x1 Roundabout</t>
  </si>
  <si>
    <t>RDY01-016</t>
  </si>
  <si>
    <t>1x2 Roundabout</t>
  </si>
  <si>
    <t>RDY01-017</t>
  </si>
  <si>
    <t>2x2 Roundabout</t>
  </si>
  <si>
    <t>RDY01-018</t>
  </si>
  <si>
    <t>Design Reports</t>
  </si>
  <si>
    <t>RDY01-019</t>
  </si>
  <si>
    <t>Variation Memo</t>
  </si>
  <si>
    <t>RDY01-020</t>
  </si>
  <si>
    <t>Formal Variation</t>
  </si>
  <si>
    <t>RDY01-021</t>
  </si>
  <si>
    <t>Design Exception</t>
  </si>
  <si>
    <t>RDY01-022</t>
  </si>
  <si>
    <t>RDY01-023</t>
  </si>
  <si>
    <t>RDY01-024</t>
  </si>
  <si>
    <t>Side Road &amp; Ramps</t>
  </si>
  <si>
    <t>RDY01-025</t>
  </si>
  <si>
    <t>Frontage Road</t>
  </si>
  <si>
    <t>RDY01-026</t>
  </si>
  <si>
    <t>3D Modeling Development</t>
  </si>
  <si>
    <t>RDY01-027</t>
  </si>
  <si>
    <t>RDY01-028</t>
  </si>
  <si>
    <t>RDY01-029</t>
  </si>
  <si>
    <t>AMG Files</t>
  </si>
  <si>
    <t>RDY01-030</t>
  </si>
  <si>
    <t>TTCP Analysis</t>
  </si>
  <si>
    <t>RDY01-031</t>
  </si>
  <si>
    <t>RDY01-032</t>
  </si>
  <si>
    <t>RDY01-033</t>
  </si>
  <si>
    <t>TTCP 3D Modeling (Isolated Locations)</t>
  </si>
  <si>
    <t>RDY01-034</t>
  </si>
  <si>
    <t>Utility Data Collection &amp; Analysis</t>
  </si>
  <si>
    <t>RDY01-035</t>
  </si>
  <si>
    <t>RDY01-036</t>
  </si>
  <si>
    <t>RDY01-037</t>
  </si>
  <si>
    <t>RDY01-038</t>
  </si>
  <si>
    <t>Engineer Estimate</t>
  </si>
  <si>
    <t>RDY01-039</t>
  </si>
  <si>
    <t>LRE Updates</t>
  </si>
  <si>
    <t>RDY01-040</t>
  </si>
  <si>
    <t>Technical or Modified Special Provisions</t>
  </si>
  <si>
    <t>TSPs &amp; MSPs</t>
  </si>
  <si>
    <t>RDY01-041</t>
  </si>
  <si>
    <t>Other Roadway Tasks</t>
  </si>
  <si>
    <t>Other Analysis</t>
  </si>
  <si>
    <t>RDY01-042</t>
  </si>
  <si>
    <t>RDY01-043</t>
  </si>
  <si>
    <t>RDY01-044</t>
  </si>
  <si>
    <t>Roadway Meetings (listed below)</t>
  </si>
  <si>
    <t>RDY01-045</t>
  </si>
  <si>
    <t>Travel Time</t>
  </si>
  <si>
    <t>RDY01-046</t>
  </si>
  <si>
    <t>Field Reviews (listed below)</t>
  </si>
  <si>
    <t>Roadway Analysis Non-Technical Subtotal</t>
  </si>
  <si>
    <t>RDY01-047</t>
  </si>
  <si>
    <t>Travel Time
(Hours)</t>
  </si>
  <si>
    <t># of Staff</t>
  </si>
  <si>
    <t>Site Time
(per staff)</t>
  </si>
  <si>
    <t>Travel Time
(per staff)</t>
  </si>
  <si>
    <t xml:space="preserve">Field Review #1 </t>
  </si>
  <si>
    <t xml:space="preserve">Field Review #2 </t>
  </si>
  <si>
    <t>Field Review #3</t>
  </si>
  <si>
    <t>Field Review #4</t>
  </si>
  <si>
    <t>Plans-in-hand Field Review</t>
  </si>
  <si>
    <t>Total Field Review Hours</t>
  </si>
  <si>
    <t>RDY02-001</t>
  </si>
  <si>
    <t>RDY02-002</t>
  </si>
  <si>
    <t>RDY02-003</t>
  </si>
  <si>
    <t>Typical Sections w/ CADD</t>
  </si>
  <si>
    <t>RDY02-004</t>
  </si>
  <si>
    <t>Typical Sections w/o CADD</t>
  </si>
  <si>
    <t>RDY02-005</t>
  </si>
  <si>
    <t>Partial Sections</t>
  </si>
  <si>
    <t>RDY02-006</t>
  </si>
  <si>
    <t>Cross Slope Correction Details</t>
  </si>
  <si>
    <t>Pavement Segments</t>
  </si>
  <si>
    <t>RDY02-007</t>
  </si>
  <si>
    <t>RDY02-008</t>
  </si>
  <si>
    <t>RDY02-009</t>
  </si>
  <si>
    <t>Plan View (Plan Sheets)</t>
  </si>
  <si>
    <t>RDY02-010</t>
  </si>
  <si>
    <t>RDY02-011</t>
  </si>
  <si>
    <t>RDY02-012</t>
  </si>
  <si>
    <t>Profile View (Plan/Profile Sheets)</t>
  </si>
  <si>
    <t>RDY02-013</t>
  </si>
  <si>
    <t>RDY02-014</t>
  </si>
  <si>
    <t>Special Profiles</t>
  </si>
  <si>
    <t>Driveway
Curb Return</t>
  </si>
  <si>
    <t>RDY02-015</t>
  </si>
  <si>
    <t>Intersection
RR Xing</t>
  </si>
  <si>
    <t>RDY02-016</t>
  </si>
  <si>
    <t>Sidewalk Profiles</t>
  </si>
  <si>
    <t>RDY02-017</t>
  </si>
  <si>
    <t>Standard
2 Levels</t>
  </si>
  <si>
    <t>RDY02-018</t>
  </si>
  <si>
    <t>Complex
3+ Levels</t>
  </si>
  <si>
    <t>RDY02-019</t>
  </si>
  <si>
    <t>Ramp Terminal</t>
  </si>
  <si>
    <t>RDY02-020</t>
  </si>
  <si>
    <t>Intersection Layout</t>
  </si>
  <si>
    <t>RDY02-021</t>
  </si>
  <si>
    <t>Special</t>
  </si>
  <si>
    <t>RDY02-022</t>
  </si>
  <si>
    <t>Soil Survey Sheets</t>
  </si>
  <si>
    <t>RDY02-023</t>
  </si>
  <si>
    <t>RDY02-024</t>
  </si>
  <si>
    <t xml:space="preserve">Temporary Traffic Control Plan </t>
  </si>
  <si>
    <t>TTC Notes</t>
  </si>
  <si>
    <t>RDY02-025</t>
  </si>
  <si>
    <t>RDY02-026</t>
  </si>
  <si>
    <t>Critical Cross Sections</t>
  </si>
  <si>
    <t>RDY02-027</t>
  </si>
  <si>
    <t>TTC Details</t>
  </si>
  <si>
    <t>RDY02-028</t>
  </si>
  <si>
    <t>RDY02-029</t>
  </si>
  <si>
    <t>RDY02-030</t>
  </si>
  <si>
    <t>Utility Verification Data (SUE)</t>
  </si>
  <si>
    <t>Roadway Plans Technical Hours Subtotal</t>
  </si>
  <si>
    <t>RDY02-031</t>
  </si>
  <si>
    <t>RDY02-032</t>
  </si>
  <si>
    <t>Roadway Plans Total</t>
  </si>
  <si>
    <t>6a. Drainage Analysis Staff Hours</t>
  </si>
  <si>
    <t>DRN01-001</t>
  </si>
  <si>
    <t>Base Clearance Analysis</t>
  </si>
  <si>
    <t>Locations</t>
  </si>
  <si>
    <t>DRN01-002</t>
  </si>
  <si>
    <t>DRN01-003</t>
  </si>
  <si>
    <t>DRN01-004</t>
  </si>
  <si>
    <t>DRN01-005</t>
  </si>
  <si>
    <t>Utility Conflict Matrix (for drainage structures)</t>
  </si>
  <si>
    <t>DRN01-006</t>
  </si>
  <si>
    <t>Noise Barrier Drainage Analysis</t>
  </si>
  <si>
    <t>Wall Length (Miles)</t>
  </si>
  <si>
    <t>DRN01-007</t>
  </si>
  <si>
    <t>DRN01-008</t>
  </si>
  <si>
    <t>Basins</t>
  </si>
  <si>
    <t>DRN01-009</t>
  </si>
  <si>
    <t>DRN01-010</t>
  </si>
  <si>
    <t>Analysis of Pipe Video Inspection Report</t>
  </si>
  <si>
    <t>DRN01-011</t>
  </si>
  <si>
    <t>Bridge Hydraulic Report (Canal Crossing or Ped Bridge)</t>
  </si>
  <si>
    <t>Canal Xing or Ped Bridge</t>
  </si>
  <si>
    <t>DRN01-012</t>
  </si>
  <si>
    <t>Bridge Hydraulic Report (Main Bridge, Non-Tidal)</t>
  </si>
  <si>
    <t>w/o Relief Bridges</t>
  </si>
  <si>
    <t>DRN01-013</t>
  </si>
  <si>
    <t>With Relief Bridges</t>
  </si>
  <si>
    <t>DRN01-014</t>
  </si>
  <si>
    <t>No-Rise</t>
  </si>
  <si>
    <t>DRN01-015</t>
  </si>
  <si>
    <t>DRN01-016</t>
  </si>
  <si>
    <t>Bridge Hydraulic Report (Main Bridge, Tidal)</t>
  </si>
  <si>
    <t>DRN01-017</t>
  </si>
  <si>
    <t>DRN01-018</t>
  </si>
  <si>
    <t>DRN01-019</t>
  </si>
  <si>
    <t>DRN01-020</t>
  </si>
  <si>
    <t>Wave Modeling</t>
  </si>
  <si>
    <t>DRN01-021</t>
  </si>
  <si>
    <t>Design of Minor Cross Drains</t>
  </si>
  <si>
    <t>Cross Drains</t>
  </si>
  <si>
    <t>DRN01-022</t>
  </si>
  <si>
    <t>DRN01-023</t>
  </si>
  <si>
    <t>DRN01-024</t>
  </si>
  <si>
    <t>Design of Major Cross Drains</t>
  </si>
  <si>
    <t>DRN01-025</t>
  </si>
  <si>
    <t>DRN01-026</t>
  </si>
  <si>
    <t>DRN01-027</t>
  </si>
  <si>
    <t>Design of Ditches and Side Drains</t>
  </si>
  <si>
    <t>Ditches (Miles)</t>
  </si>
  <si>
    <t>DRN01-028</t>
  </si>
  <si>
    <t>DRN01-029</t>
  </si>
  <si>
    <t>DRN01-030</t>
  </si>
  <si>
    <t>Side Drains</t>
  </si>
  <si>
    <t>DRN01-031</t>
  </si>
  <si>
    <t>Design of Stormwater Management Facility</t>
  </si>
  <si>
    <t>DRN01-032</t>
  </si>
  <si>
    <t>DRN01-033</t>
  </si>
  <si>
    <t>DRN01-034</t>
  </si>
  <si>
    <t>DRN01-035</t>
  </si>
  <si>
    <t>DRN01-036</t>
  </si>
  <si>
    <t>DRN01-037</t>
  </si>
  <si>
    <t>Non-Standard Structures</t>
  </si>
  <si>
    <t>DRN01-038</t>
  </si>
  <si>
    <t>Drainage
Pipes</t>
  </si>
  <si>
    <t>DRN01-039</t>
  </si>
  <si>
    <t>Each</t>
  </si>
  <si>
    <t>DRN01-040</t>
  </si>
  <si>
    <t>Design of French Drain Systems</t>
  </si>
  <si>
    <t>Cell</t>
  </si>
  <si>
    <t>DRN01-041</t>
  </si>
  <si>
    <t>DRN01-042</t>
  </si>
  <si>
    <t>Design of Drainage Wells</t>
  </si>
  <si>
    <t>Wells</t>
  </si>
  <si>
    <t>DRN01-043</t>
  </si>
  <si>
    <t>Stormwater Runoff Control Concept</t>
  </si>
  <si>
    <t>DRN01-044</t>
  </si>
  <si>
    <t>Other Drainage Tasks</t>
  </si>
  <si>
    <t>DRN01-045</t>
  </si>
  <si>
    <t>DRN01-046</t>
  </si>
  <si>
    <t>DRN01-047</t>
  </si>
  <si>
    <t>DRN01-048</t>
  </si>
  <si>
    <t>DRN01-049</t>
  </si>
  <si>
    <t>DRN01-050</t>
  </si>
  <si>
    <t>DRN01-051</t>
  </si>
  <si>
    <t>DRN01-052</t>
  </si>
  <si>
    <t>DRN01-053</t>
  </si>
  <si>
    <t>Drainage Meetings (listed below)</t>
  </si>
  <si>
    <t>DRN01-054</t>
  </si>
  <si>
    <t xml:space="preserve">Drainage Analysis Non-Technical Subtotal </t>
  </si>
  <si>
    <t>Drainage Analysis Total</t>
  </si>
  <si>
    <t>Total Drainage Meetings</t>
  </si>
  <si>
    <t>SCG01-014</t>
  </si>
  <si>
    <t>SCG01-015</t>
  </si>
  <si>
    <t>6c.11</t>
  </si>
  <si>
    <t>25. Landscape Analysis Staff Hours</t>
  </si>
  <si>
    <t>LND01-001</t>
  </si>
  <si>
    <t>LND01-002</t>
  </si>
  <si>
    <t>Outdoor Advertising Assessment</t>
  </si>
  <si>
    <t>Sign Structure</t>
  </si>
  <si>
    <t>LND01-003</t>
  </si>
  <si>
    <t>Master Design File Setup (Base Files)</t>
  </si>
  <si>
    <t>LND01-004</t>
  </si>
  <si>
    <t>LND01-005</t>
  </si>
  <si>
    <t>Area Projects Area (Acre)</t>
  </si>
  <si>
    <t>LND01-006</t>
  </si>
  <si>
    <t>Landscape Opportunity Plan</t>
  </si>
  <si>
    <t>Mainline
Length (Miles)</t>
  </si>
  <si>
    <t>LND01-007</t>
  </si>
  <si>
    <t>LND01-008</t>
  </si>
  <si>
    <t>Report
Preparation</t>
  </si>
  <si>
    <t>LND01-009</t>
  </si>
  <si>
    <t>LND01-010</t>
  </si>
  <si>
    <t>LND01-011</t>
  </si>
  <si>
    <t>LND01-012</t>
  </si>
  <si>
    <t>LND01-013</t>
  </si>
  <si>
    <t>LND01-014</t>
  </si>
  <si>
    <t>LND01-015</t>
  </si>
  <si>
    <t>Area Projects</t>
  </si>
  <si>
    <t>LND01-016</t>
  </si>
  <si>
    <t>Mainline
(per mile)</t>
  </si>
  <si>
    <t>LND01-017</t>
  </si>
  <si>
    <t>LND01-018</t>
  </si>
  <si>
    <t>LND01-019</t>
  </si>
  <si>
    <t>LND01-020</t>
  </si>
  <si>
    <t>LND01-021</t>
  </si>
  <si>
    <t>LND01-022</t>
  </si>
  <si>
    <t>LND01-023</t>
  </si>
  <si>
    <t>LND01-024</t>
  </si>
  <si>
    <t>LND01-025</t>
  </si>
  <si>
    <t>LND01-026</t>
  </si>
  <si>
    <t>LND01-027</t>
  </si>
  <si>
    <t>LND01-028</t>
  </si>
  <si>
    <t>Landscape Meetings (listed below)</t>
  </si>
  <si>
    <t>LND01-029</t>
  </si>
  <si>
    <t>LND01-030</t>
  </si>
  <si>
    <t>Landscape Analysis Non-Technical Subtotal</t>
  </si>
  <si>
    <t>LND01-031</t>
  </si>
  <si>
    <t>Landscape Analysis Total</t>
  </si>
  <si>
    <t>Total Landscape Meetings</t>
  </si>
  <si>
    <t>29. Mapping Staff Hours</t>
  </si>
  <si>
    <t>MAP01-001</t>
  </si>
  <si>
    <t>MAP01-002</t>
  </si>
  <si>
    <t>MAP01-003</t>
  </si>
  <si>
    <t>Subdivisions</t>
  </si>
  <si>
    <t>MAP01-004</t>
  </si>
  <si>
    <t>Property Lines</t>
  </si>
  <si>
    <t>Tract</t>
  </si>
  <si>
    <t>MAP01-005</t>
  </si>
  <si>
    <t>MAP01-006</t>
  </si>
  <si>
    <t>MAP01-007</t>
  </si>
  <si>
    <t>MAP01-008</t>
  </si>
  <si>
    <t>MAP01-009</t>
  </si>
  <si>
    <t>MAP01-010</t>
  </si>
  <si>
    <t>MAP01-011</t>
  </si>
  <si>
    <t>MAP01-012</t>
  </si>
  <si>
    <t>Sheet 
(24" X 36")</t>
  </si>
  <si>
    <t>MAP01-013</t>
  </si>
  <si>
    <t>MAP01-014</t>
  </si>
  <si>
    <t>MAP01-015</t>
  </si>
  <si>
    <t>MAP01-016</t>
  </si>
  <si>
    <t>MAP01-017</t>
  </si>
  <si>
    <t>MAP01-018</t>
  </si>
  <si>
    <t>MAP01-019</t>
  </si>
  <si>
    <t>MAP01-020</t>
  </si>
  <si>
    <t>MAP01-021</t>
  </si>
  <si>
    <t>MAP01-022</t>
  </si>
  <si>
    <t>Miscellaneous Surveys &amp; Sketches</t>
  </si>
  <si>
    <t>MAP01-023</t>
  </si>
  <si>
    <t>MAP01-024</t>
  </si>
  <si>
    <t>MAP01-025</t>
  </si>
  <si>
    <t>Other Specific Purpose Survey(s)</t>
  </si>
  <si>
    <t>MAP01-026</t>
  </si>
  <si>
    <t>MAP01-027</t>
  </si>
  <si>
    <t>MAP01-028</t>
  </si>
  <si>
    <t>MAP01-029</t>
  </si>
  <si>
    <t>MAP01-030</t>
  </si>
  <si>
    <t xml:space="preserve">Mapping Technical Subtotal </t>
  </si>
  <si>
    <t>MAP01-031</t>
  </si>
  <si>
    <t>MAP01-032</t>
  </si>
  <si>
    <t>MAP01-033</t>
  </si>
  <si>
    <t>MAP01-034</t>
  </si>
  <si>
    <t>MAP01-035</t>
  </si>
  <si>
    <t xml:space="preserve">Mapping Non-Technical Subtotal </t>
  </si>
  <si>
    <t>MAP01-036</t>
  </si>
  <si>
    <t>MAP01-037</t>
  </si>
  <si>
    <t>ITS02-001</t>
  </si>
  <si>
    <t>ITS02-002</t>
  </si>
  <si>
    <t>ITS02-003</t>
  </si>
  <si>
    <t>ITS02-004</t>
  </si>
  <si>
    <t>ITS02-005</t>
  </si>
  <si>
    <t>Communication Overview Sheet</t>
  </si>
  <si>
    <t>ITS Site</t>
  </si>
  <si>
    <t>ITS02-006</t>
  </si>
  <si>
    <t>Typical &amp; Special Details</t>
  </si>
  <si>
    <t>ITS02-007</t>
  </si>
  <si>
    <t>ITS02-008</t>
  </si>
  <si>
    <t>ITS &amp; Communication Plan Sheet</t>
  </si>
  <si>
    <t>ITS02-009</t>
  </si>
  <si>
    <t>ITS Installation</t>
  </si>
  <si>
    <t>ITS02-010</t>
  </si>
  <si>
    <t>Maintenance of Communications Plan</t>
  </si>
  <si>
    <t>ITS02-011</t>
  </si>
  <si>
    <t>ITS Cabinet</t>
  </si>
  <si>
    <t>ITS02-012</t>
  </si>
  <si>
    <t>ITS02-013</t>
  </si>
  <si>
    <t>Master ITS Hub Shelter</t>
  </si>
  <si>
    <t>ITS02-014</t>
  </si>
  <si>
    <t>Grounding &amp; Lightning Protection Plans</t>
  </si>
  <si>
    <t>Site</t>
  </si>
  <si>
    <t>ITS02-015</t>
  </si>
  <si>
    <t>Ground Mount ITS Site</t>
  </si>
  <si>
    <t>ITS02-016</t>
  </si>
  <si>
    <t>Cantilever 
ITS Site</t>
  </si>
  <si>
    <t>ITS02-017</t>
  </si>
  <si>
    <t>Span Truss,
MSE Wall,
Bridge Mount,
ITS Site</t>
  </si>
  <si>
    <t>ITS02-018</t>
  </si>
  <si>
    <t>Hybrid &amp; DMS Guide Sign Data</t>
  </si>
  <si>
    <t>ITS02-019</t>
  </si>
  <si>
    <t>ITS02-020</t>
  </si>
  <si>
    <t>Strain Pole</t>
  </si>
  <si>
    <t>ITS02-021</t>
  </si>
  <si>
    <t>TTCP Notes</t>
  </si>
  <si>
    <t>ITS02-022</t>
  </si>
  <si>
    <t>TTCP Detour Plan</t>
  </si>
  <si>
    <t>ITS02-023</t>
  </si>
  <si>
    <t>ITS02-024</t>
  </si>
  <si>
    <t>Specialized Designs (Urban Corridor, Complete Street, Scenic Interchange)</t>
  </si>
  <si>
    <t>Minimal safety enhancements, turnout improvements, and minimal cross slope correction</t>
  </si>
  <si>
    <t>Minimal safety enhancements, cross slope correction, and interchange involvement</t>
  </si>
  <si>
    <t>Minimal utility impacts, intersection involvement, and R/W involvement</t>
  </si>
  <si>
    <t>Utility impacts, driveway connections, and possible R/W involvement</t>
  </si>
  <si>
    <t>Utility impacts, driveway connections, intersection improvements, and possible R/W involvement</t>
  </si>
  <si>
    <t>Minimal utility, R/W, and intersection involvement, closed median/barrier wall, and includes interchange ramps</t>
  </si>
  <si>
    <t>Access Management</t>
  </si>
  <si>
    <t>Length
(Phase-Miles)</t>
  </si>
  <si>
    <t>Pedestrian</t>
  </si>
  <si>
    <t>Validation</t>
  </si>
  <si>
    <t>RDY01-048</t>
  </si>
  <si>
    <t>RDY01-049</t>
  </si>
  <si>
    <t xml:space="preserve">What is the overall project complexity? (See Roadway Guidelines) </t>
  </si>
  <si>
    <t xml:space="preserve">What is the overall project complexity? (See Selective C&amp;G Guidelines) </t>
  </si>
  <si>
    <t xml:space="preserve">What is the overall project complexity? (See Signalization Guidelines) </t>
  </si>
  <si>
    <t xml:space="preserve">What is the complexity of the planting plan? (See Landscape Guidelines) </t>
  </si>
  <si>
    <t>Mapping Total</t>
  </si>
  <si>
    <t>ITS Plans Total</t>
  </si>
  <si>
    <t>ITS Plans Technical Hours Subtotal</t>
  </si>
  <si>
    <t>Drainage Plans Total</t>
  </si>
  <si>
    <t>Selective C&amp;G</t>
  </si>
  <si>
    <t>6a.9</t>
  </si>
  <si>
    <t>Cells</t>
  </si>
  <si>
    <t>5. Roadway Plans Staff Hours</t>
  </si>
  <si>
    <t>20. Signing and Pavement Marking Plans Staff Hours</t>
  </si>
  <si>
    <t>22. Signalization Plans Staff Hours</t>
  </si>
  <si>
    <t>24. Lighting Plans Staff Hours</t>
  </si>
  <si>
    <t>34. ITS Plans Staff Hours</t>
  </si>
  <si>
    <t>Design of Trench Drains</t>
  </si>
  <si>
    <t>Data Collection and Inventory</t>
  </si>
  <si>
    <t xml:space="preserve">Selective C&amp;G Technical Subtotal </t>
  </si>
  <si>
    <t>Selective C&amp;G Meetings (listed below)</t>
  </si>
  <si>
    <t xml:space="preserve">Selective C&amp;G Non-Technical Subtotal </t>
  </si>
  <si>
    <t>Selective C&amp;G Total</t>
  </si>
  <si>
    <t>Selective C&amp;G Plan</t>
  </si>
  <si>
    <t>Low Complexity Projects</t>
  </si>
  <si>
    <t>Mid Complexity Projects</t>
  </si>
  <si>
    <t>Upper Complexity Projects</t>
  </si>
  <si>
    <t>Above (very high) Complexity Projects</t>
  </si>
  <si>
    <t>Estimated Quantities Report Preparation</t>
  </si>
  <si>
    <t>6c. Selective C&amp;G</t>
  </si>
  <si>
    <t>6c</t>
  </si>
  <si>
    <t>3. Project Common and Project General Tasks</t>
  </si>
  <si>
    <t>Mapping Meetings (listed below)</t>
  </si>
  <si>
    <t>Evaluation of Existing French Drain Systems</t>
  </si>
  <si>
    <t>The following matrix was developed to determine the overall level of complexity of a Selective Clearing and Grubbing analysis and plan development.</t>
  </si>
  <si>
    <t>Extensive - 6 or more utilities and agencies</t>
  </si>
  <si>
    <t>Sensitive Sites (Wetlands, Submerged, Dune, Sensitive Vegetation, Environmental Permits Required)</t>
  </si>
  <si>
    <t>Total Points 10 to 20:</t>
  </si>
  <si>
    <t>Total Points 9 or less:</t>
  </si>
  <si>
    <t>Assessment and Disposition Determination</t>
  </si>
  <si>
    <t>New Multi-level Interchange</t>
  </si>
  <si>
    <t>Final Irrigation Design</t>
  </si>
  <si>
    <t>Landscape Quantities for EQ Report</t>
  </si>
  <si>
    <t>GUIDELINES FOR SURVEY, PHOTOGRAMMETRY, MAPPING, AND TERRESTRIAL MOBILE LIDAR
(Work Activities 27 – 30)</t>
  </si>
  <si>
    <t>8.15.1</t>
  </si>
  <si>
    <t>8.15.2</t>
  </si>
  <si>
    <t>8.15.3</t>
  </si>
  <si>
    <t>8.15.4</t>
  </si>
  <si>
    <t>8.15.5</t>
  </si>
  <si>
    <t>Section 4(f), 6(f), and ARC</t>
  </si>
  <si>
    <t>8.14.6</t>
  </si>
  <si>
    <t>Contamination Analysis</t>
  </si>
  <si>
    <t xml:space="preserve">Complete and Submit Documentation for Coordination and/or USCG Bridge Permit Application </t>
  </si>
  <si>
    <t>Environmental Clearances, Reevaluations, and Technical Support</t>
  </si>
  <si>
    <t>8.15.6</t>
  </si>
  <si>
    <t>Selective C&amp;G Quantities for EQ Report</t>
  </si>
  <si>
    <t>Master Design File Setup &amp; Maintenance, Model Management Plan</t>
  </si>
  <si>
    <t>Horizontal /Vertical Master Design Files</t>
  </si>
  <si>
    <t>TTCP Master Design Files</t>
  </si>
  <si>
    <t>2.  Percentages for staff hour distribution by classification are entered below in rows 65 to 99 of this sheet.</t>
  </si>
  <si>
    <t>Complete appropriate staff hour sheets for work being performed in individual discipline sheets (tabs 3 through 35).  Add name of estimator to the top of each sheet.</t>
  </si>
  <si>
    <t>In tab "Staff Hour Summary -- Grand Total" - enter distribution of hours by classification for each task in rows 65 through 99. Use distributions provided by subconsultants for tasks being done solely by subconsultant.  For tasks with both prime and subconsultant hours - use either a blended percent distribution or just the primes distribution.</t>
  </si>
  <si>
    <t>2.  Percentages for staff hour distribution by classification are entered below in rows 64 to 98 of this sheet.</t>
  </si>
  <si>
    <t>In tab "Staff Hour Summary - Firm" - enter distribution of hours by classification for each task in rows 64 through 98.</t>
  </si>
  <si>
    <t xml:space="preserve">3.  Project manager meetings are calculated in each discipline sheet and brought forward to Column D.  </t>
  </si>
  <si>
    <t>8.13</t>
  </si>
  <si>
    <t>Technical support to the Department for Environmental Clearances and Reevaluations (use when consultant provides technical support only)</t>
  </si>
  <si>
    <t>Survey Levels 1 through 4 are defined in FDOT Design Manual (FDM), Chapter 114.</t>
  </si>
  <si>
    <t>Video Tutorials - Short Webinars for each Staff Hour Form</t>
  </si>
  <si>
    <t>Other Roads &amp; Shoulders</t>
  </si>
  <si>
    <t>Other Reports</t>
  </si>
  <si>
    <t>Model Element Name</t>
  </si>
  <si>
    <t>LOD</t>
  </si>
  <si>
    <t>2D or 3D</t>
  </si>
  <si>
    <t>Element Data Attributes</t>
  </si>
  <si>
    <t>Modeling Effort</t>
  </si>
  <si>
    <t>Developed BIM Uses</t>
  </si>
  <si>
    <t>Legal Document? Yes Contract / No FIO</t>
  </si>
  <si>
    <t>Professional  of Record</t>
  </si>
  <si>
    <t>Source CADD File</t>
  </si>
  <si>
    <t>Source CADD Layer</t>
  </si>
  <si>
    <t>Pay Item No.
 Quantity &amp; Unit</t>
  </si>
  <si>
    <t>Location Data</t>
  </si>
  <si>
    <t>FDOT Specification</t>
  </si>
  <si>
    <t>Limitations</t>
  </si>
  <si>
    <t>Required Reports</t>
  </si>
  <si>
    <t>Documents Attached? Y/N</t>
  </si>
  <si>
    <t>2D Design File</t>
  </si>
  <si>
    <t>3D Model Development</t>
  </si>
  <si>
    <t>Pay item Data: Number, Quantity and Unit</t>
  </si>
  <si>
    <t>Location Data: Alignment, Station Offset</t>
  </si>
  <si>
    <t xml:space="preserve">GIS Data Portal
</t>
  </si>
  <si>
    <t>Updated by DAB</t>
  </si>
  <si>
    <t>Survey Elements</t>
  </si>
  <si>
    <t>SURVRD</t>
  </si>
  <si>
    <t>3D</t>
  </si>
  <si>
    <t>YES</t>
  </si>
  <si>
    <t>Surveyor</t>
  </si>
  <si>
    <t>Terrain</t>
  </si>
  <si>
    <t>Existing Elements</t>
  </si>
  <si>
    <t>Pavement</t>
  </si>
  <si>
    <t>Both</t>
  </si>
  <si>
    <t>MODLEX</t>
  </si>
  <si>
    <t>assumed depths</t>
  </si>
  <si>
    <t>Cores</t>
  </si>
  <si>
    <t>2D</t>
  </si>
  <si>
    <t>3D w/ assumed depth</t>
  </si>
  <si>
    <t>Shoulders</t>
  </si>
  <si>
    <t>Curbs</t>
  </si>
  <si>
    <t>n/a</t>
  </si>
  <si>
    <t>Islands/Medians</t>
  </si>
  <si>
    <t>Sidewalks/ADA Ramps</t>
  </si>
  <si>
    <t>Other Concrete Pads</t>
  </si>
  <si>
    <t>Slope Pavement</t>
  </si>
  <si>
    <t>Ditch Pavement</t>
  </si>
  <si>
    <t>Driveways</t>
  </si>
  <si>
    <t>Traffic Separators</t>
  </si>
  <si>
    <t>VVH</t>
  </si>
  <si>
    <t>Geotech Data</t>
  </si>
  <si>
    <t>ABORRD</t>
  </si>
  <si>
    <t>Geotech Report</t>
  </si>
  <si>
    <t>Unsuitable Soil</t>
  </si>
  <si>
    <t>MODLRD</t>
  </si>
  <si>
    <t>Bridge Super Structures</t>
  </si>
  <si>
    <t>BR#MODLBR_EX</t>
  </si>
  <si>
    <t>When removed</t>
  </si>
  <si>
    <t>Bridge Sub Structures</t>
  </si>
  <si>
    <t>Bridge Misc. Structures (RipRap, Approach Slabs)</t>
  </si>
  <si>
    <t>MISCSTR</t>
  </si>
  <si>
    <t>Misc. Structures(Signs, Signals, Light Poles,ITS)</t>
  </si>
  <si>
    <t>Walls:  MSE, Noise, Retaining, Sheet Pile, etc.</t>
  </si>
  <si>
    <t>Controlling Alignments</t>
  </si>
  <si>
    <t>Existing Horizontal and Vertical Alignments</t>
  </si>
  <si>
    <t>ALGNRD</t>
  </si>
  <si>
    <t>Alignment Name</t>
  </si>
  <si>
    <t>HA Report</t>
  </si>
  <si>
    <t>Proposed Horizontal and Vertical Alignments</t>
  </si>
  <si>
    <t>Survey Control Points (reference pts &amp; bench marks)</t>
  </si>
  <si>
    <t>CTLSRD</t>
  </si>
  <si>
    <t>Point Name, NE</t>
  </si>
  <si>
    <t>Survey Control Report</t>
  </si>
  <si>
    <t>Superelevation Model - Roadway</t>
  </si>
  <si>
    <t>SE Report</t>
  </si>
  <si>
    <t>Baselines and profiles - Ramps, sidewalks</t>
  </si>
  <si>
    <t xml:space="preserve">Other Baselines and profiles -Sidewalks </t>
  </si>
  <si>
    <t>Baselines and profiles -Walls, Ditches, Bridges</t>
  </si>
  <si>
    <t>RetaingWall</t>
  </si>
  <si>
    <t>Other Baselines and profiles - Ditches</t>
  </si>
  <si>
    <t>Drainiage</t>
  </si>
  <si>
    <t>DRPRRD</t>
  </si>
  <si>
    <t>Other Baselines and profiles - Bridge</t>
  </si>
  <si>
    <t>BR#ALGNBR</t>
  </si>
  <si>
    <t>Right of Way Geometry</t>
  </si>
  <si>
    <t>Existing Right-of-Way Lines</t>
  </si>
  <si>
    <t>RWDTRD</t>
  </si>
  <si>
    <t xml:space="preserve">Yes, Owner Info </t>
  </si>
  <si>
    <t>Signed Survey</t>
  </si>
  <si>
    <t>3D (Draping)</t>
  </si>
  <si>
    <t>Other Boundaries (Wetland Limits)</t>
  </si>
  <si>
    <t>Proposed Right-of-Way Lines</t>
  </si>
  <si>
    <t>Permanent Easement Lines</t>
  </si>
  <si>
    <t>Temporary Easement Lines</t>
  </si>
  <si>
    <t>Earthwork</t>
  </si>
  <si>
    <t>Excavation</t>
  </si>
  <si>
    <t>NO</t>
  </si>
  <si>
    <t>not for AMG</t>
  </si>
  <si>
    <t>Use EAV Report</t>
  </si>
  <si>
    <t>Embankment</t>
  </si>
  <si>
    <t>Embankment for Bridge</t>
  </si>
  <si>
    <t>Excavation for Bridge</t>
  </si>
  <si>
    <t>Subsoil Excavation</t>
  </si>
  <si>
    <t>add other pay items for excavation</t>
  </si>
  <si>
    <t>Existing</t>
  </si>
  <si>
    <t>Proposed</t>
  </si>
  <si>
    <t>Finished Subgrade</t>
  </si>
  <si>
    <t xml:space="preserve">Subsoil  </t>
  </si>
  <si>
    <t>Existing Subgrade</t>
  </si>
  <si>
    <t>Pavement Roadway &amp; Shoulders</t>
  </si>
  <si>
    <t>Stabilization</t>
  </si>
  <si>
    <t>QTDSRD</t>
  </si>
  <si>
    <t>Base Course</t>
  </si>
  <si>
    <t>Stuctural Course Asphalt</t>
  </si>
  <si>
    <t>FC Asphalt Pavement</t>
  </si>
  <si>
    <t>Concrete Pavement</t>
  </si>
  <si>
    <t>Pavement Milling</t>
  </si>
  <si>
    <t>Pavement Overbuild</t>
  </si>
  <si>
    <t>Pavement Overlay</t>
  </si>
  <si>
    <t>Shoulder Pavement</t>
  </si>
  <si>
    <t xml:space="preserve">Concrete </t>
  </si>
  <si>
    <t xml:space="preserve">Ditch Pavement </t>
  </si>
  <si>
    <t>Concrete Sidewalk</t>
  </si>
  <si>
    <t>Concrete Pads</t>
  </si>
  <si>
    <t>Curb and Gutter</t>
  </si>
  <si>
    <t>Curb and Gutter Flare Outs</t>
  </si>
  <si>
    <t>Shoulder Gutter</t>
  </si>
  <si>
    <t>Roundabout Apron</t>
  </si>
  <si>
    <t>Traffic Separator</t>
  </si>
  <si>
    <t>Concrete Flared Driveway</t>
  </si>
  <si>
    <t>Sidewalk Curb Ramps</t>
  </si>
  <si>
    <t>Detectable Warnings at Ramps</t>
  </si>
  <si>
    <t>Pedestrian Channelization Barriers/Islands</t>
  </si>
  <si>
    <t>Misc. Roadside</t>
  </si>
  <si>
    <t>Rural Driveways</t>
  </si>
  <si>
    <t>Meadian Cross Over</t>
  </si>
  <si>
    <t>Shoulder Sodding and Turf</t>
  </si>
  <si>
    <t>3D (Sloped Line)</t>
  </si>
  <si>
    <t>Permanent Erosion Control Sod</t>
  </si>
  <si>
    <t>Fencing</t>
  </si>
  <si>
    <t>Fence Gates</t>
  </si>
  <si>
    <t>Crash Cushions</t>
  </si>
  <si>
    <t>DSGNRD</t>
  </si>
  <si>
    <t xml:space="preserve">from APL </t>
  </si>
  <si>
    <t>Concrete Barrier</t>
  </si>
  <si>
    <t>High Tension Cable Barrier</t>
  </si>
  <si>
    <t>Ped/Bicycle Railing</t>
  </si>
  <si>
    <t>Pipe Guiderail</t>
  </si>
  <si>
    <t xml:space="preserve">Walls </t>
  </si>
  <si>
    <t>Gravity Wall</t>
  </si>
  <si>
    <t>Rebar detail from standards</t>
  </si>
  <si>
    <t>MSE Walls</t>
  </si>
  <si>
    <t>MSEWall</t>
  </si>
  <si>
    <t>Noise Walls</t>
  </si>
  <si>
    <t>NoiseWall</t>
  </si>
  <si>
    <t>Perimeter Walls</t>
  </si>
  <si>
    <t>RetainingWall</t>
  </si>
  <si>
    <t>Canitlever Wall</t>
  </si>
  <si>
    <t>Concrete Sheet Pile Wall</t>
  </si>
  <si>
    <t>SheetPileWall</t>
  </si>
  <si>
    <t>Steel Sheet Pile Wall</t>
  </si>
  <si>
    <t>Temp. Steel Sheet Pile Wall</t>
  </si>
  <si>
    <t>Guardrail</t>
  </si>
  <si>
    <t>2-Lane C &amp;
Multi-Lane FS</t>
  </si>
  <si>
    <t>Model Management</t>
  </si>
  <si>
    <t>Sheet(s)</t>
  </si>
  <si>
    <t>Linear Project Sheet(s)</t>
  </si>
  <si>
    <t>Area Projects Sheet(s)</t>
  </si>
  <si>
    <t>TTC Plan Sheet(s)</t>
  </si>
  <si>
    <t xml:space="preserve">Phasing Notes &amp; Typicals Sheet(s) </t>
  </si>
  <si>
    <t>File Version: 2025.01.1</t>
  </si>
  <si>
    <t>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</si>
</sst>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164" formatCode="0.0"/>
    <numFmt numFmtId="165" formatCode="&quot;$&quot;#,##0.00"/>
    <numFmt numFmtId="166" formatCode="0.000"/>
    <numFmt numFmtId="167" formatCode="0.0%"/>
  </numFmts>
  <fonts count="14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sz val="10"/>
      <name val="CG Times"/>
      <family val="1"/>
    </font>
    <font>
      <sz val="10"/>
      <name val="Times New Roman"/>
      <family val="1"/>
    </font>
    <font>
      <b/>
      <sz val="10"/>
      <name val="Arial"/>
      <family val="2"/>
    </font>
    <font>
      <sz val="10"/>
      <color indexed="10"/>
      <name val="Arial"/>
      <family val="2"/>
    </font>
    <font>
      <b/>
      <sz val="10"/>
      <color indexed="10"/>
      <name val="Arial"/>
      <family val="2"/>
    </font>
    <font>
      <u/>
      <sz val="10"/>
      <name val="Arial"/>
      <family val="2"/>
    </font>
    <font>
      <sz val="10"/>
      <name val="Arial"/>
      <family val="2"/>
    </font>
    <font>
      <sz val="10"/>
      <color indexed="56"/>
      <name val="Arial"/>
      <family val="2"/>
    </font>
    <font>
      <sz val="12"/>
      <name val="Arial"/>
      <family val="2"/>
    </font>
    <font>
      <b/>
      <u/>
      <sz val="12"/>
      <name val="Arial"/>
      <family val="2"/>
    </font>
    <font>
      <b/>
      <sz val="12"/>
      <name val="Arial"/>
      <family val="2"/>
    </font>
    <font>
      <sz val="10"/>
      <name val="Arial Black"/>
      <family val="2"/>
    </font>
    <font>
      <sz val="9"/>
      <name val="Arial Black"/>
      <family val="2"/>
    </font>
    <font>
      <sz val="9"/>
      <name val="CG Times"/>
      <family val="1"/>
    </font>
    <font>
      <sz val="10"/>
      <color indexed="8"/>
      <name val="Arial"/>
      <family val="2"/>
    </font>
    <font>
      <b/>
      <sz val="12"/>
      <name val="Times New Roman"/>
      <family val="1"/>
    </font>
    <font>
      <sz val="10"/>
      <color indexed="10"/>
      <name val="Times New Roman"/>
      <family val="1"/>
    </font>
    <font>
      <sz val="10"/>
      <color indexed="8"/>
      <name val="Times New Roman"/>
      <family val="1"/>
    </font>
    <font>
      <sz val="10"/>
      <name val="Symbol"/>
      <family val="1"/>
      <charset val="2"/>
    </font>
    <font>
      <b/>
      <i/>
      <sz val="10"/>
      <name val="Arial"/>
      <family val="2"/>
    </font>
    <font>
      <sz val="10"/>
      <name val="Arial"/>
      <family val="2"/>
    </font>
    <font>
      <sz val="12"/>
      <name val="Arial"/>
      <family val="2"/>
    </font>
    <font>
      <b/>
      <sz val="20"/>
      <name val="Arial"/>
      <family val="2"/>
    </font>
    <font>
      <sz val="16"/>
      <name val="CaslonOpnface BT"/>
      <family val="5"/>
    </font>
    <font>
      <sz val="16"/>
      <name val="Arial"/>
      <family val="2"/>
    </font>
    <font>
      <sz val="14"/>
      <color indexed="8"/>
      <name val="Arial"/>
      <family val="2"/>
    </font>
    <font>
      <b/>
      <sz val="12"/>
      <color indexed="8"/>
      <name val="Arial"/>
      <family val="2"/>
    </font>
    <font>
      <sz val="7"/>
      <name val="TimesNewRomanPS"/>
    </font>
    <font>
      <sz val="12"/>
      <name val="Times New Roman"/>
      <family val="1"/>
    </font>
    <font>
      <b/>
      <sz val="14"/>
      <name val="Times New Roman"/>
      <family val="1"/>
    </font>
    <font>
      <sz val="12"/>
      <name val="TimesNewRomanPS"/>
      <family val="1"/>
    </font>
    <font>
      <b/>
      <sz val="12"/>
      <name val="TimesNewRomanPS"/>
      <family val="1"/>
    </font>
    <font>
      <sz val="10"/>
      <name val="TimesNewRomanPS"/>
    </font>
    <font>
      <b/>
      <sz val="12"/>
      <name val="TimesNewRomanPS"/>
    </font>
    <font>
      <sz val="8"/>
      <name val="TimesNewRomanPS"/>
      <family val="1"/>
    </font>
    <font>
      <b/>
      <sz val="14"/>
      <name val="TimesNewRomanPS"/>
      <family val="1"/>
    </font>
    <font>
      <b/>
      <sz val="8"/>
      <name val="TimesNewRomanPS"/>
      <family val="1"/>
    </font>
    <font>
      <b/>
      <sz val="10"/>
      <color indexed="8"/>
      <name val="Arial"/>
      <family val="2"/>
    </font>
    <font>
      <u/>
      <sz val="16"/>
      <color indexed="8"/>
      <name val="Arial"/>
      <family val="2"/>
    </font>
    <font>
      <sz val="16"/>
      <color indexed="8"/>
      <name val="Arial"/>
      <family val="2"/>
    </font>
    <font>
      <b/>
      <sz val="11"/>
      <name val="Arial"/>
      <family val="2"/>
    </font>
    <font>
      <sz val="11"/>
      <name val="Arial"/>
      <family val="2"/>
    </font>
    <font>
      <b/>
      <sz val="16"/>
      <name val="Arial"/>
      <family val="2"/>
    </font>
    <font>
      <b/>
      <sz val="18"/>
      <name val="Arial"/>
      <family val="2"/>
    </font>
    <font>
      <sz val="14"/>
      <name val="Arial"/>
      <family val="2"/>
    </font>
    <font>
      <sz val="16"/>
      <color indexed="10"/>
      <name val="Arial"/>
      <family val="2"/>
    </font>
    <font>
      <sz val="8"/>
      <name val="Arial"/>
      <family val="2"/>
    </font>
    <font>
      <sz val="12"/>
      <color indexed="10"/>
      <name val="Arial"/>
      <family val="2"/>
    </font>
    <font>
      <sz val="16"/>
      <name val="Arial"/>
      <family val="2"/>
    </font>
    <font>
      <u/>
      <sz val="16"/>
      <color indexed="8"/>
      <name val="Arial"/>
      <family val="2"/>
    </font>
    <font>
      <sz val="7"/>
      <name val="Arial"/>
      <family val="2"/>
    </font>
    <font>
      <b/>
      <sz val="14"/>
      <name val="Arial"/>
      <family val="2"/>
    </font>
    <font>
      <sz val="11"/>
      <color indexed="10"/>
      <name val="Arial"/>
      <family val="2"/>
    </font>
    <font>
      <sz val="12"/>
      <color indexed="8"/>
      <name val="Arial"/>
      <family val="2"/>
    </font>
    <font>
      <b/>
      <sz val="12"/>
      <color indexed="8"/>
      <name val="Arial"/>
      <family val="2"/>
    </font>
    <font>
      <sz val="8"/>
      <name val="CG Times"/>
      <family val="1"/>
    </font>
    <font>
      <sz val="10"/>
      <color indexed="10"/>
      <name val="Arial"/>
      <family val="2"/>
    </font>
    <font>
      <sz val="8"/>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7.5"/>
      <color indexed="12"/>
      <name val="Arial"/>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b/>
      <sz val="24"/>
      <name val="Arial"/>
      <family val="2"/>
    </font>
    <font>
      <b/>
      <sz val="22"/>
      <name val="Arial"/>
      <family val="2"/>
    </font>
    <font>
      <sz val="12"/>
      <name val="CG Times"/>
      <family val="1"/>
    </font>
    <font>
      <sz val="12"/>
      <name val="Arial Black"/>
      <family val="2"/>
    </font>
    <font>
      <b/>
      <sz val="10"/>
      <name val="CG Times"/>
      <family val="1"/>
    </font>
    <font>
      <b/>
      <sz val="10"/>
      <color indexed="41"/>
      <name val="Arial"/>
      <family val="2"/>
    </font>
    <font>
      <b/>
      <sz val="9"/>
      <color indexed="8"/>
      <name val="CG Times"/>
      <family val="1"/>
    </font>
    <font>
      <b/>
      <sz val="8"/>
      <color indexed="8"/>
      <name val="Arial"/>
      <family val="2"/>
    </font>
    <font>
      <b/>
      <sz val="9"/>
      <color indexed="8"/>
      <name val="Arial Black"/>
      <family val="2"/>
    </font>
    <font>
      <u/>
      <sz val="14"/>
      <color indexed="8"/>
      <name val="Arial"/>
      <family val="2"/>
    </font>
    <font>
      <i/>
      <sz val="10"/>
      <name val="Arial"/>
      <family val="2"/>
    </font>
    <font>
      <sz val="10"/>
      <color indexed="8"/>
      <name val="Calibri"/>
      <family val="2"/>
    </font>
    <font>
      <sz val="14"/>
      <color indexed="8"/>
      <name val="Arial"/>
      <family val="2"/>
    </font>
    <font>
      <sz val="10"/>
      <color indexed="10"/>
      <name val="Arial"/>
      <family val="2"/>
    </font>
    <font>
      <sz val="11"/>
      <name val="CG Times"/>
      <family val="1"/>
    </font>
    <font>
      <sz val="11"/>
      <color indexed="8"/>
      <name val="Arial"/>
      <family val="2"/>
    </font>
    <font>
      <b/>
      <sz val="11"/>
      <color indexed="8"/>
      <name val="Arial"/>
      <family val="2"/>
    </font>
    <font>
      <b/>
      <u/>
      <sz val="11"/>
      <name val="Arial"/>
      <family val="2"/>
    </font>
    <font>
      <sz val="11"/>
      <color theme="1"/>
      <name val="Calibri"/>
      <family val="2"/>
      <scheme val="minor"/>
    </font>
    <font>
      <sz val="10"/>
      <color rgb="FFFF0000"/>
      <name val="Arial"/>
      <family val="2"/>
    </font>
    <font>
      <sz val="12"/>
      <color rgb="FFFF0000"/>
      <name val="Arial"/>
      <family val="2"/>
    </font>
    <font>
      <sz val="11"/>
      <color rgb="FFFF0000"/>
      <name val="Arial"/>
      <family val="2"/>
    </font>
    <font>
      <i/>
      <sz val="11"/>
      <name val="Arial"/>
      <family val="2"/>
    </font>
    <font>
      <b/>
      <sz val="11"/>
      <color indexed="10"/>
      <name val="Arial"/>
      <family val="2"/>
    </font>
    <font>
      <b/>
      <sz val="12"/>
      <name val="CG Times"/>
      <family val="1"/>
    </font>
    <font>
      <sz val="11"/>
      <color indexed="41"/>
      <name val="Arial"/>
      <family val="2"/>
    </font>
    <font>
      <sz val="11"/>
      <color indexed="8"/>
      <name val="CG Times"/>
      <family val="1"/>
    </font>
    <font>
      <b/>
      <sz val="12"/>
      <color indexed="8"/>
      <name val="CG Times"/>
      <family val="1"/>
    </font>
    <font>
      <sz val="11"/>
      <color indexed="44"/>
      <name val="Arial"/>
      <family val="2"/>
    </font>
    <font>
      <b/>
      <i/>
      <sz val="12"/>
      <name val="Arial"/>
      <family val="2"/>
    </font>
    <font>
      <b/>
      <sz val="11"/>
      <name val="Calibri"/>
      <family val="2"/>
    </font>
    <font>
      <sz val="11"/>
      <name val="Calibri"/>
      <family val="2"/>
    </font>
    <font>
      <sz val="10"/>
      <color rgb="FFC00000"/>
      <name val="Arial"/>
      <family val="2"/>
    </font>
    <font>
      <b/>
      <sz val="10"/>
      <color rgb="FFC00000"/>
      <name val="Arial"/>
      <family val="2"/>
    </font>
    <font>
      <sz val="16"/>
      <color rgb="FFC00000"/>
      <name val="Arial"/>
      <family val="2"/>
    </font>
    <font>
      <sz val="12"/>
      <color rgb="FFC00000"/>
      <name val="Arial"/>
      <family val="2"/>
    </font>
    <font>
      <sz val="11"/>
      <color rgb="FFC00000"/>
      <name val="Arial"/>
      <family val="2"/>
    </font>
    <font>
      <b/>
      <i/>
      <sz val="11"/>
      <name val="Arial"/>
      <family val="2"/>
    </font>
    <font>
      <sz val="12"/>
      <color theme="0"/>
      <name val="Arial"/>
      <family val="2"/>
    </font>
    <font>
      <b/>
      <sz val="16"/>
      <color theme="0"/>
      <name val="Arial"/>
      <family val="2"/>
    </font>
    <font>
      <sz val="11"/>
      <color theme="0"/>
      <name val="Arial"/>
      <family val="2"/>
    </font>
    <font>
      <sz val="11"/>
      <color theme="0"/>
      <name val="CG Times"/>
      <family val="1"/>
    </font>
    <font>
      <b/>
      <sz val="12"/>
      <color rgb="FFC00000"/>
      <name val="Arial"/>
      <family val="2"/>
    </font>
    <font>
      <b/>
      <i/>
      <sz val="12"/>
      <color theme="0"/>
      <name val="Arial"/>
      <family val="2"/>
    </font>
    <font>
      <b/>
      <sz val="11"/>
      <color rgb="FFC00000"/>
      <name val="Arial"/>
      <family val="2"/>
    </font>
    <font>
      <sz val="9"/>
      <color indexed="81"/>
      <name val="Tahoma"/>
      <family val="2"/>
    </font>
    <font>
      <b/>
      <sz val="9"/>
      <color indexed="81"/>
      <name val="Tahoma"/>
      <family val="2"/>
    </font>
    <font>
      <sz val="11"/>
      <color rgb="FF00B050"/>
      <name val="Arial"/>
      <family val="2"/>
    </font>
    <font>
      <u/>
      <sz val="10"/>
      <color theme="10"/>
      <name val="Arial"/>
      <family val="2"/>
    </font>
    <font>
      <i/>
      <sz val="11"/>
      <color indexed="8"/>
      <name val="Arial"/>
      <family val="2"/>
    </font>
    <font>
      <u/>
      <sz val="10"/>
      <name val="Times New Roman"/>
      <family val="1"/>
    </font>
    <font>
      <b/>
      <sz val="10"/>
      <name val="Times New Roman"/>
      <family val="1"/>
    </font>
    <font>
      <sz val="11"/>
      <color theme="1"/>
      <name val="Arial"/>
      <family val="2"/>
    </font>
    <font>
      <b/>
      <u/>
      <sz val="12"/>
      <color theme="10"/>
      <name val="Arial"/>
      <family val="2"/>
    </font>
    <font>
      <b/>
      <sz val="11"/>
      <color theme="0"/>
      <name val="Arial"/>
      <family val="2"/>
    </font>
    <font>
      <b/>
      <u/>
      <sz val="9"/>
      <color indexed="81"/>
      <name val="Tahoma"/>
      <family val="2"/>
    </font>
    <font>
      <u/>
      <sz val="9"/>
      <color indexed="81"/>
      <name val="Tahoma"/>
      <family val="2"/>
    </font>
    <font>
      <b/>
      <sz val="12"/>
      <name val="Calibri"/>
      <family val="2"/>
      <scheme val="minor"/>
    </font>
    <font>
      <sz val="11"/>
      <name val="Calibri"/>
      <family val="2"/>
      <scheme val="minor"/>
    </font>
    <font>
      <b/>
      <sz val="14"/>
      <color theme="4" tint="-0.499984740745262"/>
      <name val="Calibri"/>
      <family val="2"/>
      <scheme val="minor"/>
    </font>
  </fonts>
  <fills count="37">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indexed="65"/>
        <bgColor indexed="8"/>
      </patternFill>
    </fill>
    <fill>
      <patternFill patternType="solid">
        <fgColor indexed="13"/>
        <bgColor indexed="64"/>
      </patternFill>
    </fill>
    <fill>
      <patternFill patternType="solid">
        <fgColor indexed="43"/>
        <bgColor indexed="64"/>
      </patternFill>
    </fill>
    <fill>
      <patternFill patternType="solid">
        <fgColor indexed="26"/>
        <bgColor indexed="64"/>
      </patternFill>
    </fill>
    <fill>
      <patternFill patternType="solid">
        <fgColor indexed="44"/>
        <bgColor indexed="64"/>
      </patternFill>
    </fill>
    <fill>
      <patternFill patternType="solid">
        <fgColor indexed="47"/>
        <bgColor indexed="64"/>
      </patternFill>
    </fill>
    <fill>
      <patternFill patternType="solid">
        <fgColor indexed="8"/>
        <bgColor indexed="64"/>
      </patternFill>
    </fill>
    <fill>
      <patternFill patternType="solid">
        <fgColor theme="0" tint="-0.14999847407452621"/>
        <bgColor indexed="64"/>
      </patternFill>
    </fill>
    <fill>
      <patternFill patternType="solid">
        <fgColor theme="0" tint="-0.14999847407452621"/>
        <bgColor indexed="8"/>
      </patternFill>
    </fill>
    <fill>
      <patternFill patternType="solid">
        <fgColor rgb="FFFFFF00"/>
        <bgColor indexed="64"/>
      </patternFill>
    </fill>
    <fill>
      <patternFill patternType="solid">
        <fgColor theme="0"/>
        <bgColor indexed="64"/>
      </patternFill>
    </fill>
    <fill>
      <patternFill patternType="solid">
        <fgColor rgb="FF0070C0"/>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4" tint="0.59999389629810485"/>
        <bgColor indexed="64"/>
      </patternFill>
    </fill>
  </fills>
  <borders count="2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8"/>
      </bottom>
      <diagonal/>
    </border>
    <border>
      <left/>
      <right style="double">
        <color indexed="8"/>
      </right>
      <top/>
      <bottom/>
      <diagonal/>
    </border>
    <border>
      <left/>
      <right style="double">
        <color indexed="8"/>
      </right>
      <top/>
      <bottom style="thin">
        <color indexed="8"/>
      </bottom>
      <diagonal/>
    </border>
    <border>
      <left/>
      <right style="double">
        <color indexed="8"/>
      </right>
      <top style="thin">
        <color indexed="64"/>
      </top>
      <bottom style="thin">
        <color indexed="64"/>
      </bottom>
      <diagonal/>
    </border>
    <border>
      <left/>
      <right style="dotted">
        <color indexed="64"/>
      </right>
      <top style="thin">
        <color indexed="64"/>
      </top>
      <bottom style="thin">
        <color indexed="64"/>
      </bottom>
      <diagonal/>
    </border>
    <border>
      <left style="double">
        <color indexed="8"/>
      </left>
      <right style="double">
        <color indexed="8"/>
      </right>
      <top style="thin">
        <color indexed="8"/>
      </top>
      <bottom style="thin">
        <color indexed="8"/>
      </bottom>
      <diagonal/>
    </border>
    <border>
      <left style="double">
        <color indexed="8"/>
      </left>
      <right style="double">
        <color indexed="8"/>
      </right>
      <top style="double">
        <color indexed="8"/>
      </top>
      <bottom/>
      <diagonal/>
    </border>
    <border>
      <left style="double">
        <color indexed="8"/>
      </left>
      <right style="double">
        <color indexed="8"/>
      </right>
      <top/>
      <bottom/>
      <diagonal/>
    </border>
    <border>
      <left style="double">
        <color indexed="8"/>
      </left>
      <right style="double">
        <color indexed="8"/>
      </right>
      <top/>
      <bottom style="thin">
        <color indexed="8"/>
      </bottom>
      <diagonal/>
    </border>
    <border>
      <left/>
      <right/>
      <top style="double">
        <color indexed="8"/>
      </top>
      <bottom/>
      <diagonal/>
    </border>
    <border>
      <left/>
      <right style="double">
        <color indexed="8"/>
      </right>
      <top style="double">
        <color indexed="8"/>
      </top>
      <bottom/>
      <diagonal/>
    </border>
    <border>
      <left style="double">
        <color indexed="64"/>
      </left>
      <right style="double">
        <color indexed="8"/>
      </right>
      <top/>
      <bottom/>
      <diagonal/>
    </border>
    <border>
      <left style="double">
        <color indexed="64"/>
      </left>
      <right style="double">
        <color indexed="8"/>
      </right>
      <top/>
      <bottom style="thin">
        <color indexed="64"/>
      </bottom>
      <diagonal/>
    </border>
    <border>
      <left style="double">
        <color indexed="8"/>
      </left>
      <right/>
      <top/>
      <bottom/>
      <diagonal/>
    </border>
    <border>
      <left style="double">
        <color indexed="8"/>
      </left>
      <right style="double">
        <color indexed="8"/>
      </right>
      <top style="thin">
        <color indexed="8"/>
      </top>
      <bottom style="thin">
        <color indexed="64"/>
      </bottom>
      <diagonal/>
    </border>
    <border>
      <left/>
      <right/>
      <top style="thin">
        <color indexed="64"/>
      </top>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8"/>
      </bottom>
      <diagonal/>
    </border>
    <border>
      <left style="double">
        <color indexed="8"/>
      </left>
      <right style="dotted">
        <color indexed="64"/>
      </right>
      <top style="thin">
        <color indexed="64"/>
      </top>
      <bottom/>
      <diagonal/>
    </border>
    <border>
      <left style="double">
        <color indexed="8"/>
      </left>
      <right style="dotted">
        <color indexed="8"/>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8"/>
      </left>
      <right style="dotted">
        <color indexed="8"/>
      </right>
      <top style="thin">
        <color indexed="64"/>
      </top>
      <bottom style="thin">
        <color indexed="64"/>
      </bottom>
      <diagonal/>
    </border>
    <border>
      <left style="double">
        <color indexed="64"/>
      </left>
      <right style="double">
        <color indexed="64"/>
      </right>
      <top/>
      <bottom style="thin">
        <color indexed="64"/>
      </bottom>
      <diagonal/>
    </border>
    <border>
      <left/>
      <right style="double">
        <color indexed="64"/>
      </right>
      <top style="thin">
        <color indexed="64"/>
      </top>
      <bottom/>
      <diagonal/>
    </border>
    <border>
      <left/>
      <right style="thin">
        <color indexed="8"/>
      </right>
      <top style="double">
        <color indexed="8"/>
      </top>
      <bottom/>
      <diagonal/>
    </border>
    <border>
      <left/>
      <right style="thin">
        <color indexed="8"/>
      </right>
      <top/>
      <bottom/>
      <diagonal/>
    </border>
    <border>
      <left style="thin">
        <color indexed="8"/>
      </left>
      <right style="thin">
        <color indexed="8"/>
      </right>
      <top style="double">
        <color indexed="8"/>
      </top>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style="dotted">
        <color indexed="64"/>
      </right>
      <top/>
      <bottom style="thin">
        <color indexed="8"/>
      </bottom>
      <diagonal/>
    </border>
    <border>
      <left style="double">
        <color indexed="8"/>
      </left>
      <right/>
      <top/>
      <bottom style="thin">
        <color indexed="64"/>
      </bottom>
      <diagonal/>
    </border>
    <border>
      <left style="double">
        <color indexed="8"/>
      </left>
      <right style="double">
        <color indexed="8"/>
      </right>
      <top style="double">
        <color indexed="8"/>
      </top>
      <bottom style="thin">
        <color indexed="64"/>
      </bottom>
      <diagonal/>
    </border>
    <border>
      <left/>
      <right style="double">
        <color indexed="8"/>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diagonal/>
    </border>
    <border>
      <left style="double">
        <color indexed="8"/>
      </left>
      <right/>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8"/>
      </left>
      <right style="double">
        <color indexed="8"/>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8"/>
      </left>
      <right style="thin">
        <color indexed="8"/>
      </right>
      <top/>
      <bottom style="thin">
        <color indexed="8"/>
      </bottom>
      <diagonal/>
    </border>
    <border>
      <left style="thin">
        <color indexed="8"/>
      </left>
      <right/>
      <top style="double">
        <color indexed="8"/>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double">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right/>
      <top style="double">
        <color indexed="64"/>
      </top>
      <bottom style="medium">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theme="1"/>
      </left>
      <right style="thin">
        <color theme="1"/>
      </right>
      <top style="thin">
        <color theme="1"/>
      </top>
      <bottom style="thin">
        <color theme="1"/>
      </bottom>
      <diagonal/>
    </border>
    <border>
      <left style="thin">
        <color theme="1"/>
      </left>
      <right/>
      <top/>
      <bottom style="thin">
        <color theme="1"/>
      </bottom>
      <diagonal/>
    </border>
    <border>
      <left style="thin">
        <color theme="1"/>
      </left>
      <right/>
      <top/>
      <bottom/>
      <diagonal/>
    </border>
    <border>
      <left style="thin">
        <color theme="1"/>
      </left>
      <right/>
      <top style="thin">
        <color theme="1"/>
      </top>
      <bottom style="thin">
        <color theme="1"/>
      </bottom>
      <diagonal/>
    </border>
    <border>
      <left style="thin">
        <color theme="1"/>
      </left>
      <right/>
      <top style="thin">
        <color theme="1"/>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thin">
        <color indexed="64"/>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style="thin">
        <color indexed="64"/>
      </left>
      <right/>
      <top/>
      <bottom style="hair">
        <color indexed="64"/>
      </bottom>
      <diagonal/>
    </border>
    <border>
      <left style="thin">
        <color theme="1"/>
      </left>
      <right style="thin">
        <color theme="1"/>
      </right>
      <top style="double">
        <color theme="1"/>
      </top>
      <bottom style="thin">
        <color theme="1"/>
      </bottom>
      <diagonal/>
    </border>
    <border>
      <left style="thin">
        <color theme="1"/>
      </left>
      <right style="thin">
        <color theme="1"/>
      </right>
      <top style="double">
        <color theme="1"/>
      </top>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bottom/>
      <diagonal/>
    </border>
    <border>
      <left/>
      <right style="thick">
        <color theme="1"/>
      </right>
      <top/>
      <bottom/>
      <diagonal/>
    </border>
    <border>
      <left style="thick">
        <color theme="1"/>
      </left>
      <right style="thin">
        <color indexed="8"/>
      </right>
      <top style="double">
        <color indexed="8"/>
      </top>
      <bottom/>
      <diagonal/>
    </border>
    <border>
      <left/>
      <right style="thick">
        <color theme="1"/>
      </right>
      <top style="double">
        <color indexed="8"/>
      </top>
      <bottom/>
      <diagonal/>
    </border>
    <border>
      <left style="thick">
        <color theme="1"/>
      </left>
      <right style="thin">
        <color indexed="8"/>
      </right>
      <top/>
      <bottom/>
      <diagonal/>
    </border>
    <border>
      <left style="thin">
        <color indexed="8"/>
      </left>
      <right style="thick">
        <color theme="1"/>
      </right>
      <top/>
      <bottom/>
      <diagonal/>
    </border>
    <border>
      <left style="thick">
        <color theme="1"/>
      </left>
      <right style="thin">
        <color theme="1"/>
      </right>
      <top style="double">
        <color theme="1"/>
      </top>
      <bottom style="thin">
        <color theme="1"/>
      </bottom>
      <diagonal/>
    </border>
    <border>
      <left style="thin">
        <color theme="1"/>
      </left>
      <right style="thick">
        <color theme="1"/>
      </right>
      <top style="double">
        <color theme="1"/>
      </top>
      <bottom style="thin">
        <color theme="1"/>
      </bottom>
      <diagonal/>
    </border>
    <border>
      <left style="thick">
        <color theme="1"/>
      </left>
      <right style="thin">
        <color theme="1"/>
      </right>
      <top style="thin">
        <color theme="1"/>
      </top>
      <bottom style="thin">
        <color theme="1"/>
      </bottom>
      <diagonal/>
    </border>
    <border>
      <left style="thin">
        <color theme="1"/>
      </left>
      <right style="thick">
        <color theme="1"/>
      </right>
      <top style="thin">
        <color theme="1"/>
      </top>
      <bottom style="thin">
        <color theme="1"/>
      </bottom>
      <diagonal/>
    </border>
    <border>
      <left style="thick">
        <color theme="1"/>
      </left>
      <right style="thin">
        <color theme="1"/>
      </right>
      <top style="double">
        <color theme="1"/>
      </top>
      <bottom/>
      <diagonal/>
    </border>
    <border>
      <left style="thin">
        <color theme="1"/>
      </left>
      <right style="thick">
        <color theme="1"/>
      </right>
      <top style="double">
        <color theme="1"/>
      </top>
      <bottom/>
      <diagonal/>
    </border>
    <border>
      <left style="thick">
        <color theme="1"/>
      </left>
      <right/>
      <top/>
      <bottom style="thick">
        <color theme="1"/>
      </bottom>
      <diagonal/>
    </border>
    <border>
      <left/>
      <right/>
      <top/>
      <bottom style="thick">
        <color theme="1"/>
      </bottom>
      <diagonal/>
    </border>
    <border>
      <left style="thin">
        <color theme="1"/>
      </left>
      <right style="thin">
        <color theme="1"/>
      </right>
      <top style="thin">
        <color theme="1"/>
      </top>
      <bottom style="thick">
        <color theme="1"/>
      </bottom>
      <diagonal/>
    </border>
    <border>
      <left style="thin">
        <color theme="1"/>
      </left>
      <right style="thick">
        <color theme="1"/>
      </right>
      <top style="thin">
        <color theme="1"/>
      </top>
      <bottom style="thick">
        <color theme="1"/>
      </bottom>
      <diagonal/>
    </border>
    <border>
      <left style="thick">
        <color theme="1"/>
      </left>
      <right style="thin">
        <color indexed="8"/>
      </right>
      <top style="double">
        <color indexed="8"/>
      </top>
      <bottom/>
      <diagonal/>
    </border>
    <border>
      <left style="thin">
        <color indexed="8"/>
      </left>
      <right style="thin">
        <color indexed="8"/>
      </right>
      <top style="double">
        <color indexed="8"/>
      </top>
      <bottom/>
      <diagonal/>
    </border>
    <border>
      <left style="thin">
        <color indexed="8"/>
      </left>
      <right/>
      <top style="double">
        <color indexed="8"/>
      </top>
      <bottom/>
      <diagonal/>
    </border>
    <border>
      <left/>
      <right style="thin">
        <color indexed="8"/>
      </right>
      <top style="double">
        <color indexed="8"/>
      </top>
      <bottom/>
      <diagonal/>
    </border>
    <border>
      <left/>
      <right style="thick">
        <color theme="1"/>
      </right>
      <top style="double">
        <color indexed="8"/>
      </top>
      <bottom/>
      <diagonal/>
    </border>
    <border>
      <left/>
      <right/>
      <top style="double">
        <color indexed="8"/>
      </top>
      <bottom/>
      <diagonal/>
    </border>
    <border>
      <left/>
      <right style="thick">
        <color theme="1"/>
      </right>
      <top style="thin">
        <color theme="1"/>
      </top>
      <bottom style="thin">
        <color theme="1"/>
      </bottom>
      <diagonal/>
    </border>
    <border>
      <left style="thin">
        <color theme="1"/>
      </left>
      <right/>
      <top style="thin">
        <color theme="1"/>
      </top>
      <bottom style="thick">
        <color theme="1"/>
      </bottom>
      <diagonal/>
    </border>
    <border>
      <left/>
      <right style="thick">
        <color theme="1"/>
      </right>
      <top style="thin">
        <color theme="1"/>
      </top>
      <bottom style="thick">
        <color theme="1"/>
      </bottom>
      <diagonal/>
    </border>
    <border>
      <left style="thick">
        <color theme="1"/>
      </left>
      <right/>
      <top style="double">
        <color theme="1"/>
      </top>
      <bottom style="double">
        <color indexed="8"/>
      </bottom>
      <diagonal/>
    </border>
    <border>
      <left/>
      <right/>
      <top style="double">
        <color theme="1"/>
      </top>
      <bottom style="double">
        <color indexed="8"/>
      </bottom>
      <diagonal/>
    </border>
    <border>
      <left style="thin">
        <color indexed="8"/>
      </left>
      <right style="thin">
        <color indexed="8"/>
      </right>
      <top style="double">
        <color theme="1"/>
      </top>
      <bottom style="double">
        <color indexed="8"/>
      </bottom>
      <diagonal/>
    </border>
    <border>
      <left style="thin">
        <color indexed="8"/>
      </left>
      <right style="thick">
        <color theme="1"/>
      </right>
      <top style="double">
        <color theme="1"/>
      </top>
      <bottom style="double">
        <color indexed="8"/>
      </bottom>
      <diagonal/>
    </border>
    <border>
      <left style="thick">
        <color theme="1"/>
      </left>
      <right style="thin">
        <color indexed="64"/>
      </right>
      <top style="thick">
        <color theme="1"/>
      </top>
      <bottom style="thin">
        <color theme="1"/>
      </bottom>
      <diagonal/>
    </border>
    <border>
      <left style="thin">
        <color indexed="64"/>
      </left>
      <right style="thin">
        <color theme="1"/>
      </right>
      <top style="thick">
        <color theme="1"/>
      </top>
      <bottom style="thin">
        <color theme="1"/>
      </bottom>
      <diagonal/>
    </border>
    <border>
      <left style="thin">
        <color theme="1"/>
      </left>
      <right/>
      <top style="thick">
        <color theme="1"/>
      </top>
      <bottom style="thin">
        <color theme="1"/>
      </bottom>
      <diagonal/>
    </border>
    <border>
      <left style="thin">
        <color theme="1"/>
      </left>
      <right style="thin">
        <color theme="1"/>
      </right>
      <top style="thick">
        <color theme="1"/>
      </top>
      <bottom style="thin">
        <color theme="1"/>
      </bottom>
      <diagonal/>
    </border>
    <border>
      <left/>
      <right style="thick">
        <color theme="1"/>
      </right>
      <top style="thick">
        <color theme="1"/>
      </top>
      <bottom style="thin">
        <color theme="1"/>
      </bottom>
      <diagonal/>
    </border>
    <border>
      <left style="thick">
        <color theme="1"/>
      </left>
      <right style="thin">
        <color indexed="64"/>
      </right>
      <top style="thin">
        <color theme="1"/>
      </top>
      <bottom style="thin">
        <color theme="1"/>
      </bottom>
      <diagonal/>
    </border>
    <border>
      <left style="thick">
        <color theme="1"/>
      </left>
      <right/>
      <top style="thin">
        <color theme="1"/>
      </top>
      <bottom style="thin">
        <color theme="1"/>
      </bottom>
      <diagonal/>
    </border>
    <border>
      <left style="thick">
        <color theme="1"/>
      </left>
      <right style="thin">
        <color indexed="64"/>
      </right>
      <top style="thin">
        <color theme="1"/>
      </top>
      <bottom style="thick">
        <color theme="1"/>
      </bottom>
      <diagonal/>
    </border>
    <border>
      <left style="thick">
        <color theme="1"/>
      </left>
      <right/>
      <top style="double">
        <color theme="1"/>
      </top>
      <bottom style="double">
        <color theme="1"/>
      </bottom>
      <diagonal/>
    </border>
    <border>
      <left/>
      <right/>
      <top style="double">
        <color theme="1"/>
      </top>
      <bottom style="double">
        <color theme="1"/>
      </bottom>
      <diagonal/>
    </border>
    <border>
      <left style="thin">
        <color indexed="8"/>
      </left>
      <right style="thin">
        <color indexed="8"/>
      </right>
      <top style="double">
        <color theme="1"/>
      </top>
      <bottom style="double">
        <color theme="1"/>
      </bottom>
      <diagonal/>
    </border>
    <border>
      <left style="thin">
        <color indexed="8"/>
      </left>
      <right style="thick">
        <color theme="1"/>
      </right>
      <top style="double">
        <color theme="1"/>
      </top>
      <bottom style="double">
        <color theme="1"/>
      </bottom>
      <diagonal/>
    </border>
    <border>
      <left style="thick">
        <color theme="1"/>
      </left>
      <right style="thin">
        <color theme="1"/>
      </right>
      <top style="thick">
        <color theme="1"/>
      </top>
      <bottom style="thin">
        <color theme="1"/>
      </bottom>
      <diagonal/>
    </border>
    <border>
      <left style="thin">
        <color theme="1"/>
      </left>
      <right style="thick">
        <color theme="1"/>
      </right>
      <top style="thick">
        <color theme="1"/>
      </top>
      <bottom style="thin">
        <color theme="1"/>
      </bottom>
      <diagonal/>
    </border>
    <border>
      <left style="thick">
        <color theme="1"/>
      </left>
      <right style="thin">
        <color theme="1"/>
      </right>
      <top style="thin">
        <color theme="1"/>
      </top>
      <bottom style="thick">
        <color theme="1"/>
      </bottom>
      <diagonal/>
    </border>
    <border>
      <left/>
      <right/>
      <top/>
      <bottom style="thin">
        <color auto="1"/>
      </bottom>
      <diagonal/>
    </border>
    <border>
      <left style="thin">
        <color indexed="64"/>
      </left>
      <right style="thin">
        <color indexed="64"/>
      </right>
      <top/>
      <bottom style="thin">
        <color auto="1"/>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medium">
        <color indexed="64"/>
      </right>
      <top/>
      <bottom style="double">
        <color indexed="64"/>
      </bottom>
      <diagonal/>
    </border>
  </borders>
  <cellStyleXfs count="60">
    <xf numFmtId="0" fontId="0" fillId="0" borderId="0"/>
    <xf numFmtId="0" fontId="64" fillId="2" borderId="0" applyNumberFormat="0" applyBorder="0" applyAlignment="0" applyProtection="0"/>
    <xf numFmtId="0" fontId="64" fillId="3" borderId="0" applyNumberFormat="0" applyBorder="0" applyAlignment="0" applyProtection="0"/>
    <xf numFmtId="0" fontId="64" fillId="4" borderId="0" applyNumberFormat="0" applyBorder="0" applyAlignment="0" applyProtection="0"/>
    <xf numFmtId="0" fontId="64" fillId="5" borderId="0" applyNumberFormat="0" applyBorder="0" applyAlignment="0" applyProtection="0"/>
    <xf numFmtId="0" fontId="64" fillId="6"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3" borderId="0" applyNumberFormat="0" applyBorder="0" applyAlignment="0" applyProtection="0"/>
    <xf numFmtId="0" fontId="64" fillId="7" borderId="0" applyNumberFormat="0" applyBorder="0" applyAlignment="0" applyProtection="0"/>
    <xf numFmtId="0" fontId="64" fillId="8" borderId="0" applyNumberFormat="0" applyBorder="0" applyAlignment="0" applyProtection="0"/>
    <xf numFmtId="0" fontId="64" fillId="6" borderId="0" applyNumberFormat="0" applyBorder="0" applyAlignment="0" applyProtection="0"/>
    <xf numFmtId="0" fontId="64" fillId="4" borderId="0" applyNumberFormat="0" applyBorder="0" applyAlignment="0" applyProtection="0"/>
    <xf numFmtId="0" fontId="65" fillId="6" borderId="0" applyNumberFormat="0" applyBorder="0" applyAlignment="0" applyProtection="0"/>
    <xf numFmtId="0" fontId="65" fillId="9" borderId="0" applyNumberFormat="0" applyBorder="0" applyAlignment="0" applyProtection="0"/>
    <xf numFmtId="0" fontId="65" fillId="10" borderId="0" applyNumberFormat="0" applyBorder="0" applyAlignment="0" applyProtection="0"/>
    <xf numFmtId="0" fontId="65" fillId="8" borderId="0" applyNumberFormat="0" applyBorder="0" applyAlignment="0" applyProtection="0"/>
    <xf numFmtId="0" fontId="65" fillId="6" borderId="0" applyNumberFormat="0" applyBorder="0" applyAlignment="0" applyProtection="0"/>
    <xf numFmtId="0" fontId="65" fillId="3" borderId="0" applyNumberFormat="0" applyBorder="0" applyAlignment="0" applyProtection="0"/>
    <xf numFmtId="0" fontId="65" fillId="11" borderId="0" applyNumberFormat="0" applyBorder="0" applyAlignment="0" applyProtection="0"/>
    <xf numFmtId="0" fontId="65" fillId="9" borderId="0" applyNumberFormat="0" applyBorder="0" applyAlignment="0" applyProtection="0"/>
    <xf numFmtId="0" fontId="65" fillId="10" borderId="0" applyNumberFormat="0" applyBorder="0" applyAlignment="0" applyProtection="0"/>
    <xf numFmtId="0" fontId="65" fillId="12" borderId="0" applyNumberFormat="0" applyBorder="0" applyAlignment="0" applyProtection="0"/>
    <xf numFmtId="0" fontId="65" fillId="13" borderId="0" applyNumberFormat="0" applyBorder="0" applyAlignment="0" applyProtection="0"/>
    <xf numFmtId="0" fontId="65" fillId="14" borderId="0" applyNumberFormat="0" applyBorder="0" applyAlignment="0" applyProtection="0"/>
    <xf numFmtId="0" fontId="66" fillId="15" borderId="0" applyNumberFormat="0" applyBorder="0" applyAlignment="0" applyProtection="0"/>
    <xf numFmtId="0" fontId="67" fillId="16" borderId="1" applyNumberFormat="0" applyAlignment="0" applyProtection="0"/>
    <xf numFmtId="0" fontId="68" fillId="17" borderId="2" applyNumberFormat="0" applyAlignment="0" applyProtection="0"/>
    <xf numFmtId="44" fontId="11" fillId="0" borderId="0" applyFont="0" applyFill="0" applyBorder="0" applyAlignment="0" applyProtection="0"/>
    <xf numFmtId="44" fontId="11" fillId="0" borderId="0" applyFont="0" applyFill="0" applyBorder="0" applyAlignment="0" applyProtection="0"/>
    <xf numFmtId="0" fontId="69" fillId="0" borderId="0" applyNumberFormat="0" applyFill="0" applyBorder="0" applyAlignment="0" applyProtection="0"/>
    <xf numFmtId="0" fontId="70" fillId="6" borderId="0" applyNumberFormat="0" applyBorder="0" applyAlignment="0" applyProtection="0"/>
    <xf numFmtId="0" fontId="71" fillId="0" borderId="3" applyNumberFormat="0" applyFill="0" applyAlignment="0" applyProtection="0"/>
    <xf numFmtId="0" fontId="72" fillId="0" borderId="4" applyNumberFormat="0" applyFill="0" applyAlignment="0" applyProtection="0"/>
    <xf numFmtId="0" fontId="73" fillId="0" borderId="5" applyNumberFormat="0" applyFill="0" applyAlignment="0" applyProtection="0"/>
    <xf numFmtId="0" fontId="73" fillId="0" borderId="0" applyNumberFormat="0" applyFill="0" applyBorder="0" applyAlignment="0" applyProtection="0"/>
    <xf numFmtId="0" fontId="74"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5" fillId="7" borderId="1" applyNumberFormat="0" applyAlignment="0" applyProtection="0"/>
    <xf numFmtId="0" fontId="76" fillId="0" borderId="6" applyNumberFormat="0" applyFill="0" applyAlignment="0" applyProtection="0"/>
    <xf numFmtId="0" fontId="77" fillId="7" borderId="0" applyNumberFormat="0" applyBorder="0" applyAlignment="0" applyProtection="0"/>
    <xf numFmtId="0" fontId="11" fillId="0" borderId="0"/>
    <xf numFmtId="0" fontId="4" fillId="0" borderId="0"/>
    <xf numFmtId="0" fontId="64" fillId="0" borderId="0"/>
    <xf numFmtId="0" fontId="99" fillId="0" borderId="0"/>
    <xf numFmtId="0" fontId="11" fillId="0" borderId="0"/>
    <xf numFmtId="0" fontId="4" fillId="0" borderId="0"/>
    <xf numFmtId="0" fontId="4" fillId="0" borderId="0"/>
    <xf numFmtId="0" fontId="32" fillId="0" borderId="0"/>
    <xf numFmtId="0" fontId="26" fillId="16" borderId="0"/>
    <xf numFmtId="0" fontId="4" fillId="4" borderId="7" applyNumberFormat="0" applyFont="0" applyAlignment="0" applyProtection="0"/>
    <xf numFmtId="0" fontId="78" fillId="16" borderId="8" applyNumberFormat="0" applyAlignment="0" applyProtection="0"/>
    <xf numFmtId="0" fontId="79" fillId="0" borderId="0" applyNumberFormat="0" applyFill="0" applyBorder="0" applyAlignment="0" applyProtection="0"/>
    <xf numFmtId="0" fontId="80" fillId="0" borderId="9" applyNumberFormat="0" applyFill="0" applyAlignment="0" applyProtection="0"/>
    <xf numFmtId="0" fontId="76" fillId="0" borderId="0" applyNumberFormat="0" applyFill="0" applyBorder="0" applyAlignment="0" applyProtection="0"/>
    <xf numFmtId="0" fontId="4" fillId="0" borderId="0"/>
    <xf numFmtId="0" fontId="2" fillId="0" borderId="0"/>
    <xf numFmtId="0" fontId="129" fillId="0" borderId="0" applyNumberFormat="0" applyFill="0" applyBorder="0" applyAlignment="0" applyProtection="0"/>
    <xf numFmtId="0" fontId="129" fillId="0" borderId="0" applyNumberFormat="0" applyFill="0" applyBorder="0" applyAlignment="0" applyProtection="0"/>
    <xf numFmtId="9" fontId="1" fillId="0" borderId="0" applyFont="0" applyFill="0" applyBorder="0" applyAlignment="0" applyProtection="0"/>
  </cellStyleXfs>
  <cellXfs count="2818">
    <xf numFmtId="0" fontId="0" fillId="0" borderId="0" xfId="0"/>
    <xf numFmtId="0" fontId="0" fillId="0" borderId="0" xfId="0" applyAlignment="1">
      <alignment horizontal="center"/>
    </xf>
    <xf numFmtId="0" fontId="7" fillId="0" borderId="0" xfId="0" applyFont="1"/>
    <xf numFmtId="0" fontId="5" fillId="0" borderId="0" xfId="0" applyFont="1" applyProtection="1">
      <protection locked="0"/>
    </xf>
    <xf numFmtId="0" fontId="0" fillId="0" borderId="0" xfId="0" applyProtection="1">
      <protection locked="0"/>
    </xf>
    <xf numFmtId="0" fontId="6" fillId="0" borderId="0" xfId="0" applyFont="1" applyProtection="1">
      <protection locked="0"/>
    </xf>
    <xf numFmtId="0" fontId="0" fillId="0" borderId="12" xfId="0"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0" fillId="0" borderId="0" xfId="0" applyAlignment="1">
      <alignment vertical="center"/>
    </xf>
    <xf numFmtId="0" fontId="11" fillId="0" borderId="11" xfId="0" applyFont="1" applyBorder="1" applyAlignment="1">
      <alignment horizontal="center" vertical="center"/>
    </xf>
    <xf numFmtId="0" fontId="11" fillId="0" borderId="0" xfId="0" applyFont="1" applyAlignment="1">
      <alignment vertical="center"/>
    </xf>
    <xf numFmtId="0" fontId="0" fillId="0" borderId="15" xfId="0" applyBorder="1" applyAlignment="1">
      <alignment horizontal="center" vertical="center"/>
    </xf>
    <xf numFmtId="0" fontId="0" fillId="0" borderId="0" xfId="0" applyAlignment="1">
      <alignment horizontal="center" wrapText="1"/>
    </xf>
    <xf numFmtId="0" fontId="7" fillId="0" borderId="0" xfId="0" applyFont="1" applyAlignment="1">
      <alignment vertical="center"/>
    </xf>
    <xf numFmtId="0" fontId="7" fillId="0" borderId="0" xfId="0" applyFont="1" applyAlignment="1">
      <alignment horizontal="center" vertical="center"/>
    </xf>
    <xf numFmtId="0" fontId="19" fillId="0" borderId="12" xfId="0" applyFont="1" applyBorder="1" applyAlignment="1">
      <alignment horizontal="center" vertical="center"/>
    </xf>
    <xf numFmtId="0" fontId="11" fillId="0" borderId="17" xfId="0" applyFont="1" applyBorder="1" applyAlignment="1">
      <alignment vertical="center"/>
    </xf>
    <xf numFmtId="0" fontId="18" fillId="0" borderId="0" xfId="0" applyFont="1" applyProtection="1">
      <protection locked="0"/>
    </xf>
    <xf numFmtId="0" fontId="0" fillId="0" borderId="0" xfId="0" applyAlignment="1">
      <alignment vertical="center" wrapText="1"/>
    </xf>
    <xf numFmtId="0" fontId="11" fillId="0" borderId="12" xfId="0" applyFont="1" applyBorder="1" applyAlignment="1">
      <alignment vertical="center"/>
    </xf>
    <xf numFmtId="0" fontId="26" fillId="0" borderId="0" xfId="49" applyFill="1"/>
    <xf numFmtId="0" fontId="28" fillId="0" borderId="0" xfId="49" applyFont="1" applyFill="1"/>
    <xf numFmtId="0" fontId="26" fillId="0" borderId="22" xfId="49" applyFill="1" applyBorder="1"/>
    <xf numFmtId="0" fontId="26" fillId="0" borderId="23" xfId="49" applyFill="1" applyBorder="1"/>
    <xf numFmtId="0" fontId="26" fillId="0" borderId="24" xfId="49" applyFill="1" applyBorder="1"/>
    <xf numFmtId="0" fontId="29" fillId="0" borderId="25" xfId="49" applyFont="1" applyFill="1" applyBorder="1" applyAlignment="1">
      <alignment horizontal="center" vertical="center"/>
    </xf>
    <xf numFmtId="1" fontId="29" fillId="0" borderId="25" xfId="49" applyNumberFormat="1" applyFont="1" applyFill="1" applyBorder="1" applyAlignment="1">
      <alignment horizontal="center" vertical="center"/>
    </xf>
    <xf numFmtId="0" fontId="26" fillId="0" borderId="0" xfId="49" quotePrefix="1" applyFill="1" applyAlignment="1">
      <alignment horizontal="left"/>
    </xf>
    <xf numFmtId="0" fontId="30" fillId="0" borderId="0" xfId="49" applyFont="1" applyFill="1"/>
    <xf numFmtId="1" fontId="26" fillId="0" borderId="0" xfId="49" applyNumberFormat="1" applyFill="1" applyAlignment="1">
      <alignment horizontal="center" vertical="center"/>
    </xf>
    <xf numFmtId="0" fontId="31" fillId="0" borderId="0" xfId="49" applyFont="1" applyFill="1"/>
    <xf numFmtId="0" fontId="33" fillId="0" borderId="0" xfId="48" applyFont="1"/>
    <xf numFmtId="0" fontId="32" fillId="0" borderId="0" xfId="48"/>
    <xf numFmtId="0" fontId="33" fillId="0" borderId="0" xfId="48" applyFont="1" applyAlignment="1">
      <alignment horizontal="centerContinuous"/>
    </xf>
    <xf numFmtId="0" fontId="35" fillId="0" borderId="0" xfId="48" applyFont="1"/>
    <xf numFmtId="0" fontId="35" fillId="0" borderId="0" xfId="48" applyFont="1" applyAlignment="1">
      <alignment horizontal="centerContinuous"/>
    </xf>
    <xf numFmtId="0" fontId="37" fillId="19" borderId="0" xfId="48" applyFont="1" applyFill="1" applyAlignment="1">
      <alignment horizontal="center"/>
    </xf>
    <xf numFmtId="5" fontId="33" fillId="0" borderId="0" xfId="48" applyNumberFormat="1" applyFont="1"/>
    <xf numFmtId="7" fontId="35" fillId="0" borderId="0" xfId="48" applyNumberFormat="1" applyFont="1"/>
    <xf numFmtId="5" fontId="36" fillId="0" borderId="0" xfId="48" applyNumberFormat="1" applyFont="1"/>
    <xf numFmtId="5" fontId="35" fillId="0" borderId="0" xfId="48" applyNumberFormat="1" applyFont="1"/>
    <xf numFmtId="0" fontId="39" fillId="0" borderId="0" xfId="48" applyFont="1"/>
    <xf numFmtId="7" fontId="39" fillId="0" borderId="0" xfId="48" applyNumberFormat="1" applyFont="1"/>
    <xf numFmtId="7" fontId="38" fillId="0" borderId="0" xfId="48" applyNumberFormat="1" applyFont="1"/>
    <xf numFmtId="7" fontId="40" fillId="0" borderId="0" xfId="48" applyNumberFormat="1" applyFont="1"/>
    <xf numFmtId="0" fontId="41" fillId="0" borderId="0" xfId="48" applyFont="1"/>
    <xf numFmtId="0" fontId="0" fillId="0" borderId="0" xfId="0" applyAlignment="1">
      <alignment horizontal="right"/>
    </xf>
    <xf numFmtId="0" fontId="11" fillId="0" borderId="0" xfId="0" applyFont="1" applyAlignment="1">
      <alignment horizontal="left" vertical="top"/>
    </xf>
    <xf numFmtId="0" fontId="26" fillId="0" borderId="27" xfId="49" applyFill="1" applyBorder="1" applyAlignment="1">
      <alignment horizontal="center" vertical="center" wrapText="1"/>
    </xf>
    <xf numFmtId="0" fontId="29" fillId="0" borderId="27" xfId="48" quotePrefix="1" applyFont="1" applyBorder="1" applyAlignment="1">
      <alignment vertical="center"/>
    </xf>
    <xf numFmtId="0" fontId="26" fillId="0" borderId="28" xfId="49" applyFill="1" applyBorder="1"/>
    <xf numFmtId="0" fontId="26" fillId="0" borderId="29" xfId="49" applyFill="1" applyBorder="1"/>
    <xf numFmtId="0" fontId="26" fillId="0" borderId="30" xfId="49" applyFill="1" applyBorder="1"/>
    <xf numFmtId="0" fontId="26" fillId="0" borderId="31" xfId="49" applyFill="1" applyBorder="1"/>
    <xf numFmtId="0" fontId="26" fillId="0" borderId="32" xfId="49" applyFill="1" applyBorder="1"/>
    <xf numFmtId="0" fontId="26" fillId="0" borderId="35" xfId="49" applyFill="1" applyBorder="1"/>
    <xf numFmtId="0" fontId="29" fillId="0" borderId="36" xfId="49" applyFont="1" applyFill="1" applyBorder="1" applyAlignment="1">
      <alignment horizontal="center" vertical="center" wrapText="1"/>
    </xf>
    <xf numFmtId="0" fontId="43" fillId="0" borderId="37" xfId="49" quotePrefix="1" applyFont="1" applyFill="1" applyBorder="1" applyAlignment="1">
      <alignment horizontal="left"/>
    </xf>
    <xf numFmtId="0" fontId="44" fillId="0" borderId="37" xfId="49" applyFont="1" applyFill="1" applyBorder="1"/>
    <xf numFmtId="0" fontId="29" fillId="0" borderId="0" xfId="49" applyFont="1" applyFill="1"/>
    <xf numFmtId="3" fontId="29" fillId="0" borderId="10" xfId="49" applyNumberFormat="1" applyFont="1" applyFill="1" applyBorder="1" applyAlignment="1">
      <alignment horizontal="center"/>
    </xf>
    <xf numFmtId="0" fontId="44" fillId="0" borderId="0" xfId="49" applyFont="1" applyFill="1"/>
    <xf numFmtId="10" fontId="29" fillId="0" borderId="38" xfId="49" applyNumberFormat="1" applyFont="1" applyFill="1" applyBorder="1" applyAlignment="1">
      <alignment horizontal="center" vertical="center"/>
    </xf>
    <xf numFmtId="0" fontId="48" fillId="0" borderId="39" xfId="49" applyFont="1" applyFill="1" applyBorder="1" applyAlignment="1">
      <alignment horizontal="center"/>
    </xf>
    <xf numFmtId="0" fontId="26" fillId="0" borderId="24" xfId="49" applyFill="1" applyBorder="1" applyAlignment="1">
      <alignment horizontal="center"/>
    </xf>
    <xf numFmtId="0" fontId="19" fillId="0" borderId="12" xfId="0" applyFont="1" applyBorder="1" applyAlignment="1">
      <alignment horizontal="center" vertical="center" wrapText="1"/>
    </xf>
    <xf numFmtId="1" fontId="19" fillId="0" borderId="12" xfId="0" applyNumberFormat="1"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vertical="center"/>
    </xf>
    <xf numFmtId="3" fontId="0" fillId="0" borderId="44" xfId="0" applyNumberFormat="1" applyBorder="1" applyAlignment="1">
      <alignment horizontal="center" vertical="center"/>
    </xf>
    <xf numFmtId="3" fontId="0" fillId="0" borderId="45" xfId="0" applyNumberFormat="1" applyBorder="1" applyAlignment="1">
      <alignment horizontal="center" vertical="center"/>
    </xf>
    <xf numFmtId="3" fontId="51" fillId="0" borderId="0" xfId="0" applyNumberFormat="1" applyFont="1" applyAlignment="1">
      <alignment horizontal="center"/>
    </xf>
    <xf numFmtId="0" fontId="51" fillId="0" borderId="0" xfId="0" applyFont="1" applyAlignment="1">
      <alignment horizontal="center"/>
    </xf>
    <xf numFmtId="3" fontId="29" fillId="0" borderId="0" xfId="49" applyNumberFormat="1" applyFont="1" applyFill="1" applyAlignment="1">
      <alignment horizontal="center" vertical="center"/>
    </xf>
    <xf numFmtId="3" fontId="29" fillId="0" borderId="0" xfId="49" applyNumberFormat="1" applyFont="1" applyFill="1" applyAlignment="1">
      <alignment horizontal="center"/>
    </xf>
    <xf numFmtId="0" fontId="26" fillId="0" borderId="0" xfId="49" applyFill="1" applyAlignment="1">
      <alignment horizontal="center" vertical="center"/>
    </xf>
    <xf numFmtId="0" fontId="13" fillId="0" borderId="0" xfId="49" applyFont="1" applyFill="1" applyAlignment="1">
      <alignment horizontal="center" vertical="center" wrapText="1"/>
    </xf>
    <xf numFmtId="0" fontId="15" fillId="0" borderId="0" xfId="49" applyFont="1" applyFill="1" applyAlignment="1">
      <alignment horizontal="center"/>
    </xf>
    <xf numFmtId="0" fontId="15" fillId="0" borderId="29" xfId="49" applyFont="1" applyFill="1" applyBorder="1" applyAlignment="1">
      <alignment horizontal="center"/>
    </xf>
    <xf numFmtId="14" fontId="29" fillId="0" borderId="22" xfId="49" applyNumberFormat="1" applyFont="1" applyFill="1" applyBorder="1"/>
    <xf numFmtId="0" fontId="29" fillId="0" borderId="10" xfId="49" applyFont="1" applyFill="1" applyBorder="1"/>
    <xf numFmtId="0" fontId="29" fillId="0" borderId="0" xfId="49" applyFont="1" applyFill="1" applyAlignment="1">
      <alignment horizontal="left"/>
    </xf>
    <xf numFmtId="0" fontId="29" fillId="0" borderId="22" xfId="49" applyFont="1" applyFill="1" applyBorder="1"/>
    <xf numFmtId="0" fontId="43" fillId="0" borderId="22" xfId="49" applyFont="1" applyFill="1" applyBorder="1"/>
    <xf numFmtId="0" fontId="43" fillId="0" borderId="0" xfId="49" applyFont="1" applyFill="1"/>
    <xf numFmtId="14" fontId="29" fillId="0" borderId="22" xfId="49" applyNumberFormat="1" applyFont="1" applyFill="1" applyBorder="1" applyAlignment="1">
      <alignment horizontal="left"/>
    </xf>
    <xf numFmtId="0" fontId="29" fillId="0" borderId="0" xfId="49" applyFont="1" applyFill="1" applyAlignment="1">
      <alignment horizontal="right"/>
    </xf>
    <xf numFmtId="0" fontId="53" fillId="0" borderId="0" xfId="49" applyFont="1" applyFill="1"/>
    <xf numFmtId="14" fontId="53" fillId="0" borderId="22" xfId="49" applyNumberFormat="1" applyFont="1" applyFill="1" applyBorder="1"/>
    <xf numFmtId="0" fontId="53" fillId="0" borderId="10" xfId="49" applyFont="1" applyFill="1" applyBorder="1"/>
    <xf numFmtId="0" fontId="53" fillId="0" borderId="0" xfId="49" applyFont="1" applyFill="1" applyAlignment="1">
      <alignment horizontal="left"/>
    </xf>
    <xf numFmtId="0" fontId="53" fillId="0" borderId="22" xfId="49" applyFont="1" applyFill="1" applyBorder="1"/>
    <xf numFmtId="0" fontId="54" fillId="0" borderId="22" xfId="49" applyFont="1" applyFill="1" applyBorder="1"/>
    <xf numFmtId="0" fontId="54" fillId="0" borderId="0" xfId="49" applyFont="1" applyFill="1"/>
    <xf numFmtId="14" fontId="53" fillId="0" borderId="22" xfId="49" applyNumberFormat="1" applyFont="1" applyFill="1" applyBorder="1" applyAlignment="1">
      <alignment horizontal="left"/>
    </xf>
    <xf numFmtId="0" fontId="53" fillId="0" borderId="0" xfId="49" applyFont="1" applyFill="1" applyAlignment="1">
      <alignment horizontal="right"/>
    </xf>
    <xf numFmtId="1" fontId="53" fillId="0" borderId="0" xfId="49" applyNumberFormat="1" applyFont="1" applyFill="1" applyAlignment="1">
      <alignment horizontal="center" vertical="center"/>
    </xf>
    <xf numFmtId="0" fontId="47" fillId="0" borderId="39" xfId="49" applyFont="1" applyFill="1" applyBorder="1" applyAlignment="1">
      <alignment horizontal="center"/>
    </xf>
    <xf numFmtId="0" fontId="29" fillId="0" borderId="47" xfId="49" applyFont="1" applyFill="1" applyBorder="1" applyAlignment="1">
      <alignment horizontal="center" wrapText="1"/>
    </xf>
    <xf numFmtId="0" fontId="29" fillId="0" borderId="48" xfId="49" applyFont="1" applyFill="1" applyBorder="1" applyAlignment="1">
      <alignment horizontal="center"/>
    </xf>
    <xf numFmtId="1" fontId="29" fillId="0" borderId="0" xfId="49" applyNumberFormat="1" applyFont="1" applyFill="1" applyAlignment="1">
      <alignment horizontal="center" vertical="center"/>
    </xf>
    <xf numFmtId="0" fontId="53" fillId="0" borderId="24" xfId="49" applyFont="1" applyFill="1" applyBorder="1" applyAlignment="1">
      <alignment horizontal="center"/>
    </xf>
    <xf numFmtId="0" fontId="15" fillId="19" borderId="50" xfId="48" applyFont="1" applyFill="1" applyBorder="1" applyAlignment="1">
      <alignment horizontal="center"/>
    </xf>
    <xf numFmtId="0" fontId="13" fillId="0" borderId="0" xfId="48" applyFont="1"/>
    <xf numFmtId="0" fontId="55" fillId="0" borderId="0" xfId="48" applyFont="1"/>
    <xf numFmtId="0" fontId="45" fillId="19" borderId="49" xfId="48" applyFont="1" applyFill="1" applyBorder="1" applyAlignment="1">
      <alignment horizontal="center"/>
    </xf>
    <xf numFmtId="0" fontId="45" fillId="19" borderId="50" xfId="48" applyFont="1" applyFill="1" applyBorder="1" applyAlignment="1">
      <alignment horizontal="center"/>
    </xf>
    <xf numFmtId="0" fontId="46" fillId="0" borderId="54" xfId="48" applyFont="1" applyBorder="1"/>
    <xf numFmtId="0" fontId="46" fillId="0" borderId="55" xfId="48" applyFont="1" applyBorder="1"/>
    <xf numFmtId="0" fontId="46" fillId="0" borderId="56" xfId="48" applyFont="1" applyBorder="1"/>
    <xf numFmtId="0" fontId="46" fillId="0" borderId="57" xfId="48" quotePrefix="1" applyFont="1" applyBorder="1"/>
    <xf numFmtId="0" fontId="46" fillId="0" borderId="22" xfId="48" applyFont="1" applyBorder="1"/>
    <xf numFmtId="0" fontId="46" fillId="0" borderId="58" xfId="48" applyFont="1" applyBorder="1"/>
    <xf numFmtId="0" fontId="13" fillId="0" borderId="0" xfId="48" applyFont="1" applyAlignment="1">
      <alignment horizontal="centerContinuous"/>
    </xf>
    <xf numFmtId="0" fontId="11" fillId="19" borderId="0" xfId="48" applyFont="1" applyFill="1" applyAlignment="1">
      <alignment horizontal="center"/>
    </xf>
    <xf numFmtId="0" fontId="11" fillId="0" borderId="0" xfId="0" applyFont="1" applyProtection="1">
      <protection locked="0"/>
    </xf>
    <xf numFmtId="0" fontId="14" fillId="0" borderId="0" xfId="0" applyFont="1" applyAlignment="1">
      <alignment horizontal="left"/>
    </xf>
    <xf numFmtId="0" fontId="11" fillId="0" borderId="0" xfId="0" applyFont="1" applyAlignment="1">
      <alignment horizontal="left" vertical="center" wrapText="1"/>
    </xf>
    <xf numFmtId="0" fontId="44" fillId="0" borderId="22" xfId="49" applyFont="1" applyFill="1" applyBorder="1"/>
    <xf numFmtId="0" fontId="11" fillId="0" borderId="0" xfId="0" applyFont="1" applyAlignment="1">
      <alignment horizontal="left" vertical="center"/>
    </xf>
    <xf numFmtId="0" fontId="0" fillId="0" borderId="0" xfId="0" applyAlignment="1">
      <alignment horizontal="left" vertical="center" wrapText="1"/>
    </xf>
    <xf numFmtId="0" fontId="26" fillId="0" borderId="60" xfId="49" applyFill="1" applyBorder="1" applyAlignment="1">
      <alignment horizontal="center" wrapText="1"/>
    </xf>
    <xf numFmtId="0" fontId="44" fillId="19" borderId="61" xfId="48" applyFont="1" applyFill="1" applyBorder="1" applyAlignment="1">
      <alignment horizontal="center" vertical="center" wrapText="1"/>
    </xf>
    <xf numFmtId="0" fontId="44" fillId="0" borderId="10" xfId="49" applyFont="1" applyFill="1" applyBorder="1"/>
    <xf numFmtId="0" fontId="11" fillId="0" borderId="0" xfId="0" applyFont="1" applyAlignment="1">
      <alignment horizontal="left" vertical="top" wrapText="1"/>
    </xf>
    <xf numFmtId="0" fontId="0" fillId="0" borderId="0" xfId="0" applyAlignment="1">
      <alignment horizontal="left" vertical="top" wrapText="1"/>
    </xf>
    <xf numFmtId="0" fontId="55" fillId="0" borderId="0" xfId="0" applyFont="1" applyAlignment="1">
      <alignment horizontal="center" vertical="center"/>
    </xf>
    <xf numFmtId="0" fontId="55" fillId="0" borderId="0" xfId="49" applyFont="1" applyFill="1" applyAlignment="1">
      <alignment horizontal="left"/>
    </xf>
    <xf numFmtId="0" fontId="55" fillId="0" borderId="0" xfId="49" applyFont="1" applyFill="1"/>
    <xf numFmtId="0" fontId="29" fillId="0" borderId="0" xfId="48" quotePrefix="1" applyFont="1" applyAlignment="1">
      <alignment vertical="center"/>
    </xf>
    <xf numFmtId="0" fontId="29" fillId="0" borderId="0" xfId="49" applyFont="1" applyFill="1" applyAlignment="1">
      <alignment horizontal="center" vertical="center" wrapText="1"/>
    </xf>
    <xf numFmtId="167" fontId="50" fillId="0" borderId="0" xfId="49" applyNumberFormat="1" applyFont="1" applyFill="1" applyAlignment="1">
      <alignment horizontal="center" vertical="center"/>
    </xf>
    <xf numFmtId="10" fontId="29" fillId="0" borderId="0" xfId="49" applyNumberFormat="1" applyFont="1" applyFill="1" applyAlignment="1">
      <alignment horizontal="center" vertical="center"/>
    </xf>
    <xf numFmtId="0" fontId="11" fillId="0" borderId="0" xfId="0" applyFont="1" applyAlignment="1">
      <alignment horizontal="center" vertical="center"/>
    </xf>
    <xf numFmtId="0" fontId="7" fillId="0" borderId="0" xfId="0" applyFont="1" applyProtection="1">
      <protection locked="0"/>
    </xf>
    <xf numFmtId="0" fontId="4" fillId="0" borderId="0" xfId="0" applyFont="1"/>
    <xf numFmtId="0" fontId="4" fillId="0" borderId="0" xfId="0" applyFont="1" applyAlignment="1">
      <alignment horizontal="center"/>
    </xf>
    <xf numFmtId="0" fontId="4" fillId="0" borderId="12" xfId="0" applyFont="1" applyBorder="1" applyAlignment="1">
      <alignment horizontal="center" vertical="center"/>
    </xf>
    <xf numFmtId="1" fontId="0" fillId="0" borderId="15" xfId="0" applyNumberFormat="1" applyBorder="1" applyAlignment="1">
      <alignment horizontal="center" vertical="center"/>
    </xf>
    <xf numFmtId="0" fontId="11" fillId="0" borderId="0" xfId="0" applyFont="1" applyAlignment="1">
      <alignment horizontal="center"/>
    </xf>
    <xf numFmtId="1" fontId="29" fillId="0" borderId="36" xfId="49" applyNumberFormat="1" applyFont="1" applyFill="1" applyBorder="1" applyAlignment="1">
      <alignment horizontal="center" vertical="center" wrapText="1"/>
    </xf>
    <xf numFmtId="0" fontId="4" fillId="0" borderId="12" xfId="0" applyFont="1" applyBorder="1" applyAlignment="1">
      <alignment vertical="center"/>
    </xf>
    <xf numFmtId="4" fontId="11" fillId="0" borderId="0" xfId="0" applyNumberFormat="1" applyFont="1" applyProtection="1">
      <protection locked="0"/>
    </xf>
    <xf numFmtId="0" fontId="11" fillId="0" borderId="0" xfId="0" applyFont="1" applyAlignment="1" applyProtection="1">
      <alignment horizontal="center" vertical="center" wrapText="1"/>
      <protection locked="0"/>
    </xf>
    <xf numFmtId="0" fontId="19"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42" fillId="0" borderId="0" xfId="0" applyFont="1" applyAlignment="1">
      <alignment horizontal="center" vertical="center"/>
    </xf>
    <xf numFmtId="0" fontId="81" fillId="0" borderId="0" xfId="0" applyFont="1" applyAlignment="1">
      <alignment horizontal="center"/>
    </xf>
    <xf numFmtId="0" fontId="82" fillId="0" borderId="0" xfId="0" applyFont="1" applyAlignment="1">
      <alignment horizontal="center"/>
    </xf>
    <xf numFmtId="0" fontId="7" fillId="0" borderId="0" xfId="0" applyFont="1" applyAlignment="1">
      <alignment horizontal="right" vertical="center" wrapText="1"/>
    </xf>
    <xf numFmtId="0" fontId="29" fillId="0" borderId="27" xfId="48" quotePrefix="1" applyFont="1" applyBorder="1" applyAlignment="1">
      <alignment vertical="center" wrapText="1"/>
    </xf>
    <xf numFmtId="0" fontId="29" fillId="0" borderId="74" xfId="48" quotePrefix="1" applyFont="1" applyBorder="1" applyAlignment="1">
      <alignment vertical="center"/>
    </xf>
    <xf numFmtId="0" fontId="29" fillId="0" borderId="74" xfId="48" applyFont="1" applyBorder="1" applyAlignment="1">
      <alignment vertical="center"/>
    </xf>
    <xf numFmtId="3" fontId="29" fillId="0" borderId="25" xfId="49" applyNumberFormat="1" applyFont="1" applyFill="1" applyBorder="1" applyAlignment="1">
      <alignment horizontal="center" vertical="center"/>
    </xf>
    <xf numFmtId="0" fontId="6" fillId="0" borderId="0" xfId="48" applyFont="1"/>
    <xf numFmtId="0" fontId="4" fillId="0" borderId="0" xfId="0" applyFont="1" applyAlignment="1">
      <alignment horizontal="left" vertical="center" wrapText="1"/>
    </xf>
    <xf numFmtId="0" fontId="92" fillId="0" borderId="0" xfId="0" applyFont="1" applyProtection="1">
      <protection locked="0"/>
    </xf>
    <xf numFmtId="0" fontId="92" fillId="0" borderId="0" xfId="0" applyFont="1" applyAlignment="1" applyProtection="1">
      <alignment horizontal="center"/>
      <protection locked="0"/>
    </xf>
    <xf numFmtId="0" fontId="85" fillId="0" borderId="0" xfId="0" applyFont="1" applyProtection="1">
      <protection locked="0"/>
    </xf>
    <xf numFmtId="2" fontId="7" fillId="0" borderId="0" xfId="0" quotePrefix="1" applyNumberFormat="1" applyFont="1" applyAlignment="1" applyProtection="1">
      <alignment horizontal="center" vertical="center"/>
      <protection locked="0"/>
    </xf>
    <xf numFmtId="2" fontId="42" fillId="0" borderId="0" xfId="0" applyNumberFormat="1" applyFont="1" applyAlignment="1" applyProtection="1">
      <alignment horizontal="center" vertical="center"/>
      <protection locked="0"/>
    </xf>
    <xf numFmtId="2" fontId="42" fillId="0" borderId="0" xfId="0" quotePrefix="1" applyNumberFormat="1" applyFont="1" applyAlignment="1" applyProtection="1">
      <alignment horizontal="center" vertical="center"/>
      <protection locked="0"/>
    </xf>
    <xf numFmtId="2" fontId="86" fillId="0" borderId="0" xfId="0" quotePrefix="1" applyNumberFormat="1"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73" xfId="0" applyFont="1" applyBorder="1" applyAlignment="1" applyProtection="1">
      <alignment horizontal="left" vertical="top" wrapText="1"/>
      <protection locked="0"/>
    </xf>
    <xf numFmtId="0" fontId="89" fillId="0" borderId="0" xfId="0" applyFont="1" applyProtection="1">
      <protection locked="0"/>
    </xf>
    <xf numFmtId="0" fontId="87" fillId="0" borderId="0" xfId="0" applyFont="1" applyAlignment="1" applyProtection="1">
      <alignment horizontal="left"/>
      <protection locked="0"/>
    </xf>
    <xf numFmtId="0" fontId="87" fillId="0" borderId="0" xfId="0" applyFont="1" applyProtection="1">
      <protection locked="0"/>
    </xf>
    <xf numFmtId="0" fontId="4" fillId="0" borderId="0" xfId="0" applyFont="1" applyAlignment="1">
      <alignment horizontal="left" vertical="center"/>
    </xf>
    <xf numFmtId="0" fontId="4" fillId="0" borderId="0" xfId="0" applyFont="1" applyAlignment="1">
      <alignment horizontal="left" vertical="top" wrapText="1"/>
    </xf>
    <xf numFmtId="0" fontId="49" fillId="0" borderId="0" xfId="49" applyFont="1" applyFill="1" applyAlignment="1">
      <alignment horizontal="left" vertical="center"/>
    </xf>
    <xf numFmtId="0" fontId="93" fillId="0" borderId="0" xfId="0" applyFont="1" applyAlignment="1">
      <alignment horizontal="left" vertical="center"/>
    </xf>
    <xf numFmtId="0" fontId="49" fillId="0" borderId="0" xfId="49" applyFont="1" applyFill="1" applyAlignment="1">
      <alignment horizontal="left"/>
    </xf>
    <xf numFmtId="0" fontId="93" fillId="0" borderId="0" xfId="0" applyFont="1" applyAlignment="1">
      <alignment horizontal="left" vertical="center" readingOrder="1"/>
    </xf>
    <xf numFmtId="0" fontId="49" fillId="0" borderId="0" xfId="49" applyFont="1" applyFill="1" applyAlignment="1">
      <alignment horizontal="right"/>
    </xf>
    <xf numFmtId="0" fontId="49" fillId="0" borderId="0" xfId="49" applyFont="1" applyFill="1"/>
    <xf numFmtId="0" fontId="4" fillId="0" borderId="11" xfId="0" applyFont="1" applyBorder="1" applyAlignment="1">
      <alignment horizontal="center" vertical="center"/>
    </xf>
    <xf numFmtId="1" fontId="4" fillId="0" borderId="12" xfId="0" applyNumberFormat="1" applyFont="1" applyBorder="1" applyAlignment="1">
      <alignment horizontal="center" vertical="center"/>
    </xf>
    <xf numFmtId="1" fontId="4" fillId="0" borderId="15" xfId="0" applyNumberFormat="1" applyFont="1" applyBorder="1" applyAlignment="1">
      <alignment horizontal="center" vertical="center"/>
    </xf>
    <xf numFmtId="0" fontId="4" fillId="0" borderId="15" xfId="0" applyFont="1" applyBorder="1" applyAlignment="1">
      <alignment horizontal="center" vertical="center"/>
    </xf>
    <xf numFmtId="0" fontId="13" fillId="0" borderId="0" xfId="49" applyFont="1" applyFill="1"/>
    <xf numFmtId="0" fontId="60" fillId="0" borderId="0" xfId="0" applyFont="1"/>
    <xf numFmtId="49" fontId="4" fillId="0" borderId="12" xfId="0" applyNumberFormat="1" applyFont="1" applyBorder="1" applyAlignment="1">
      <alignment horizontal="center" vertical="center"/>
    </xf>
    <xf numFmtId="0" fontId="4" fillId="0" borderId="12" xfId="0" applyFont="1" applyBorder="1" applyAlignment="1">
      <alignment horizontal="center" vertical="center" wrapText="1"/>
    </xf>
    <xf numFmtId="0" fontId="7" fillId="0" borderId="0" xfId="47" applyFont="1" applyAlignment="1">
      <alignment horizontal="left" vertical="top" wrapText="1" indent="1"/>
    </xf>
    <xf numFmtId="0" fontId="4" fillId="0" borderId="0" xfId="47" applyAlignment="1">
      <alignment horizontal="left" vertical="top" wrapText="1" indent="2"/>
    </xf>
    <xf numFmtId="0" fontId="13" fillId="0" borderId="0" xfId="0" applyFont="1"/>
    <xf numFmtId="0" fontId="7" fillId="0" borderId="98" xfId="47" applyFont="1" applyBorder="1" applyAlignment="1">
      <alignment horizontal="right" vertical="center"/>
    </xf>
    <xf numFmtId="0" fontId="7" fillId="0" borderId="91" xfId="47" applyFont="1" applyBorder="1" applyAlignment="1">
      <alignment vertical="center"/>
    </xf>
    <xf numFmtId="0" fontId="7" fillId="0" borderId="73" xfId="47" applyFont="1" applyBorder="1" applyAlignment="1">
      <alignment vertical="center"/>
    </xf>
    <xf numFmtId="0" fontId="4" fillId="0" borderId="73" xfId="47" applyBorder="1" applyAlignment="1">
      <alignment vertical="center"/>
    </xf>
    <xf numFmtId="0" fontId="4" fillId="0" borderId="73" xfId="47" applyBorder="1" applyAlignment="1" applyProtection="1">
      <alignment vertical="center"/>
      <protection locked="0"/>
    </xf>
    <xf numFmtId="0" fontId="4" fillId="0" borderId="91" xfId="47" applyBorder="1" applyAlignment="1">
      <alignment vertical="center"/>
    </xf>
    <xf numFmtId="0" fontId="4" fillId="0" borderId="97" xfId="47" applyBorder="1" applyAlignment="1">
      <alignment vertical="center"/>
    </xf>
    <xf numFmtId="0" fontId="4" fillId="0" borderId="0" xfId="47" applyAlignment="1">
      <alignment vertical="center"/>
    </xf>
    <xf numFmtId="0" fontId="7" fillId="0" borderId="13" xfId="47" applyFont="1" applyBorder="1" applyAlignment="1">
      <alignment horizontal="right" vertical="center"/>
    </xf>
    <xf numFmtId="0" fontId="94" fillId="0" borderId="0" xfId="47" applyFont="1" applyAlignment="1">
      <alignment vertical="center"/>
    </xf>
    <xf numFmtId="0" fontId="42" fillId="0" borderId="0" xfId="47" applyFont="1" applyAlignment="1">
      <alignment horizontal="right" vertical="center"/>
    </xf>
    <xf numFmtId="0" fontId="4" fillId="0" borderId="10" xfId="47" applyBorder="1" applyAlignment="1">
      <alignment vertical="center"/>
    </xf>
    <xf numFmtId="0" fontId="4" fillId="0" borderId="82" xfId="47" applyBorder="1" applyAlignment="1">
      <alignment vertical="center"/>
    </xf>
    <xf numFmtId="0" fontId="7" fillId="0" borderId="0" xfId="47" applyFont="1" applyAlignment="1">
      <alignment horizontal="right" vertical="center"/>
    </xf>
    <xf numFmtId="0" fontId="8" fillId="0" borderId="10" xfId="47" applyFont="1" applyBorder="1" applyAlignment="1" applyProtection="1">
      <alignment horizontal="center" vertical="center"/>
      <protection locked="0"/>
    </xf>
    <xf numFmtId="0" fontId="7" fillId="0" borderId="0" xfId="47" applyFont="1" applyAlignment="1">
      <alignment vertical="center"/>
    </xf>
    <xf numFmtId="0" fontId="4" fillId="0" borderId="0" xfId="47" applyAlignment="1">
      <alignment horizontal="right" vertical="center"/>
    </xf>
    <xf numFmtId="0" fontId="8" fillId="0" borderId="10" xfId="47" applyFont="1" applyBorder="1" applyAlignment="1" applyProtection="1">
      <alignment vertical="center"/>
      <protection locked="0"/>
    </xf>
    <xf numFmtId="0" fontId="10" fillId="0" borderId="10" xfId="47" applyFont="1" applyBorder="1" applyAlignment="1" applyProtection="1">
      <alignment vertical="center"/>
      <protection locked="0"/>
    </xf>
    <xf numFmtId="0" fontId="4" fillId="0" borderId="10" xfId="47" applyBorder="1" applyAlignment="1" applyProtection="1">
      <alignment vertical="center"/>
      <protection locked="0"/>
    </xf>
    <xf numFmtId="0" fontId="12" fillId="0" borderId="10" xfId="47" applyFont="1" applyBorder="1" applyAlignment="1">
      <alignment vertical="center"/>
    </xf>
    <xf numFmtId="0" fontId="4" fillId="0" borderId="13" xfId="47" applyBorder="1" applyAlignment="1">
      <alignment vertical="center"/>
    </xf>
    <xf numFmtId="0" fontId="4" fillId="0" borderId="0" xfId="47" applyAlignment="1">
      <alignment horizontal="left" vertical="center"/>
    </xf>
    <xf numFmtId="0" fontId="4" fillId="0" borderId="0" xfId="47" applyAlignment="1" applyProtection="1">
      <alignment vertical="center"/>
      <protection locked="0"/>
    </xf>
    <xf numFmtId="14" fontId="4" fillId="0" borderId="10" xfId="47" applyNumberFormat="1" applyBorder="1" applyAlignment="1">
      <alignment vertical="center"/>
    </xf>
    <xf numFmtId="0" fontId="8" fillId="0" borderId="0" xfId="47" applyFont="1" applyAlignment="1" applyProtection="1">
      <alignment horizontal="center" vertical="center"/>
      <protection locked="0"/>
    </xf>
    <xf numFmtId="0" fontId="45" fillId="0" borderId="0" xfId="47" applyFont="1" applyAlignment="1">
      <alignment vertical="center"/>
    </xf>
    <xf numFmtId="0" fontId="4" fillId="0" borderId="99" xfId="47" applyBorder="1" applyAlignment="1">
      <alignment vertical="center"/>
    </xf>
    <xf numFmtId="0" fontId="4" fillId="0" borderId="11" xfId="47" applyBorder="1" applyAlignment="1">
      <alignment vertical="center"/>
    </xf>
    <xf numFmtId="0" fontId="4" fillId="0" borderId="11" xfId="47" applyBorder="1" applyAlignment="1">
      <alignment horizontal="left" vertical="center"/>
    </xf>
    <xf numFmtId="49" fontId="4" fillId="0" borderId="11" xfId="47" applyNumberFormat="1" applyBorder="1" applyAlignment="1">
      <alignment vertical="center"/>
    </xf>
    <xf numFmtId="0" fontId="46" fillId="0" borderId="12" xfId="0" applyFont="1" applyBorder="1" applyAlignment="1">
      <alignment horizontal="center" vertical="center"/>
    </xf>
    <xf numFmtId="0" fontId="46" fillId="0" borderId="12" xfId="0" applyFont="1" applyBorder="1" applyAlignment="1" applyProtection="1">
      <alignment horizontal="center" vertical="center"/>
      <protection locked="0"/>
    </xf>
    <xf numFmtId="0" fontId="57" fillId="0" borderId="12" xfId="0" applyFont="1" applyBorder="1" applyAlignment="1" applyProtection="1">
      <alignment horizontal="center" vertical="center"/>
      <protection locked="0"/>
    </xf>
    <xf numFmtId="0" fontId="96" fillId="0" borderId="12" xfId="0" applyFont="1" applyBorder="1" applyAlignment="1">
      <alignment horizontal="center" vertical="center"/>
    </xf>
    <xf numFmtId="0" fontId="46" fillId="0" borderId="16" xfId="0" applyFont="1" applyBorder="1" applyAlignment="1">
      <alignment horizontal="center" vertical="center"/>
    </xf>
    <xf numFmtId="0" fontId="96" fillId="0" borderId="16" xfId="0" applyFont="1" applyBorder="1" applyAlignment="1">
      <alignment horizontal="center" vertical="center"/>
    </xf>
    <xf numFmtId="0" fontId="95" fillId="0" borderId="0" xfId="0" applyFont="1" applyProtection="1">
      <protection locked="0"/>
    </xf>
    <xf numFmtId="0" fontId="46" fillId="0" borderId="12" xfId="0" applyFont="1" applyBorder="1" applyAlignment="1" applyProtection="1">
      <alignment horizontal="left" vertical="center"/>
      <protection locked="0"/>
    </xf>
    <xf numFmtId="0" fontId="4" fillId="0" borderId="0" xfId="47"/>
    <xf numFmtId="0" fontId="4" fillId="0" borderId="0" xfId="47" applyAlignment="1">
      <alignment horizontal="left" vertical="top" wrapText="1"/>
    </xf>
    <xf numFmtId="0" fontId="91" fillId="0" borderId="0" xfId="47" applyFont="1" applyAlignment="1">
      <alignment horizontal="left" vertical="top" wrapText="1"/>
    </xf>
    <xf numFmtId="0" fontId="4" fillId="0" borderId="0" xfId="42"/>
    <xf numFmtId="0" fontId="4" fillId="24" borderId="0" xfId="42" applyFill="1"/>
    <xf numFmtId="0" fontId="4" fillId="0" borderId="0" xfId="42" applyAlignment="1">
      <alignment wrapText="1"/>
    </xf>
    <xf numFmtId="0" fontId="4" fillId="0" borderId="0" xfId="42" applyAlignment="1">
      <alignment horizontal="justify" wrapText="1"/>
    </xf>
    <xf numFmtId="0" fontId="4" fillId="0" borderId="0" xfId="42" applyAlignment="1">
      <alignment horizontal="justify"/>
    </xf>
    <xf numFmtId="0" fontId="4" fillId="0" borderId="0" xfId="42" applyAlignment="1">
      <alignment horizontal="left" wrapText="1" indent="1"/>
    </xf>
    <xf numFmtId="0" fontId="4" fillId="0" borderId="0" xfId="42" applyAlignment="1">
      <alignment horizontal="left" wrapText="1" indent="2"/>
    </xf>
    <xf numFmtId="0" fontId="4" fillId="0" borderId="0" xfId="42" applyAlignment="1">
      <alignment vertical="center" wrapText="1"/>
    </xf>
    <xf numFmtId="0" fontId="94" fillId="0" borderId="10" xfId="47" applyFont="1" applyBorder="1" applyAlignment="1">
      <alignment horizontal="left" vertical="center"/>
    </xf>
    <xf numFmtId="0" fontId="94" fillId="0" borderId="10" xfId="47" applyFont="1" applyBorder="1" applyAlignment="1" applyProtection="1">
      <alignment horizontal="left" vertical="center"/>
      <protection locked="0"/>
    </xf>
    <xf numFmtId="164" fontId="46" fillId="0" borderId="11" xfId="0" quotePrefix="1" applyNumberFormat="1" applyFont="1" applyBorder="1" applyAlignment="1">
      <alignment horizontal="center" vertical="center"/>
    </xf>
    <xf numFmtId="0" fontId="15" fillId="0" borderId="45" xfId="0" applyFont="1" applyBorder="1" applyAlignment="1" applyProtection="1">
      <alignment horizontal="center" vertical="center"/>
      <protection locked="0"/>
    </xf>
    <xf numFmtId="0" fontId="15" fillId="26" borderId="106" xfId="0" applyFont="1" applyFill="1" applyBorder="1" applyAlignment="1" applyProtection="1">
      <alignment horizontal="center" vertical="center"/>
      <protection locked="0"/>
    </xf>
    <xf numFmtId="9" fontId="46" fillId="0" borderId="12" xfId="0" applyNumberFormat="1" applyFont="1" applyBorder="1" applyAlignment="1" applyProtection="1">
      <alignment horizontal="center" vertical="center"/>
      <protection locked="0"/>
    </xf>
    <xf numFmtId="0" fontId="46" fillId="0" borderId="18" xfId="0" applyFont="1" applyBorder="1" applyAlignment="1">
      <alignment horizontal="center"/>
    </xf>
    <xf numFmtId="0" fontId="46" fillId="0" borderId="12" xfId="0" applyFont="1" applyBorder="1" applyAlignment="1">
      <alignment horizontal="center"/>
    </xf>
    <xf numFmtId="0" fontId="46" fillId="0" borderId="109" xfId="0" applyFont="1" applyBorder="1" applyAlignment="1">
      <alignment horizontal="center"/>
    </xf>
    <xf numFmtId="0" fontId="31" fillId="26" borderId="12" xfId="0" applyFont="1" applyFill="1" applyBorder="1" applyAlignment="1">
      <alignment horizontal="center" vertical="center"/>
    </xf>
    <xf numFmtId="0" fontId="31" fillId="26" borderId="44" xfId="0" applyFont="1" applyFill="1" applyBorder="1" applyAlignment="1">
      <alignment horizontal="center" vertical="center"/>
    </xf>
    <xf numFmtId="0" fontId="15" fillId="26" borderId="109" xfId="0" applyFont="1" applyFill="1" applyBorder="1" applyAlignment="1">
      <alignment horizontal="center"/>
    </xf>
    <xf numFmtId="0" fontId="83" fillId="26" borderId="110" xfId="0" applyFont="1" applyFill="1" applyBorder="1" applyAlignment="1">
      <alignment horizontal="center" vertical="center" wrapText="1"/>
    </xf>
    <xf numFmtId="0" fontId="15" fillId="26" borderId="105" xfId="0" applyFont="1" applyFill="1" applyBorder="1" applyAlignment="1">
      <alignment horizontal="center" vertical="center"/>
    </xf>
    <xf numFmtId="0" fontId="7" fillId="26" borderId="83" xfId="0" applyFont="1" applyFill="1" applyBorder="1" applyAlignment="1">
      <alignment horizontal="center" vertical="center" wrapText="1"/>
    </xf>
    <xf numFmtId="0" fontId="7" fillId="26" borderId="75" xfId="0" applyFont="1" applyFill="1" applyBorder="1" applyAlignment="1">
      <alignment horizontal="center" vertical="center"/>
    </xf>
    <xf numFmtId="0" fontId="7" fillId="26" borderId="15" xfId="0" applyFont="1" applyFill="1" applyBorder="1" applyAlignment="1">
      <alignment horizontal="center" vertical="center" wrapText="1"/>
    </xf>
    <xf numFmtId="3" fontId="42" fillId="26" borderId="12" xfId="0" applyNumberFormat="1" applyFont="1" applyFill="1" applyBorder="1" applyAlignment="1">
      <alignment horizontal="center" vertical="center"/>
    </xf>
    <xf numFmtId="0" fontId="29" fillId="26" borderId="31" xfId="49" applyFont="1" applyFill="1" applyBorder="1"/>
    <xf numFmtId="0" fontId="29" fillId="26" borderId="32" xfId="49" applyFont="1" applyFill="1" applyBorder="1"/>
    <xf numFmtId="0" fontId="29" fillId="26" borderId="0" xfId="49" applyFont="1" applyFill="1"/>
    <xf numFmtId="0" fontId="47" fillId="26" borderId="0" xfId="49" applyFont="1" applyFill="1" applyAlignment="1">
      <alignment horizontal="center"/>
    </xf>
    <xf numFmtId="0" fontId="29" fillId="26" borderId="23" xfId="49" applyFont="1" applyFill="1" applyBorder="1"/>
    <xf numFmtId="0" fontId="29" fillId="26" borderId="22" xfId="49" applyFont="1" applyFill="1" applyBorder="1"/>
    <xf numFmtId="0" fontId="29" fillId="26" borderId="24" xfId="49" applyFont="1" applyFill="1" applyBorder="1"/>
    <xf numFmtId="0" fontId="29" fillId="26" borderId="60" xfId="49" applyFont="1" applyFill="1" applyBorder="1" applyAlignment="1">
      <alignment horizontal="center" wrapText="1"/>
    </xf>
    <xf numFmtId="0" fontId="29" fillId="26" borderId="24" xfId="49" applyFont="1" applyFill="1" applyBorder="1" applyAlignment="1">
      <alignment horizontal="center"/>
    </xf>
    <xf numFmtId="0" fontId="46" fillId="0" borderId="12" xfId="0" applyFont="1" applyBorder="1" applyAlignment="1">
      <alignment horizontal="left" vertical="center" wrapText="1"/>
    </xf>
    <xf numFmtId="0" fontId="15" fillId="26" borderId="75" xfId="0" applyFont="1" applyFill="1" applyBorder="1" applyAlignment="1" applyProtection="1">
      <alignment horizontal="center" vertical="center" wrapText="1"/>
      <protection locked="0"/>
    </xf>
    <xf numFmtId="0" fontId="13" fillId="0" borderId="0" xfId="0" applyFont="1" applyProtection="1">
      <protection locked="0"/>
    </xf>
    <xf numFmtId="0" fontId="83" fillId="0" borderId="0" xfId="0" applyFont="1" applyProtection="1">
      <protection locked="0"/>
    </xf>
    <xf numFmtId="164" fontId="13" fillId="0" borderId="0" xfId="0" applyNumberFormat="1" applyFont="1" applyProtection="1">
      <protection locked="0"/>
    </xf>
    <xf numFmtId="0" fontId="95" fillId="0" borderId="0" xfId="0" applyFont="1" applyAlignment="1" applyProtection="1">
      <alignment wrapText="1"/>
      <protection locked="0"/>
    </xf>
    <xf numFmtId="164" fontId="46" fillId="0" borderId="11" xfId="0" quotePrefix="1" applyNumberFormat="1" applyFont="1" applyBorder="1" applyAlignment="1" applyProtection="1">
      <alignment horizontal="center" vertical="center"/>
      <protection locked="0"/>
    </xf>
    <xf numFmtId="164" fontId="46" fillId="0" borderId="11" xfId="0" applyNumberFormat="1" applyFont="1" applyBorder="1" applyAlignment="1" applyProtection="1">
      <alignment horizontal="center" vertical="center"/>
      <protection locked="0"/>
    </xf>
    <xf numFmtId="0" fontId="46" fillId="0" borderId="12" xfId="0" applyFont="1" applyBorder="1" applyAlignment="1" applyProtection="1">
      <alignment horizontal="center" vertical="center" wrapText="1"/>
      <protection locked="0"/>
    </xf>
    <xf numFmtId="2" fontId="46" fillId="0" borderId="11" xfId="0" quotePrefix="1" applyNumberFormat="1" applyFont="1" applyBorder="1" applyAlignment="1" applyProtection="1">
      <alignment horizontal="center" vertical="center"/>
      <protection locked="0"/>
    </xf>
    <xf numFmtId="0" fontId="46" fillId="0" borderId="17" xfId="0" applyFont="1" applyBorder="1" applyAlignment="1" applyProtection="1">
      <alignment horizontal="left" vertical="center" wrapText="1"/>
      <protection locked="0"/>
    </xf>
    <xf numFmtId="2" fontId="46" fillId="0" borderId="11" xfId="0" applyNumberFormat="1" applyFont="1" applyBorder="1" applyAlignment="1" applyProtection="1">
      <alignment horizontal="center" vertical="center"/>
      <protection locked="0"/>
    </xf>
    <xf numFmtId="1" fontId="46" fillId="0" borderId="12" xfId="0" applyNumberFormat="1" applyFont="1" applyBorder="1" applyAlignment="1" applyProtection="1">
      <alignment horizontal="center" vertical="center" wrapText="1"/>
      <protection locked="0"/>
    </xf>
    <xf numFmtId="9" fontId="46" fillId="0" borderId="12" xfId="0" applyNumberFormat="1" applyFont="1" applyBorder="1" applyAlignment="1" applyProtection="1">
      <alignment horizontal="center" vertical="center" wrapText="1"/>
      <protection locked="0"/>
    </xf>
    <xf numFmtId="0" fontId="15" fillId="26" borderId="118" xfId="0" applyFont="1" applyFill="1" applyBorder="1" applyAlignment="1" applyProtection="1">
      <alignment horizontal="center" vertical="center" wrapText="1"/>
      <protection locked="0"/>
    </xf>
    <xf numFmtId="0" fontId="15" fillId="26" borderId="106" xfId="0" applyFont="1" applyFill="1" applyBorder="1" applyAlignment="1" applyProtection="1">
      <alignment horizontal="center" vertical="center" wrapText="1"/>
      <protection locked="0"/>
    </xf>
    <xf numFmtId="0" fontId="46" fillId="0" borderId="18" xfId="0" applyFont="1" applyBorder="1" applyAlignment="1" applyProtection="1">
      <alignment horizontal="center"/>
      <protection locked="0"/>
    </xf>
    <xf numFmtId="0" fontId="46" fillId="0" borderId="68" xfId="0" applyFont="1" applyBorder="1" applyAlignment="1" applyProtection="1">
      <alignment horizontal="center"/>
      <protection locked="0"/>
    </xf>
    <xf numFmtId="0" fontId="46" fillId="0" borderId="12" xfId="0" applyFont="1" applyBorder="1" applyAlignment="1" applyProtection="1">
      <alignment horizontal="center"/>
      <protection locked="0"/>
    </xf>
    <xf numFmtId="0" fontId="46" fillId="0" borderId="19" xfId="0" applyFont="1" applyBorder="1" applyAlignment="1" applyProtection="1">
      <alignment horizontal="center"/>
      <protection locked="0"/>
    </xf>
    <xf numFmtId="0" fontId="15" fillId="26" borderId="109" xfId="0" applyFont="1" applyFill="1" applyBorder="1" applyAlignment="1" applyProtection="1">
      <alignment horizontal="center"/>
      <protection locked="0"/>
    </xf>
    <xf numFmtId="0" fontId="46" fillId="0" borderId="109" xfId="0" applyFont="1" applyBorder="1" applyAlignment="1" applyProtection="1">
      <alignment horizontal="center"/>
      <protection locked="0"/>
    </xf>
    <xf numFmtId="0" fontId="15" fillId="26" borderId="105" xfId="0" applyFont="1" applyFill="1" applyBorder="1" applyAlignment="1" applyProtection="1">
      <alignment horizontal="center" vertical="center"/>
      <protection locked="0"/>
    </xf>
    <xf numFmtId="0" fontId="83" fillId="0" borderId="0" xfId="0" applyFont="1" applyAlignment="1" applyProtection="1">
      <alignment vertical="center"/>
      <protection locked="0"/>
    </xf>
    <xf numFmtId="164" fontId="83" fillId="0" borderId="0" xfId="0" applyNumberFormat="1" applyFont="1" applyProtection="1">
      <protection locked="0"/>
    </xf>
    <xf numFmtId="0" fontId="83" fillId="0" borderId="0" xfId="0" applyFont="1" applyAlignment="1" applyProtection="1">
      <alignment horizontal="center"/>
      <protection locked="0"/>
    </xf>
    <xf numFmtId="0" fontId="13" fillId="0" borderId="0" xfId="0" applyFont="1" applyAlignment="1" applyProtection="1">
      <alignment horizontal="center" wrapText="1"/>
      <protection locked="0"/>
    </xf>
    <xf numFmtId="0" fontId="15" fillId="26" borderId="125" xfId="0" applyFont="1" applyFill="1" applyBorder="1" applyAlignment="1">
      <alignment horizontal="right"/>
    </xf>
    <xf numFmtId="0" fontId="46" fillId="0" borderId="64" xfId="0" quotePrefix="1" applyFont="1" applyBorder="1" applyAlignment="1">
      <alignment horizontal="center" vertical="center" wrapText="1"/>
    </xf>
    <xf numFmtId="0" fontId="46" fillId="0" borderId="110" xfId="0" quotePrefix="1" applyFont="1" applyBorder="1" applyAlignment="1">
      <alignment horizontal="center" vertical="center" wrapText="1"/>
    </xf>
    <xf numFmtId="0" fontId="15" fillId="26" borderId="126" xfId="0" applyFont="1" applyFill="1" applyBorder="1" applyAlignment="1">
      <alignment horizontal="right" vertical="center"/>
    </xf>
    <xf numFmtId="0" fontId="15" fillId="26" borderId="123" xfId="0" applyFont="1" applyFill="1" applyBorder="1" applyAlignment="1">
      <alignment horizontal="center" vertical="center" wrapText="1"/>
    </xf>
    <xf numFmtId="0" fontId="15" fillId="26" borderId="86" xfId="0" applyFont="1" applyFill="1" applyBorder="1" applyAlignment="1" applyProtection="1">
      <alignment horizontal="center" vertical="center" wrapText="1"/>
      <protection locked="0"/>
    </xf>
    <xf numFmtId="164" fontId="15" fillId="26" borderId="83" xfId="0" applyNumberFormat="1" applyFont="1" applyFill="1" applyBorder="1" applyAlignment="1" applyProtection="1">
      <alignment horizontal="centerContinuous" vertical="center" wrapText="1"/>
      <protection locked="0"/>
    </xf>
    <xf numFmtId="0" fontId="15" fillId="26" borderId="75" xfId="0" applyFont="1" applyFill="1" applyBorder="1" applyAlignment="1" applyProtection="1">
      <alignment horizontal="centerContinuous" vertical="center" wrapText="1"/>
      <protection locked="0"/>
    </xf>
    <xf numFmtId="0" fontId="15" fillId="26" borderId="75" xfId="0" applyFont="1" applyFill="1" applyBorder="1" applyAlignment="1" applyProtection="1">
      <alignment horizontal="center" vertical="center"/>
      <protection locked="0"/>
    </xf>
    <xf numFmtId="2" fontId="46" fillId="0" borderId="65" xfId="0" quotePrefix="1" applyNumberFormat="1" applyFont="1" applyBorder="1" applyAlignment="1" applyProtection="1">
      <alignment horizontal="center" vertical="center"/>
      <protection locked="0"/>
    </xf>
    <xf numFmtId="0" fontId="46" fillId="0" borderId="12" xfId="0" applyFont="1" applyBorder="1" applyAlignment="1" applyProtection="1">
      <alignment horizontal="left" vertical="center" wrapText="1"/>
      <protection locked="0"/>
    </xf>
    <xf numFmtId="0" fontId="95" fillId="0" borderId="0" xfId="0" applyFont="1" applyAlignment="1" applyProtection="1">
      <alignment vertical="center"/>
      <protection locked="0"/>
    </xf>
    <xf numFmtId="164" fontId="95" fillId="0" borderId="0" xfId="0" applyNumberFormat="1" applyFont="1" applyProtection="1">
      <protection locked="0"/>
    </xf>
    <xf numFmtId="0" fontId="46" fillId="0" borderId="0" xfId="0" applyFont="1" applyAlignment="1" applyProtection="1">
      <alignment wrapText="1"/>
      <protection locked="0"/>
    </xf>
    <xf numFmtId="0" fontId="46" fillId="0" borderId="0" xfId="0" applyFont="1" applyProtection="1">
      <protection locked="0"/>
    </xf>
    <xf numFmtId="0" fontId="46" fillId="0" borderId="0" xfId="0" applyFont="1" applyAlignment="1" applyProtection="1">
      <alignment horizontal="right"/>
      <protection locked="0"/>
    </xf>
    <xf numFmtId="0" fontId="98" fillId="0" borderId="0" xfId="0" applyFont="1" applyAlignment="1" applyProtection="1">
      <alignment horizontal="left"/>
      <protection locked="0"/>
    </xf>
    <xf numFmtId="0" fontId="45" fillId="0" borderId="0" xfId="0" applyFont="1" applyAlignment="1" applyProtection="1">
      <alignment horizontal="left"/>
      <protection locked="0"/>
    </xf>
    <xf numFmtId="164" fontId="13" fillId="0" borderId="0" xfId="0" applyNumberFormat="1" applyFont="1"/>
    <xf numFmtId="164" fontId="46" fillId="0" borderId="88" xfId="0" applyNumberFormat="1" applyFont="1" applyBorder="1" applyProtection="1">
      <protection locked="0"/>
    </xf>
    <xf numFmtId="0" fontId="95" fillId="0" borderId="88" xfId="0" applyFont="1" applyBorder="1" applyAlignment="1" applyProtection="1">
      <alignment wrapText="1"/>
      <protection locked="0"/>
    </xf>
    <xf numFmtId="0" fontId="95" fillId="0" borderId="88" xfId="0" applyFont="1" applyBorder="1" applyProtection="1">
      <protection locked="0"/>
    </xf>
    <xf numFmtId="0" fontId="97" fillId="26" borderId="44" xfId="0" applyFont="1" applyFill="1" applyBorder="1" applyAlignment="1">
      <alignment horizontal="center" vertical="center"/>
    </xf>
    <xf numFmtId="0" fontId="46" fillId="0" borderId="12" xfId="0" applyFont="1" applyBorder="1" applyAlignment="1">
      <alignment horizontal="center" vertical="center" wrapText="1"/>
    </xf>
    <xf numFmtId="0" fontId="46" fillId="0" borderId="12" xfId="0" applyFont="1" applyBorder="1" applyAlignment="1">
      <alignment vertical="center"/>
    </xf>
    <xf numFmtId="9" fontId="46" fillId="0" borderId="12" xfId="0" applyNumberFormat="1" applyFont="1" applyBorder="1" applyAlignment="1">
      <alignment horizontal="center" vertical="center" wrapText="1"/>
    </xf>
    <xf numFmtId="0" fontId="15" fillId="26" borderId="83" xfId="0" applyFont="1" applyFill="1" applyBorder="1" applyAlignment="1" applyProtection="1">
      <alignment horizontal="centerContinuous" vertical="center" wrapText="1"/>
      <protection locked="0"/>
    </xf>
    <xf numFmtId="0" fontId="15" fillId="26" borderId="76" xfId="0" applyFont="1" applyFill="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15" fillId="26" borderId="12" xfId="0" applyFont="1" applyFill="1" applyBorder="1" applyAlignment="1" applyProtection="1">
      <alignment horizontal="center" vertical="center" wrapText="1"/>
      <protection locked="0"/>
    </xf>
    <xf numFmtId="0" fontId="15" fillId="26" borderId="12" xfId="0" applyFont="1" applyFill="1" applyBorder="1" applyAlignment="1">
      <alignment horizontal="center" vertical="center" wrapText="1"/>
    </xf>
    <xf numFmtId="0" fontId="15" fillId="26" borderId="76" xfId="0" applyFont="1" applyFill="1" applyBorder="1" applyAlignment="1" applyProtection="1">
      <alignment horizontal="center" vertical="center" wrapText="1"/>
      <protection locked="0"/>
    </xf>
    <xf numFmtId="0" fontId="46" fillId="0" borderId="18" xfId="0" applyFont="1" applyBorder="1" applyAlignment="1">
      <alignment horizontal="center" vertical="center"/>
    </xf>
    <xf numFmtId="0" fontId="15" fillId="26" borderId="43" xfId="0" applyFont="1" applyFill="1" applyBorder="1" applyAlignment="1">
      <alignment horizontal="center"/>
    </xf>
    <xf numFmtId="0" fontId="15" fillId="26" borderId="43" xfId="0" applyFont="1" applyFill="1" applyBorder="1" applyAlignment="1">
      <alignment horizontal="right" vertical="center"/>
    </xf>
    <xf numFmtId="0" fontId="45" fillId="26" borderId="109" xfId="0" applyFont="1" applyFill="1" applyBorder="1" applyAlignment="1">
      <alignment horizontal="center" vertical="center"/>
    </xf>
    <xf numFmtId="0" fontId="46" fillId="0" borderId="109" xfId="0" applyFont="1" applyBorder="1" applyAlignment="1">
      <alignment horizontal="center" vertical="center"/>
    </xf>
    <xf numFmtId="9" fontId="46" fillId="0" borderId="12" xfId="0" applyNumberFormat="1" applyFont="1" applyBorder="1" applyAlignment="1">
      <alignment horizontal="center" vertical="center"/>
    </xf>
    <xf numFmtId="9" fontId="96" fillId="0" borderId="12" xfId="0" applyNumberFormat="1" applyFont="1" applyBorder="1" applyAlignment="1">
      <alignment horizontal="center" vertical="center"/>
    </xf>
    <xf numFmtId="0" fontId="46" fillId="26" borderId="110" xfId="0" applyFont="1" applyFill="1" applyBorder="1" applyAlignment="1">
      <alignment horizontal="center" vertical="center"/>
    </xf>
    <xf numFmtId="0" fontId="15" fillId="26" borderId="121" xfId="0" applyFont="1" applyFill="1" applyBorder="1" applyAlignment="1">
      <alignment horizontal="center" vertical="center" wrapText="1"/>
    </xf>
    <xf numFmtId="0" fontId="13" fillId="0" borderId="0" xfId="0" applyFont="1" applyAlignment="1" applyProtection="1">
      <alignment horizontal="left"/>
      <protection locked="0"/>
    </xf>
    <xf numFmtId="0" fontId="5" fillId="18" borderId="0" xfId="0" applyFont="1" applyFill="1" applyProtection="1">
      <protection locked="0"/>
    </xf>
    <xf numFmtId="0" fontId="15" fillId="26" borderId="75" xfId="0" applyFont="1" applyFill="1" applyBorder="1" applyAlignment="1" applyProtection="1">
      <alignment horizontal="centerContinuous" vertical="center"/>
      <protection locked="0"/>
    </xf>
    <xf numFmtId="0" fontId="46" fillId="0" borderId="12" xfId="0" applyFont="1" applyBorder="1" applyAlignment="1" applyProtection="1">
      <alignment vertical="center"/>
      <protection locked="0"/>
    </xf>
    <xf numFmtId="0" fontId="7" fillId="0" borderId="0" xfId="0" applyFont="1" applyAlignment="1" applyProtection="1">
      <alignment horizontal="right" vertical="center" wrapText="1"/>
      <protection locked="0"/>
    </xf>
    <xf numFmtId="0" fontId="42" fillId="0" borderId="0" xfId="0" applyFont="1" applyAlignment="1" applyProtection="1">
      <alignment horizontal="center" vertical="center"/>
      <protection locked="0"/>
    </xf>
    <xf numFmtId="164" fontId="5" fillId="0" borderId="0" xfId="0" applyNumberFormat="1" applyFont="1" applyProtection="1">
      <protection locked="0"/>
    </xf>
    <xf numFmtId="0" fontId="46" fillId="0" borderId="18" xfId="0" applyFont="1" applyBorder="1" applyAlignment="1" applyProtection="1">
      <alignment horizontal="center" vertical="center"/>
      <protection locked="0"/>
    </xf>
    <xf numFmtId="0" fontId="0" fillId="0" borderId="0" xfId="0" applyAlignment="1" applyProtection="1">
      <alignment horizontal="center"/>
      <protection locked="0"/>
    </xf>
    <xf numFmtId="0" fontId="45" fillId="26" borderId="109" xfId="0" applyFont="1" applyFill="1" applyBorder="1" applyAlignment="1" applyProtection="1">
      <alignment horizontal="center" vertical="center"/>
      <protection locked="0"/>
    </xf>
    <xf numFmtId="0" fontId="46" fillId="0" borderId="109" xfId="0" applyFont="1" applyBorder="1" applyAlignment="1" applyProtection="1">
      <alignment horizontal="center" vertical="center"/>
      <protection locked="0"/>
    </xf>
    <xf numFmtId="0" fontId="15" fillId="26" borderId="43" xfId="0" applyFont="1" applyFill="1" applyBorder="1" applyAlignment="1" applyProtection="1">
      <alignment horizontal="center"/>
      <protection locked="0"/>
    </xf>
    <xf numFmtId="0" fontId="7" fillId="0" borderId="0" xfId="0" applyFont="1" applyAlignment="1" applyProtection="1">
      <alignment horizontal="center"/>
      <protection locked="0"/>
    </xf>
    <xf numFmtId="0" fontId="60" fillId="0" borderId="0" xfId="0" applyFont="1" applyProtection="1">
      <protection locked="0"/>
    </xf>
    <xf numFmtId="0" fontId="46" fillId="0" borderId="11" xfId="0" applyFont="1" applyBorder="1" applyAlignment="1" applyProtection="1">
      <alignment horizontal="center" vertical="center"/>
      <protection locked="0"/>
    </xf>
    <xf numFmtId="0" fontId="5" fillId="0" borderId="0" xfId="42" applyFont="1" applyProtection="1">
      <protection locked="0"/>
    </xf>
    <xf numFmtId="0" fontId="15" fillId="26" borderId="12" xfId="0" applyFont="1" applyFill="1" applyBorder="1" applyAlignment="1" applyProtection="1">
      <alignment horizontal="center" vertical="center"/>
      <protection locked="0"/>
    </xf>
    <xf numFmtId="0" fontId="15" fillId="26" borderId="100" xfId="0" applyFont="1" applyFill="1" applyBorder="1" applyAlignment="1">
      <alignment horizontal="center" vertical="center" wrapText="1"/>
    </xf>
    <xf numFmtId="0" fontId="46" fillId="0" borderId="12" xfId="42" applyFont="1" applyBorder="1" applyAlignment="1">
      <alignment horizontal="left" vertical="center" wrapText="1"/>
    </xf>
    <xf numFmtId="0" fontId="20" fillId="0" borderId="0" xfId="0" applyFont="1" applyAlignment="1" applyProtection="1">
      <alignment horizontal="center" vertical="center" wrapText="1"/>
      <protection locked="0"/>
    </xf>
    <xf numFmtId="0" fontId="20" fillId="0" borderId="0" xfId="0" applyFont="1" applyProtection="1">
      <protection locked="0"/>
    </xf>
    <xf numFmtId="0" fontId="20" fillId="0" borderId="0" xfId="0" applyFont="1" applyAlignment="1" applyProtection="1">
      <alignment horizontal="center" vertical="center"/>
      <protection locked="0"/>
    </xf>
    <xf numFmtId="0" fontId="20" fillId="0" borderId="0" xfId="0" applyFont="1" applyAlignment="1" applyProtection="1">
      <alignment wrapText="1"/>
      <protection locked="0"/>
    </xf>
    <xf numFmtId="0" fontId="5" fillId="0" borderId="0" xfId="0" applyFont="1" applyAlignment="1" applyProtection="1">
      <alignment horizontal="center"/>
      <protection locked="0"/>
    </xf>
    <xf numFmtId="1" fontId="20" fillId="0" borderId="14" xfId="0" applyNumberFormat="1" applyFont="1" applyBorder="1" applyAlignment="1" applyProtection="1">
      <alignment horizontal="center"/>
      <protection locked="0"/>
    </xf>
    <xf numFmtId="0" fontId="20" fillId="0" borderId="12" xfId="0" applyFont="1" applyBorder="1" applyAlignment="1" applyProtection="1">
      <alignment horizontal="center" vertical="center" wrapText="1"/>
      <protection locked="0"/>
    </xf>
    <xf numFmtId="1" fontId="15" fillId="26" borderId="83" xfId="0" applyNumberFormat="1" applyFont="1" applyFill="1" applyBorder="1" applyAlignment="1" applyProtection="1">
      <alignment horizontal="center" vertical="center" wrapText="1"/>
      <protection locked="0"/>
    </xf>
    <xf numFmtId="0" fontId="46" fillId="0" borderId="15" xfId="0" applyFont="1" applyBorder="1" applyAlignment="1" applyProtection="1">
      <alignment horizontal="center" vertical="center" wrapText="1"/>
      <protection locked="0"/>
    </xf>
    <xf numFmtId="2" fontId="46" fillId="0" borderId="12" xfId="0" applyNumberFormat="1" applyFont="1" applyBorder="1" applyAlignment="1" applyProtection="1">
      <alignment horizontal="center" vertical="center"/>
      <protection locked="0"/>
    </xf>
    <xf numFmtId="0" fontId="13" fillId="0" borderId="0" xfId="0" applyFont="1" applyAlignment="1" applyProtection="1">
      <alignment horizontal="left" vertical="center"/>
      <protection locked="0"/>
    </xf>
    <xf numFmtId="49" fontId="46" fillId="0" borderId="12" xfId="0" applyNumberFormat="1" applyFont="1" applyBorder="1" applyAlignment="1">
      <alignment horizontal="center" vertical="center"/>
    </xf>
    <xf numFmtId="1" fontId="46" fillId="0" borderId="12" xfId="0" applyNumberFormat="1" applyFont="1" applyBorder="1" applyAlignment="1">
      <alignment horizontal="center" vertical="center"/>
    </xf>
    <xf numFmtId="164" fontId="46" fillId="0" borderId="11" xfId="0" applyNumberFormat="1" applyFont="1" applyBorder="1" applyAlignment="1">
      <alignment horizontal="center" vertical="center"/>
    </xf>
    <xf numFmtId="2" fontId="46" fillId="0" borderId="11" xfId="0" applyNumberFormat="1" applyFont="1" applyBorder="1" applyAlignment="1">
      <alignment horizontal="center" vertical="center" wrapText="1"/>
    </xf>
    <xf numFmtId="2" fontId="46" fillId="0" borderId="11" xfId="0" quotePrefix="1" applyNumberFormat="1" applyFont="1" applyBorder="1" applyAlignment="1">
      <alignment horizontal="center" vertical="center"/>
    </xf>
    <xf numFmtId="2" fontId="46" fillId="0" borderId="11" xfId="0" applyNumberFormat="1" applyFont="1" applyBorder="1" applyAlignment="1">
      <alignment horizontal="center" vertical="center"/>
    </xf>
    <xf numFmtId="1" fontId="96" fillId="0" borderId="12" xfId="0" applyNumberFormat="1" applyFont="1" applyBorder="1" applyAlignment="1">
      <alignment horizontal="center" vertical="center"/>
    </xf>
    <xf numFmtId="0" fontId="46" fillId="0" borderId="11" xfId="0" applyFont="1" applyBorder="1" applyAlignment="1">
      <alignment horizontal="center" vertical="center"/>
    </xf>
    <xf numFmtId="0" fontId="96" fillId="0" borderId="12" xfId="0" applyFont="1" applyBorder="1" applyAlignment="1">
      <alignment horizontal="center" vertical="center" wrapText="1"/>
    </xf>
    <xf numFmtId="0" fontId="46" fillId="0" borderId="12" xfId="0" applyFont="1" applyBorder="1" applyAlignment="1">
      <alignment horizontal="left" vertical="center"/>
    </xf>
    <xf numFmtId="0" fontId="46" fillId="0" borderId="16" xfId="0" applyFont="1" applyBorder="1" applyAlignment="1">
      <alignment horizontal="left" vertical="center" wrapText="1"/>
    </xf>
    <xf numFmtId="0" fontId="46" fillId="0" borderId="16" xfId="0" applyFont="1" applyBorder="1" applyAlignment="1">
      <alignment horizontal="center" vertical="center" wrapText="1"/>
    </xf>
    <xf numFmtId="0" fontId="96" fillId="0" borderId="16" xfId="0" applyFont="1" applyBorder="1" applyAlignment="1">
      <alignment horizontal="center" vertical="center" wrapText="1"/>
    </xf>
    <xf numFmtId="0" fontId="46" fillId="0" borderId="18" xfId="0" applyFont="1" applyBorder="1" applyAlignment="1">
      <alignment horizontal="center" vertical="center" wrapText="1"/>
    </xf>
    <xf numFmtId="0" fontId="15" fillId="26" borderId="83" xfId="0" applyFont="1" applyFill="1" applyBorder="1" applyAlignment="1">
      <alignment horizontal="center" vertical="center" wrapText="1"/>
    </xf>
    <xf numFmtId="0" fontId="15" fillId="26" borderId="75" xfId="0" applyFont="1" applyFill="1" applyBorder="1" applyAlignment="1">
      <alignment horizontal="center" vertical="center" wrapText="1"/>
    </xf>
    <xf numFmtId="0" fontId="15" fillId="26" borderId="75" xfId="0" applyFont="1" applyFill="1" applyBorder="1" applyAlignment="1">
      <alignment horizontal="center" vertical="center"/>
    </xf>
    <xf numFmtId="0" fontId="15" fillId="26" borderId="76" xfId="0" applyFont="1" applyFill="1" applyBorder="1" applyAlignment="1">
      <alignment horizontal="center" vertical="center"/>
    </xf>
    <xf numFmtId="0" fontId="15" fillId="26" borderId="11" xfId="0" applyFont="1" applyFill="1" applyBorder="1" applyAlignment="1">
      <alignment horizontal="center" vertical="center" wrapText="1"/>
    </xf>
    <xf numFmtId="0" fontId="15" fillId="26" borderId="12" xfId="0" applyFont="1" applyFill="1" applyBorder="1" applyAlignment="1">
      <alignment horizontal="left" vertical="center"/>
    </xf>
    <xf numFmtId="0" fontId="45" fillId="26" borderId="11" xfId="0" applyFont="1" applyFill="1" applyBorder="1" applyAlignment="1">
      <alignment horizontal="center" vertical="center" wrapText="1"/>
    </xf>
    <xf numFmtId="0" fontId="45" fillId="26" borderId="12" xfId="0" applyFont="1" applyFill="1" applyBorder="1" applyAlignment="1">
      <alignment horizontal="left" vertical="center"/>
    </xf>
    <xf numFmtId="0" fontId="45" fillId="26" borderId="12" xfId="0" applyFont="1" applyFill="1" applyBorder="1" applyAlignment="1">
      <alignment horizontal="center" vertical="center"/>
    </xf>
    <xf numFmtId="0" fontId="45" fillId="26" borderId="12" xfId="0" applyFont="1" applyFill="1" applyBorder="1" applyAlignment="1">
      <alignment horizontal="center" vertical="center" wrapText="1"/>
    </xf>
    <xf numFmtId="0" fontId="13" fillId="26" borderId="45" xfId="0" applyFont="1" applyFill="1" applyBorder="1" applyAlignment="1">
      <alignment horizontal="center" vertical="center"/>
    </xf>
    <xf numFmtId="0" fontId="13" fillId="0" borderId="0" xfId="0" applyFont="1" applyAlignment="1" applyProtection="1">
      <alignment horizontal="center"/>
      <protection locked="0"/>
    </xf>
    <xf numFmtId="0" fontId="51" fillId="0" borderId="0" xfId="0" applyFont="1" applyProtection="1">
      <protection locked="0"/>
    </xf>
    <xf numFmtId="0" fontId="4" fillId="0" borderId="0" xfId="0" applyFont="1" applyProtection="1">
      <protection locked="0"/>
    </xf>
    <xf numFmtId="0" fontId="7" fillId="0" borderId="0" xfId="0" applyFont="1" applyAlignment="1" applyProtection="1">
      <alignment horizontal="right" wrapText="1"/>
      <protection locked="0"/>
    </xf>
    <xf numFmtId="0" fontId="4" fillId="0" borderId="0" xfId="0" applyFont="1" applyAlignment="1" applyProtection="1">
      <alignment horizontal="center"/>
      <protection locked="0"/>
    </xf>
    <xf numFmtId="0" fontId="0" fillId="0" borderId="0" xfId="0" applyAlignment="1" applyProtection="1">
      <alignment horizontal="center" wrapText="1"/>
      <protection locked="0"/>
    </xf>
    <xf numFmtId="0" fontId="63" fillId="0" borderId="0" xfId="0" applyFont="1" applyProtection="1">
      <protection locked="0"/>
    </xf>
    <xf numFmtId="164" fontId="46" fillId="0" borderId="0" xfId="0" applyNumberFormat="1" applyFont="1" applyProtection="1">
      <protection locked="0"/>
    </xf>
    <xf numFmtId="0" fontId="46" fillId="26" borderId="12" xfId="0" applyFont="1" applyFill="1" applyBorder="1" applyAlignment="1" applyProtection="1">
      <alignment horizontal="center" vertical="center" wrapText="1"/>
      <protection locked="0"/>
    </xf>
    <xf numFmtId="0" fontId="46" fillId="26" borderId="12" xfId="0" applyFont="1" applyFill="1" applyBorder="1" applyAlignment="1" applyProtection="1">
      <alignment horizontal="center" vertical="center"/>
      <protection locked="0"/>
    </xf>
    <xf numFmtId="0" fontId="46" fillId="0" borderId="11" xfId="0" applyFont="1" applyBorder="1" applyAlignment="1" applyProtection="1">
      <alignment horizontal="center" vertical="center" wrapText="1"/>
      <protection locked="0"/>
    </xf>
    <xf numFmtId="16" fontId="46" fillId="0" borderId="11" xfId="0" quotePrefix="1" applyNumberFormat="1" applyFont="1" applyBorder="1" applyAlignment="1" applyProtection="1">
      <alignment horizontal="center" vertical="center" wrapText="1"/>
      <protection locked="0"/>
    </xf>
    <xf numFmtId="0" fontId="46" fillId="26" borderId="15" xfId="0" applyFont="1" applyFill="1" applyBorder="1" applyAlignment="1" applyProtection="1">
      <alignment horizontal="center" vertical="center" wrapText="1"/>
      <protection locked="0"/>
    </xf>
    <xf numFmtId="0" fontId="46" fillId="0" borderId="11" xfId="0" quotePrefix="1" applyFont="1" applyBorder="1" applyAlignment="1" applyProtection="1">
      <alignment horizontal="center" vertical="center"/>
      <protection locked="0"/>
    </xf>
    <xf numFmtId="1" fontId="57" fillId="0" borderId="12" xfId="0" applyNumberFormat="1" applyFont="1" applyBorder="1" applyAlignment="1" applyProtection="1">
      <alignment horizontal="center" vertical="center"/>
      <protection locked="0"/>
    </xf>
    <xf numFmtId="0" fontId="13" fillId="26" borderId="11" xfId="0" applyFont="1" applyFill="1" applyBorder="1" applyAlignment="1" applyProtection="1">
      <alignment horizontal="center" vertical="center"/>
      <protection locked="0"/>
    </xf>
    <xf numFmtId="0" fontId="15" fillId="26" borderId="12" xfId="0" applyFont="1" applyFill="1" applyBorder="1" applyAlignment="1" applyProtection="1">
      <alignment horizontal="left" vertical="center"/>
      <protection locked="0"/>
    </xf>
    <xf numFmtId="0" fontId="13" fillId="26" borderId="12" xfId="0" applyFont="1" applyFill="1" applyBorder="1" applyAlignment="1" applyProtection="1">
      <alignment horizontal="center" vertical="center" wrapText="1"/>
      <protection locked="0"/>
    </xf>
    <xf numFmtId="0" fontId="13" fillId="26" borderId="12" xfId="0" applyFont="1" applyFill="1" applyBorder="1" applyAlignment="1" applyProtection="1">
      <alignment horizontal="center" vertical="center"/>
      <protection locked="0"/>
    </xf>
    <xf numFmtId="0" fontId="15" fillId="26" borderId="11" xfId="0" applyFont="1" applyFill="1" applyBorder="1" applyAlignment="1" applyProtection="1">
      <alignment horizontal="center" vertical="center" wrapText="1"/>
      <protection locked="0"/>
    </xf>
    <xf numFmtId="0" fontId="15" fillId="26" borderId="15" xfId="0" applyFont="1" applyFill="1" applyBorder="1" applyAlignment="1" applyProtection="1">
      <alignment horizontal="center" vertical="center" wrapText="1"/>
      <protection locked="0"/>
    </xf>
    <xf numFmtId="0" fontId="13" fillId="26" borderId="15" xfId="0" applyFont="1" applyFill="1" applyBorder="1" applyAlignment="1" applyProtection="1">
      <alignment horizontal="center" vertical="center"/>
      <protection locked="0"/>
    </xf>
    <xf numFmtId="0" fontId="46" fillId="0" borderId="15" xfId="0" applyFont="1" applyBorder="1" applyAlignment="1" applyProtection="1">
      <alignment horizontal="left" vertical="center"/>
      <protection locked="0"/>
    </xf>
    <xf numFmtId="0" fontId="46" fillId="0" borderId="63" xfId="0" applyFont="1" applyBorder="1" applyAlignment="1" applyProtection="1">
      <alignment horizontal="left" vertical="center"/>
      <protection locked="0"/>
    </xf>
    <xf numFmtId="0" fontId="13" fillId="26" borderId="105" xfId="0" applyFont="1" applyFill="1" applyBorder="1" applyAlignment="1" applyProtection="1">
      <alignment horizontal="center" vertical="center"/>
      <protection locked="0"/>
    </xf>
    <xf numFmtId="0" fontId="13" fillId="26" borderId="105" xfId="0" applyFont="1" applyFill="1" applyBorder="1" applyAlignment="1">
      <alignment horizontal="center" vertical="center"/>
    </xf>
    <xf numFmtId="0" fontId="13" fillId="26" borderId="123" xfId="0" applyFont="1" applyFill="1" applyBorder="1" applyAlignment="1" applyProtection="1">
      <alignment horizontal="left" vertical="center" wrapText="1"/>
      <protection locked="0"/>
    </xf>
    <xf numFmtId="0" fontId="46" fillId="0" borderId="64" xfId="0" applyFont="1" applyBorder="1" applyAlignment="1" applyProtection="1">
      <alignment horizontal="left" vertical="center"/>
      <protection locked="0"/>
    </xf>
    <xf numFmtId="0" fontId="45" fillId="26" borderId="118" xfId="0" applyFont="1" applyFill="1" applyBorder="1" applyAlignment="1" applyProtection="1">
      <alignment horizontal="center" vertical="center" wrapText="1"/>
      <protection locked="0"/>
    </xf>
    <xf numFmtId="0" fontId="45" fillId="26" borderId="106" xfId="0" applyFont="1" applyFill="1" applyBorder="1" applyAlignment="1" applyProtection="1">
      <alignment horizontal="center" vertical="center"/>
      <protection locked="0"/>
    </xf>
    <xf numFmtId="0" fontId="58" fillId="26" borderId="12" xfId="0" applyFont="1" applyFill="1" applyBorder="1" applyAlignment="1" applyProtection="1">
      <alignment horizontal="center" vertical="center"/>
      <protection locked="0"/>
    </xf>
    <xf numFmtId="0" fontId="13" fillId="26" borderId="44" xfId="0" applyFont="1" applyFill="1" applyBorder="1" applyAlignment="1" applyProtection="1">
      <alignment horizontal="center" vertical="center"/>
      <protection locked="0"/>
    </xf>
    <xf numFmtId="0" fontId="0" fillId="0" borderId="0" xfId="0" applyAlignment="1" applyProtection="1">
      <alignment vertical="center"/>
      <protection locked="0"/>
    </xf>
    <xf numFmtId="0" fontId="13" fillId="26" borderId="12" xfId="0" applyFont="1" applyFill="1" applyBorder="1" applyAlignment="1">
      <alignment horizontal="center" vertical="center"/>
    </xf>
    <xf numFmtId="0" fontId="13" fillId="0" borderId="0" xfId="0" applyFont="1" applyAlignment="1" applyProtection="1">
      <alignment vertical="center"/>
      <protection locked="0"/>
    </xf>
    <xf numFmtId="164" fontId="13" fillId="0" borderId="0" xfId="0" applyNumberFormat="1" applyFont="1" applyAlignment="1" applyProtection="1">
      <alignment vertical="center"/>
      <protection locked="0"/>
    </xf>
    <xf numFmtId="0" fontId="46" fillId="0" borderId="11" xfId="0" applyFont="1" applyBorder="1" applyAlignment="1">
      <alignment horizontal="center" vertical="center" wrapText="1"/>
    </xf>
    <xf numFmtId="9" fontId="96" fillId="0" borderId="12" xfId="0" quotePrefix="1" applyNumberFormat="1" applyFont="1" applyBorder="1" applyAlignment="1">
      <alignment horizontal="center" vertical="center"/>
    </xf>
    <xf numFmtId="1" fontId="46" fillId="0" borderId="12" xfId="0" quotePrefix="1" applyNumberFormat="1" applyFont="1" applyBorder="1" applyAlignment="1">
      <alignment horizontal="center" vertical="center"/>
    </xf>
    <xf numFmtId="0" fontId="13" fillId="26" borderId="44" xfId="0" applyFont="1" applyFill="1" applyBorder="1" applyAlignment="1">
      <alignment horizontal="center" vertical="center"/>
    </xf>
    <xf numFmtId="1" fontId="96" fillId="0" borderId="12" xfId="0" quotePrefix="1" applyNumberFormat="1" applyFont="1" applyBorder="1" applyAlignment="1">
      <alignment horizontal="center" vertical="center"/>
    </xf>
    <xf numFmtId="0" fontId="0" fillId="0" borderId="0" xfId="0"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7" fillId="26" borderId="87" xfId="0" applyFont="1" applyFill="1" applyBorder="1" applyAlignment="1" applyProtection="1">
      <alignment horizontal="center" vertical="center"/>
      <protection locked="0"/>
    </xf>
    <xf numFmtId="0" fontId="11" fillId="26" borderId="45" xfId="0" applyFont="1" applyFill="1" applyBorder="1" applyAlignment="1" applyProtection="1">
      <alignment horizontal="left" vertical="center"/>
      <protection locked="0"/>
    </xf>
    <xf numFmtId="0" fontId="7" fillId="26" borderId="69" xfId="0" applyFont="1" applyFill="1" applyBorder="1" applyAlignment="1" applyProtection="1">
      <alignment horizontal="left" vertical="center"/>
      <protection locked="0"/>
    </xf>
    <xf numFmtId="0" fontId="15" fillId="26" borderId="83" xfId="0" applyFont="1" applyFill="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46" fillId="0" borderId="71" xfId="0" applyFont="1" applyBorder="1" applyAlignment="1" applyProtection="1">
      <alignment horizontal="center" vertical="center"/>
      <protection locked="0"/>
    </xf>
    <xf numFmtId="0" fontId="46" fillId="26" borderId="13" xfId="0" applyFont="1" applyFill="1" applyBorder="1" applyAlignment="1" applyProtection="1">
      <alignment vertical="center"/>
      <protection locked="0"/>
    </xf>
    <xf numFmtId="0" fontId="45" fillId="26" borderId="66" xfId="0" applyFont="1" applyFill="1" applyBorder="1" applyAlignment="1" applyProtection="1">
      <alignment horizontal="center" vertical="center"/>
      <protection locked="0"/>
    </xf>
    <xf numFmtId="0" fontId="45" fillId="26" borderId="80" xfId="0" applyFont="1" applyFill="1" applyBorder="1" applyAlignment="1" applyProtection="1">
      <alignment horizontal="center" vertical="center"/>
      <protection locked="0"/>
    </xf>
    <xf numFmtId="0" fontId="45" fillId="26" borderId="71" xfId="0" applyFont="1" applyFill="1" applyBorder="1" applyAlignment="1" applyProtection="1">
      <alignment horizontal="center" vertical="center"/>
      <protection locked="0"/>
    </xf>
    <xf numFmtId="2" fontId="46" fillId="0" borderId="71" xfId="0" applyNumberFormat="1" applyFont="1" applyBorder="1" applyAlignment="1" applyProtection="1">
      <alignment horizontal="center" vertical="center"/>
      <protection locked="0"/>
    </xf>
    <xf numFmtId="2" fontId="45" fillId="26" borderId="71" xfId="0" applyNumberFormat="1" applyFont="1" applyFill="1" applyBorder="1" applyAlignment="1" applyProtection="1">
      <alignment horizontal="center" vertical="center"/>
      <protection locked="0"/>
    </xf>
    <xf numFmtId="2" fontId="45" fillId="26" borderId="66" xfId="0" applyNumberFormat="1" applyFont="1" applyFill="1" applyBorder="1" applyAlignment="1" applyProtection="1">
      <alignment horizontal="center" vertical="center"/>
      <protection locked="0"/>
    </xf>
    <xf numFmtId="2" fontId="45" fillId="26" borderId="80" xfId="0" applyNumberFormat="1" applyFont="1" applyFill="1" applyBorder="1" applyAlignment="1" applyProtection="1">
      <alignment horizontal="center" vertical="center"/>
      <protection locked="0"/>
    </xf>
    <xf numFmtId="2" fontId="46" fillId="0" borderId="12" xfId="0" applyNumberFormat="1" applyFont="1" applyBorder="1" applyAlignment="1" applyProtection="1">
      <alignment horizontal="left" vertical="center"/>
      <protection locked="0"/>
    </xf>
    <xf numFmtId="2" fontId="104" fillId="0" borderId="12" xfId="0" applyNumberFormat="1" applyFont="1" applyBorder="1" applyAlignment="1" applyProtection="1">
      <alignment horizontal="center" vertical="center"/>
      <protection locked="0"/>
    </xf>
    <xf numFmtId="2" fontId="46" fillId="0" borderId="15" xfId="0" applyNumberFormat="1" applyFont="1" applyBorder="1" applyAlignment="1" applyProtection="1">
      <alignment horizontal="left" vertical="center"/>
      <protection locked="0"/>
    </xf>
    <xf numFmtId="0" fontId="96" fillId="0" borderId="12" xfId="0" applyFont="1" applyBorder="1" applyAlignment="1" applyProtection="1">
      <alignment horizontal="center" vertical="center" wrapText="1"/>
      <protection locked="0"/>
    </xf>
    <xf numFmtId="0" fontId="15" fillId="26" borderId="71" xfId="0" applyFont="1" applyFill="1" applyBorder="1" applyAlignment="1" applyProtection="1">
      <alignment horizontal="left" vertical="center" wrapText="1"/>
      <protection locked="0"/>
    </xf>
    <xf numFmtId="0" fontId="15" fillId="26" borderId="19" xfId="0" applyFont="1" applyFill="1" applyBorder="1" applyAlignment="1" applyProtection="1">
      <alignment horizontal="left" vertical="center" wrapText="1"/>
      <protection locked="0"/>
    </xf>
    <xf numFmtId="0" fontId="15" fillId="26" borderId="66" xfId="0" applyFont="1" applyFill="1" applyBorder="1" applyAlignment="1" applyProtection="1">
      <alignment horizontal="left" vertical="center" wrapText="1"/>
      <protection locked="0"/>
    </xf>
    <xf numFmtId="0" fontId="15" fillId="26" borderId="80" xfId="0" applyFont="1" applyFill="1" applyBorder="1" applyAlignment="1" applyProtection="1">
      <alignment horizontal="left" vertical="center" wrapText="1"/>
      <protection locked="0"/>
    </xf>
    <xf numFmtId="0" fontId="15" fillId="26" borderId="19" xfId="0" applyFont="1" applyFill="1" applyBorder="1" applyAlignment="1" applyProtection="1">
      <alignment horizontal="left" vertical="center"/>
      <protection locked="0"/>
    </xf>
    <xf numFmtId="2" fontId="15" fillId="26" borderId="19" xfId="0" applyNumberFormat="1" applyFont="1" applyFill="1" applyBorder="1" applyAlignment="1" applyProtection="1">
      <alignment horizontal="left" vertical="center"/>
      <protection locked="0"/>
    </xf>
    <xf numFmtId="0" fontId="45" fillId="26" borderId="66" xfId="0" applyFont="1" applyFill="1" applyBorder="1" applyAlignment="1">
      <alignment horizontal="center" vertical="center"/>
    </xf>
    <xf numFmtId="2" fontId="45" fillId="26" borderId="66" xfId="0" applyNumberFormat="1" applyFont="1" applyFill="1" applyBorder="1" applyAlignment="1">
      <alignment horizontal="center" vertical="center"/>
    </xf>
    <xf numFmtId="164" fontId="46" fillId="0" borderId="71" xfId="0" applyNumberFormat="1" applyFont="1" applyBorder="1" applyAlignment="1" applyProtection="1">
      <alignment horizontal="center" vertical="center"/>
      <protection locked="0"/>
    </xf>
    <xf numFmtId="0" fontId="15" fillId="26" borderId="71" xfId="0" applyFont="1" applyFill="1" applyBorder="1" applyAlignment="1" applyProtection="1">
      <alignment horizontal="center" vertical="center"/>
      <protection locked="0"/>
    </xf>
    <xf numFmtId="0" fontId="15" fillId="26" borderId="15" xfId="0" applyFont="1" applyFill="1" applyBorder="1" applyAlignment="1" applyProtection="1">
      <alignment horizontal="center" vertical="center"/>
      <protection locked="0"/>
    </xf>
    <xf numFmtId="0" fontId="46" fillId="26" borderId="45" xfId="0" applyFont="1" applyFill="1" applyBorder="1" applyAlignment="1" applyProtection="1">
      <alignment horizontal="center" vertical="center"/>
      <protection locked="0"/>
    </xf>
    <xf numFmtId="0" fontId="15" fillId="26" borderId="87" xfId="0" applyFont="1" applyFill="1" applyBorder="1" applyAlignment="1">
      <alignment horizontal="center" vertical="center"/>
    </xf>
    <xf numFmtId="0" fontId="31" fillId="26" borderId="88" xfId="0" applyFont="1" applyFill="1" applyBorder="1" applyAlignment="1">
      <alignment horizontal="center" vertical="center"/>
    </xf>
    <xf numFmtId="0" fontId="45" fillId="26" borderId="11" xfId="0" applyFont="1" applyFill="1" applyBorder="1" applyAlignment="1" applyProtection="1">
      <alignment horizontal="left" vertical="center"/>
      <protection locked="0"/>
    </xf>
    <xf numFmtId="0" fontId="46" fillId="0" borderId="12" xfId="0" applyFont="1" applyBorder="1" applyAlignment="1" applyProtection="1">
      <alignment vertical="center" wrapText="1"/>
      <protection locked="0"/>
    </xf>
    <xf numFmtId="0" fontId="15" fillId="26" borderId="11" xfId="0" applyFont="1" applyFill="1" applyBorder="1" applyAlignment="1" applyProtection="1">
      <alignment horizontal="center" vertical="center"/>
      <protection locked="0"/>
    </xf>
    <xf numFmtId="0" fontId="13" fillId="26" borderId="45" xfId="0" applyFont="1" applyFill="1" applyBorder="1" applyAlignment="1" applyProtection="1">
      <alignment horizontal="left" vertical="center"/>
      <protection locked="0"/>
    </xf>
    <xf numFmtId="0" fontId="15" fillId="26" borderId="44" xfId="0" applyFont="1" applyFill="1" applyBorder="1" applyAlignment="1">
      <alignment horizontal="center" vertical="center"/>
    </xf>
    <xf numFmtId="0" fontId="46" fillId="0" borderId="18" xfId="0" applyFont="1" applyBorder="1" applyAlignment="1" applyProtection="1">
      <alignment horizontal="left" vertical="center"/>
      <protection locked="0"/>
    </xf>
    <xf numFmtId="0" fontId="13" fillId="0" borderId="0" xfId="0" applyFont="1" applyAlignment="1">
      <alignment horizontal="left"/>
    </xf>
    <xf numFmtId="0" fontId="13" fillId="0" borderId="0" xfId="0" applyFont="1" applyAlignment="1">
      <alignment horizontal="center"/>
    </xf>
    <xf numFmtId="0" fontId="45" fillId="26" borderId="71" xfId="0" applyFont="1" applyFill="1" applyBorder="1" applyAlignment="1">
      <alignment horizontal="left" vertical="center"/>
    </xf>
    <xf numFmtId="0" fontId="45" fillId="26" borderId="66" xfId="0" applyFont="1" applyFill="1" applyBorder="1" applyAlignment="1">
      <alignment horizontal="left" vertical="center"/>
    </xf>
    <xf numFmtId="0" fontId="45" fillId="26" borderId="80" xfId="0" applyFont="1" applyFill="1" applyBorder="1" applyAlignment="1">
      <alignment horizontal="left" vertical="center"/>
    </xf>
    <xf numFmtId="0" fontId="46" fillId="0" borderId="15" xfId="0" applyFont="1" applyBorder="1" applyAlignment="1">
      <alignment horizontal="left" vertical="center"/>
    </xf>
    <xf numFmtId="0" fontId="46" fillId="0" borderId="71" xfId="0" applyFont="1" applyBorder="1" applyAlignment="1">
      <alignment horizontal="center" vertical="center"/>
    </xf>
    <xf numFmtId="2" fontId="46" fillId="0" borderId="71" xfId="0" applyNumberFormat="1" applyFont="1" applyBorder="1" applyAlignment="1">
      <alignment horizontal="center" vertical="center"/>
    </xf>
    <xf numFmtId="0" fontId="15" fillId="26" borderId="19" xfId="0" applyFont="1" applyFill="1" applyBorder="1" applyAlignment="1">
      <alignment horizontal="left" vertical="center"/>
    </xf>
    <xf numFmtId="0" fontId="13" fillId="0" borderId="0" xfId="0" applyFont="1" applyAlignment="1">
      <alignment horizontal="center" wrapText="1"/>
    </xf>
    <xf numFmtId="0" fontId="45" fillId="26" borderId="71" xfId="0" applyFont="1" applyFill="1" applyBorder="1" applyAlignment="1">
      <alignment horizontal="center" vertical="center"/>
    </xf>
    <xf numFmtId="0" fontId="45" fillId="26" borderId="80" xfId="0" applyFont="1" applyFill="1" applyBorder="1" applyAlignment="1">
      <alignment horizontal="center" vertical="center"/>
    </xf>
    <xf numFmtId="0" fontId="46" fillId="26" borderId="66" xfId="0" applyFont="1" applyFill="1" applyBorder="1"/>
    <xf numFmtId="0" fontId="46" fillId="26" borderId="80" xfId="0" applyFont="1" applyFill="1" applyBorder="1"/>
    <xf numFmtId="0" fontId="46" fillId="26" borderId="66" xfId="0" applyFont="1" applyFill="1" applyBorder="1" applyAlignment="1">
      <alignment horizontal="left"/>
    </xf>
    <xf numFmtId="0" fontId="46" fillId="26" borderId="80" xfId="0" applyFont="1" applyFill="1" applyBorder="1" applyAlignment="1">
      <alignment horizontal="left"/>
    </xf>
    <xf numFmtId="2" fontId="45" fillId="26" borderId="71" xfId="0" applyNumberFormat="1" applyFont="1" applyFill="1" applyBorder="1" applyAlignment="1">
      <alignment horizontal="left" vertical="center"/>
    </xf>
    <xf numFmtId="2" fontId="45" fillId="26" borderId="66" xfId="0" applyNumberFormat="1" applyFont="1" applyFill="1" applyBorder="1" applyAlignment="1">
      <alignment horizontal="left" vertical="center"/>
    </xf>
    <xf numFmtId="2" fontId="45" fillId="26" borderId="80" xfId="0" applyNumberFormat="1" applyFont="1" applyFill="1" applyBorder="1" applyAlignment="1">
      <alignment horizontal="left" vertical="center"/>
    </xf>
    <xf numFmtId="0" fontId="15" fillId="26" borderId="71" xfId="0" applyFont="1" applyFill="1" applyBorder="1" applyAlignment="1">
      <alignment horizontal="center" vertical="center"/>
    </xf>
    <xf numFmtId="0" fontId="15" fillId="26" borderId="66" xfId="0" applyFont="1" applyFill="1" applyBorder="1" applyAlignment="1">
      <alignment horizontal="center" vertical="center"/>
    </xf>
    <xf numFmtId="0" fontId="15" fillId="26" borderId="80" xfId="0" applyFont="1" applyFill="1" applyBorder="1" applyAlignment="1">
      <alignment horizontal="center" vertical="center"/>
    </xf>
    <xf numFmtId="0" fontId="15" fillId="26" borderId="19" xfId="0" applyFont="1" applyFill="1" applyBorder="1" applyAlignment="1">
      <alignment vertical="center"/>
    </xf>
    <xf numFmtId="2" fontId="15" fillId="26" borderId="19" xfId="0" applyNumberFormat="1" applyFont="1" applyFill="1" applyBorder="1" applyAlignment="1">
      <alignment horizontal="left" vertical="center"/>
    </xf>
    <xf numFmtId="2" fontId="46" fillId="0" borderId="71" xfId="0" applyNumberFormat="1" applyFont="1" applyBorder="1" applyAlignment="1">
      <alignment horizontal="center" vertical="center" wrapText="1"/>
    </xf>
    <xf numFmtId="0" fontId="46" fillId="0" borderId="15" xfId="0" applyFont="1" applyBorder="1" applyAlignment="1">
      <alignment horizontal="left" vertical="center" wrapText="1"/>
    </xf>
    <xf numFmtId="0" fontId="46" fillId="0" borderId="12" xfId="0" applyFont="1" applyBorder="1" applyAlignment="1">
      <alignment vertical="center" wrapText="1"/>
    </xf>
    <xf numFmtId="0" fontId="46" fillId="0" borderId="63" xfId="0" applyFont="1" applyBorder="1" applyAlignment="1">
      <alignment horizontal="left" vertical="center"/>
    </xf>
    <xf numFmtId="0" fontId="15" fillId="26" borderId="71" xfId="0" applyFont="1" applyFill="1" applyBorder="1" applyAlignment="1" applyProtection="1">
      <alignment horizontal="left" vertical="center"/>
      <protection locked="0"/>
    </xf>
    <xf numFmtId="0" fontId="15" fillId="26" borderId="66" xfId="0" applyFont="1" applyFill="1" applyBorder="1" applyAlignment="1" applyProtection="1">
      <alignment horizontal="left" vertical="center"/>
      <protection locked="0"/>
    </xf>
    <xf numFmtId="0" fontId="15" fillId="26" borderId="80" xfId="0" applyFont="1" applyFill="1" applyBorder="1" applyAlignment="1" applyProtection="1">
      <alignment horizontal="left" vertical="center"/>
      <protection locked="0"/>
    </xf>
    <xf numFmtId="0" fontId="4" fillId="0" borderId="0" xfId="0" applyFont="1" applyAlignment="1" applyProtection="1">
      <alignment vertical="center"/>
      <protection locked="0"/>
    </xf>
    <xf numFmtId="0" fontId="45" fillId="26" borderId="71" xfId="0" applyFont="1" applyFill="1" applyBorder="1" applyAlignment="1" applyProtection="1">
      <alignment horizontal="left" vertical="center"/>
      <protection locked="0"/>
    </xf>
    <xf numFmtId="0" fontId="45" fillId="26" borderId="66" xfId="0" applyFont="1" applyFill="1" applyBorder="1" applyAlignment="1" applyProtection="1">
      <alignment horizontal="left" vertical="center"/>
      <protection locked="0"/>
    </xf>
    <xf numFmtId="0" fontId="45" fillId="26" borderId="80" xfId="0" applyFont="1" applyFill="1" applyBorder="1" applyAlignment="1" applyProtection="1">
      <alignment horizontal="left" vertical="center"/>
      <protection locked="0"/>
    </xf>
    <xf numFmtId="0" fontId="11" fillId="0" borderId="0" xfId="0" applyFont="1" applyAlignment="1" applyProtection="1">
      <alignment vertical="center"/>
      <protection locked="0"/>
    </xf>
    <xf numFmtId="0" fontId="7" fillId="0" borderId="0" xfId="0" applyFont="1" applyAlignment="1" applyProtection="1">
      <alignment vertical="center"/>
      <protection locked="0"/>
    </xf>
    <xf numFmtId="2" fontId="46" fillId="0" borderId="11" xfId="0" applyNumberFormat="1" applyFont="1" applyBorder="1" applyAlignment="1" applyProtection="1">
      <alignment horizontal="center" vertical="center" wrapText="1"/>
      <protection locked="0"/>
    </xf>
    <xf numFmtId="0" fontId="46" fillId="0" borderId="66" xfId="0" applyFont="1" applyBorder="1" applyAlignment="1" applyProtection="1">
      <alignment horizontal="left" vertical="center"/>
      <protection locked="0"/>
    </xf>
    <xf numFmtId="0" fontId="46" fillId="26" borderId="45" xfId="0" applyFont="1" applyFill="1" applyBorder="1" applyAlignment="1" applyProtection="1">
      <alignment horizontal="left" vertical="center"/>
      <protection locked="0"/>
    </xf>
    <xf numFmtId="0" fontId="15" fillId="0" borderId="0" xfId="0" applyFont="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15" fillId="0" borderId="0" xfId="0" applyFont="1" applyAlignment="1" applyProtection="1">
      <alignment vertical="center"/>
      <protection locked="0"/>
    </xf>
    <xf numFmtId="0" fontId="15" fillId="26" borderId="89" xfId="0" applyFont="1" applyFill="1" applyBorder="1" applyAlignment="1" applyProtection="1">
      <alignment horizontal="center" vertical="center" wrapText="1"/>
      <protection locked="0"/>
    </xf>
    <xf numFmtId="0" fontId="46" fillId="0" borderId="71" xfId="0" applyFont="1" applyBorder="1" applyAlignment="1" applyProtection="1">
      <alignment horizontal="left" vertical="center"/>
      <protection locked="0"/>
    </xf>
    <xf numFmtId="2" fontId="46" fillId="0" borderId="71" xfId="0" applyNumberFormat="1" applyFont="1" applyBorder="1" applyAlignment="1" applyProtection="1">
      <alignment horizontal="left" vertical="center"/>
      <protection locked="0"/>
    </xf>
    <xf numFmtId="4" fontId="46" fillId="0" borderId="71" xfId="0" applyNumberFormat="1" applyFont="1" applyBorder="1" applyAlignment="1" applyProtection="1">
      <alignment vertical="center"/>
      <protection locked="0"/>
    </xf>
    <xf numFmtId="2" fontId="46" fillId="0" borderId="71" xfId="0" applyNumberFormat="1" applyFont="1" applyBorder="1" applyAlignment="1" applyProtection="1">
      <alignment vertical="center"/>
      <protection locked="0"/>
    </xf>
    <xf numFmtId="2" fontId="45" fillId="26" borderId="71" xfId="0" applyNumberFormat="1" applyFont="1" applyFill="1" applyBorder="1" applyAlignment="1" applyProtection="1">
      <alignment horizontal="left" vertical="center"/>
      <protection locked="0"/>
    </xf>
    <xf numFmtId="2" fontId="45" fillId="26" borderId="66" xfId="0" applyNumberFormat="1" applyFont="1" applyFill="1" applyBorder="1" applyAlignment="1" applyProtection="1">
      <alignment horizontal="left" vertical="center"/>
      <protection locked="0"/>
    </xf>
    <xf numFmtId="2" fontId="45" fillId="26" borderId="80" xfId="0" applyNumberFormat="1" applyFont="1" applyFill="1" applyBorder="1" applyAlignment="1" applyProtection="1">
      <alignment horizontal="left" vertical="center"/>
      <protection locked="0"/>
    </xf>
    <xf numFmtId="2" fontId="46" fillId="0" borderId="72" xfId="0" applyNumberFormat="1" applyFont="1" applyBorder="1" applyAlignment="1" applyProtection="1">
      <alignment vertical="center"/>
      <protection locked="0"/>
    </xf>
    <xf numFmtId="0" fontId="46" fillId="0" borderId="16" xfId="0" applyFont="1" applyBorder="1" applyAlignment="1" applyProtection="1">
      <alignment vertical="center"/>
      <protection locked="0"/>
    </xf>
    <xf numFmtId="0" fontId="46" fillId="0" borderId="16" xfId="0" applyFont="1" applyBorder="1" applyAlignment="1" applyProtection="1">
      <alignment horizontal="center" vertical="center" wrapText="1"/>
      <protection locked="0"/>
    </xf>
    <xf numFmtId="0" fontId="46" fillId="0" borderId="16" xfId="0" applyFont="1" applyBorder="1" applyAlignment="1" applyProtection="1">
      <alignment horizontal="center" vertical="center"/>
      <protection locked="0"/>
    </xf>
    <xf numFmtId="0" fontId="46" fillId="0" borderId="63" xfId="0" applyFont="1" applyBorder="1" applyAlignment="1" applyProtection="1">
      <alignment horizontal="center" vertical="center"/>
      <protection locked="0"/>
    </xf>
    <xf numFmtId="0" fontId="45" fillId="26" borderId="90" xfId="0" applyFont="1" applyFill="1" applyBorder="1" applyAlignment="1" applyProtection="1">
      <alignment horizontal="center" vertical="center"/>
      <protection locked="0"/>
    </xf>
    <xf numFmtId="0" fontId="45" fillId="26" borderId="45" xfId="0" applyFont="1" applyFill="1" applyBorder="1" applyAlignment="1" applyProtection="1">
      <alignment horizontal="center" vertical="center"/>
      <protection locked="0"/>
    </xf>
    <xf numFmtId="0" fontId="7" fillId="0" borderId="0" xfId="0" applyFont="1" applyAlignment="1" applyProtection="1">
      <alignment horizontal="center" wrapText="1"/>
      <protection locked="0"/>
    </xf>
    <xf numFmtId="0" fontId="7" fillId="0" borderId="0" xfId="0" applyFont="1" applyAlignment="1" applyProtection="1">
      <alignment horizontal="center" vertical="center"/>
      <protection locked="0"/>
    </xf>
    <xf numFmtId="0" fontId="45" fillId="26" borderId="44" xfId="0" applyFont="1" applyFill="1" applyBorder="1" applyAlignment="1">
      <alignment horizontal="center" vertical="center"/>
    </xf>
    <xf numFmtId="166" fontId="46" fillId="0" borderId="11" xfId="0" applyNumberFormat="1" applyFont="1" applyBorder="1" applyAlignment="1" applyProtection="1">
      <alignment horizontal="center" vertical="center"/>
      <protection locked="0"/>
    </xf>
    <xf numFmtId="0" fontId="15" fillId="26" borderId="45" xfId="0" applyFont="1" applyFill="1" applyBorder="1" applyAlignment="1" applyProtection="1">
      <alignment horizontal="center" vertical="center"/>
      <protection locked="0"/>
    </xf>
    <xf numFmtId="0" fontId="46" fillId="0" borderId="69" xfId="0" applyFont="1" applyBorder="1" applyAlignment="1" applyProtection="1">
      <alignment horizontal="center" vertical="center"/>
      <protection locked="0"/>
    </xf>
    <xf numFmtId="0" fontId="15" fillId="26" borderId="69" xfId="0" applyFont="1" applyFill="1" applyBorder="1" applyAlignment="1" applyProtection="1">
      <alignment horizontal="left" vertical="center"/>
      <protection locked="0"/>
    </xf>
    <xf numFmtId="0" fontId="15" fillId="26" borderId="68" xfId="0" applyFont="1" applyFill="1" applyBorder="1" applyAlignment="1" applyProtection="1">
      <alignment horizontal="left" vertical="center"/>
      <protection locked="0"/>
    </xf>
    <xf numFmtId="0" fontId="15" fillId="26" borderId="10" xfId="0" applyFont="1" applyFill="1" applyBorder="1" applyAlignment="1" applyProtection="1">
      <alignment horizontal="left" vertical="center"/>
      <protection locked="0"/>
    </xf>
    <xf numFmtId="0" fontId="15" fillId="26" borderId="81" xfId="0" applyFont="1" applyFill="1" applyBorder="1" applyAlignment="1" applyProtection="1">
      <alignment horizontal="left" vertical="center"/>
      <protection locked="0"/>
    </xf>
    <xf numFmtId="0" fontId="13" fillId="26" borderId="45" xfId="0" applyFont="1" applyFill="1" applyBorder="1" applyAlignment="1" applyProtection="1">
      <alignment horizontal="center" vertical="center"/>
      <protection locked="0"/>
    </xf>
    <xf numFmtId="0" fontId="96" fillId="0" borderId="18" xfId="0" applyFont="1" applyBorder="1" applyAlignment="1">
      <alignment horizontal="center" vertical="center"/>
    </xf>
    <xf numFmtId="0" fontId="15" fillId="26" borderId="12" xfId="0" applyFont="1" applyFill="1" applyBorder="1" applyAlignment="1">
      <alignment horizontal="center" vertical="center"/>
    </xf>
    <xf numFmtId="0" fontId="15" fillId="26" borderId="43" xfId="0" applyFont="1" applyFill="1" applyBorder="1" applyAlignment="1" applyProtection="1">
      <alignment horizontal="center" vertical="center"/>
      <protection locked="0"/>
    </xf>
    <xf numFmtId="0" fontId="13" fillId="0" borderId="0" xfId="0" applyFont="1" applyAlignment="1" applyProtection="1">
      <alignment horizontal="right" vertical="center"/>
      <protection locked="0"/>
    </xf>
    <xf numFmtId="0" fontId="96" fillId="0" borderId="12" xfId="0" applyFont="1" applyBorder="1" applyAlignment="1" applyProtection="1">
      <alignment horizontal="center" vertical="center"/>
      <protection locked="0"/>
    </xf>
    <xf numFmtId="0" fontId="46" fillId="0" borderId="16" xfId="0" applyFont="1" applyBorder="1" applyAlignment="1" applyProtection="1">
      <alignment horizontal="left" vertical="center" wrapText="1"/>
      <protection locked="0"/>
    </xf>
    <xf numFmtId="0" fontId="46" fillId="0" borderId="18" xfId="0" applyFont="1" applyBorder="1" applyAlignment="1" applyProtection="1">
      <alignment horizontal="left" vertical="center" wrapText="1"/>
      <protection locked="0"/>
    </xf>
    <xf numFmtId="4" fontId="45" fillId="26" borderId="71" xfId="0" applyNumberFormat="1" applyFont="1" applyFill="1" applyBorder="1" applyAlignment="1" applyProtection="1">
      <alignment horizontal="left" vertical="center"/>
      <protection locked="0"/>
    </xf>
    <xf numFmtId="4" fontId="15" fillId="26" borderId="19" xfId="0" applyNumberFormat="1" applyFont="1" applyFill="1" applyBorder="1" applyAlignment="1" applyProtection="1">
      <alignment horizontal="left" vertical="center"/>
      <protection locked="0"/>
    </xf>
    <xf numFmtId="4" fontId="45" fillId="26" borderId="66" xfId="0" applyNumberFormat="1" applyFont="1" applyFill="1" applyBorder="1" applyAlignment="1" applyProtection="1">
      <alignment horizontal="left" vertical="center"/>
      <protection locked="0"/>
    </xf>
    <xf numFmtId="4" fontId="45" fillId="26" borderId="80" xfId="0" applyNumberFormat="1" applyFont="1" applyFill="1" applyBorder="1" applyAlignment="1" applyProtection="1">
      <alignment horizontal="left" vertical="center"/>
      <protection locked="0"/>
    </xf>
    <xf numFmtId="0" fontId="31" fillId="26" borderId="44" xfId="0" applyFont="1" applyFill="1" applyBorder="1" applyAlignment="1" applyProtection="1">
      <alignment horizontal="center" vertical="center"/>
      <protection locked="0"/>
    </xf>
    <xf numFmtId="0" fontId="7" fillId="26" borderId="0" xfId="42" applyFont="1" applyFill="1" applyAlignment="1">
      <alignment vertical="center" wrapText="1"/>
    </xf>
    <xf numFmtId="0" fontId="91" fillId="26" borderId="0" xfId="42" applyFont="1" applyFill="1" applyAlignment="1">
      <alignment vertical="center" wrapText="1"/>
    </xf>
    <xf numFmtId="0" fontId="33" fillId="0" borderId="0" xfId="0" applyFont="1" applyAlignment="1" applyProtection="1">
      <alignment vertical="center"/>
      <protection locked="0"/>
    </xf>
    <xf numFmtId="0" fontId="21" fillId="0" borderId="0" xfId="0" applyFont="1" applyProtection="1">
      <protection locked="0"/>
    </xf>
    <xf numFmtId="0" fontId="22" fillId="0" borderId="0" xfId="0" applyFont="1" applyProtection="1">
      <protection locked="0"/>
    </xf>
    <xf numFmtId="0" fontId="96" fillId="0" borderId="12" xfId="0" applyFont="1" applyBorder="1" applyAlignment="1" applyProtection="1">
      <alignment vertical="center"/>
      <protection locked="0"/>
    </xf>
    <xf numFmtId="0" fontId="15" fillId="26" borderId="125" xfId="0" applyFont="1" applyFill="1" applyBorder="1" applyAlignment="1" applyProtection="1">
      <alignment horizontal="right"/>
      <protection locked="0"/>
    </xf>
    <xf numFmtId="0" fontId="15" fillId="26" borderId="126" xfId="0" applyFont="1" applyFill="1" applyBorder="1" applyAlignment="1" applyProtection="1">
      <alignment horizontal="right" vertical="center"/>
      <protection locked="0"/>
    </xf>
    <xf numFmtId="0" fontId="7" fillId="26" borderId="0" xfId="42" applyFont="1" applyFill="1" applyAlignment="1">
      <alignment horizontal="left" wrapText="1"/>
    </xf>
    <xf numFmtId="0" fontId="7" fillId="26" borderId="0" xfId="47" applyFont="1" applyFill="1" applyAlignment="1">
      <alignment horizontal="left" vertical="top" wrapText="1"/>
    </xf>
    <xf numFmtId="0" fontId="91" fillId="26" borderId="0" xfId="47" applyFont="1" applyFill="1" applyAlignment="1">
      <alignment horizontal="left" vertical="top" wrapText="1"/>
    </xf>
    <xf numFmtId="2" fontId="7" fillId="0" borderId="0" xfId="0" applyNumberFormat="1" applyFont="1" applyAlignment="1" applyProtection="1">
      <alignment horizontal="right" vertical="center"/>
      <protection locked="0"/>
    </xf>
    <xf numFmtId="2" fontId="7" fillId="0" borderId="0" xfId="0" quotePrefix="1" applyNumberFormat="1" applyFont="1" applyAlignment="1" applyProtection="1">
      <alignment horizontal="right" vertical="center"/>
      <protection locked="0"/>
    </xf>
    <xf numFmtId="0" fontId="61" fillId="0" borderId="0" xfId="0" applyFont="1" applyAlignment="1" applyProtection="1">
      <alignment horizontal="center"/>
      <protection locked="0"/>
    </xf>
    <xf numFmtId="0" fontId="0" fillId="0" borderId="0" xfId="0" applyAlignment="1" applyProtection="1">
      <alignment wrapText="1"/>
      <protection locked="0"/>
    </xf>
    <xf numFmtId="0" fontId="5" fillId="0" borderId="0" xfId="0" applyFont="1" applyAlignment="1" applyProtection="1">
      <alignment wrapText="1"/>
      <protection locked="0"/>
    </xf>
    <xf numFmtId="0" fontId="4" fillId="0" borderId="0" xfId="42" applyProtection="1">
      <protection locked="0"/>
    </xf>
    <xf numFmtId="0" fontId="4" fillId="0" borderId="0" xfId="42" applyAlignment="1" applyProtection="1">
      <alignment vertical="top" wrapText="1"/>
      <protection locked="0"/>
    </xf>
    <xf numFmtId="0" fontId="7" fillId="0" borderId="0" xfId="42" applyFont="1" applyProtection="1">
      <protection locked="0"/>
    </xf>
    <xf numFmtId="49" fontId="7" fillId="0" borderId="0" xfId="42" applyNumberFormat="1" applyFont="1" applyAlignment="1" applyProtection="1">
      <alignment horizontal="left" vertical="top" wrapText="1" indent="1"/>
      <protection locked="0"/>
    </xf>
    <xf numFmtId="0" fontId="7" fillId="0" borderId="0" xfId="42" applyFont="1" applyAlignment="1" applyProtection="1">
      <alignment horizontal="left" vertical="top" wrapText="1" indent="1"/>
      <protection locked="0"/>
    </xf>
    <xf numFmtId="49" fontId="7" fillId="0" borderId="0" xfId="42" applyNumberFormat="1" applyFont="1" applyAlignment="1" applyProtection="1">
      <alignment horizontal="left" vertical="top" wrapText="1" indent="2"/>
      <protection locked="0"/>
    </xf>
    <xf numFmtId="0" fontId="91" fillId="0" borderId="0" xfId="42" applyFont="1" applyAlignment="1" applyProtection="1">
      <alignment vertical="top" wrapText="1"/>
      <protection locked="0"/>
    </xf>
    <xf numFmtId="0" fontId="4" fillId="0" borderId="0" xfId="42" applyAlignment="1" applyProtection="1">
      <alignment horizontal="left" vertical="top" wrapText="1" indent="1"/>
      <protection locked="0"/>
    </xf>
    <xf numFmtId="0" fontId="4" fillId="0" borderId="0" xfId="42" applyAlignment="1" applyProtection="1">
      <alignment horizontal="left" vertical="top" wrapText="1"/>
      <protection locked="0"/>
    </xf>
    <xf numFmtId="0" fontId="7" fillId="0" borderId="0" xfId="42" applyFont="1" applyAlignment="1" applyProtection="1">
      <alignment horizontal="left" vertical="top" wrapText="1"/>
      <protection locked="0"/>
    </xf>
    <xf numFmtId="0" fontId="5" fillId="0" borderId="0" xfId="0" applyFont="1" applyAlignment="1" applyProtection="1">
      <alignment vertical="center"/>
      <protection locked="0"/>
    </xf>
    <xf numFmtId="164" fontId="5" fillId="0" borderId="0" xfId="0" applyNumberFormat="1" applyFont="1" applyAlignment="1" applyProtection="1">
      <alignment horizontal="left"/>
      <protection locked="0"/>
    </xf>
    <xf numFmtId="0" fontId="4" fillId="0" borderId="0" xfId="42" applyAlignment="1" applyProtection="1">
      <alignment vertical="center" wrapText="1"/>
      <protection locked="0"/>
    </xf>
    <xf numFmtId="0" fontId="4" fillId="0" borderId="0" xfId="42" applyAlignment="1" applyProtection="1">
      <alignment horizontal="left"/>
      <protection locked="0"/>
    </xf>
    <xf numFmtId="0" fontId="0" fillId="0" borderId="0" xfId="0" applyAlignment="1" applyProtection="1">
      <alignment vertical="center" wrapText="1"/>
      <protection locked="0"/>
    </xf>
    <xf numFmtId="0" fontId="7" fillId="0" borderId="0" xfId="0" applyFont="1" applyAlignment="1" applyProtection="1">
      <alignment horizontal="right" vertical="center"/>
      <protection locked="0"/>
    </xf>
    <xf numFmtId="0" fontId="11" fillId="0" borderId="0" xfId="0" applyFont="1" applyAlignment="1" applyProtection="1">
      <alignment horizontal="left" vertical="center"/>
      <protection locked="0"/>
    </xf>
    <xf numFmtId="0" fontId="25" fillId="0" borderId="0" xfId="0" applyFont="1" applyProtection="1">
      <protection locked="0"/>
    </xf>
    <xf numFmtId="0" fontId="4" fillId="0" borderId="0" xfId="42" applyAlignment="1" applyProtection="1">
      <alignment horizontal="left" vertical="top" wrapText="1" indent="4"/>
      <protection locked="0"/>
    </xf>
    <xf numFmtId="2" fontId="92" fillId="0" borderId="0" xfId="0" applyNumberFormat="1" applyFont="1" applyAlignment="1" applyProtection="1">
      <alignment horizontal="center"/>
      <protection locked="0"/>
    </xf>
    <xf numFmtId="0" fontId="92" fillId="0" borderId="0" xfId="0" applyFont="1" applyAlignment="1" applyProtection="1">
      <alignment horizontal="center" wrapText="1"/>
      <protection locked="0"/>
    </xf>
    <xf numFmtId="2" fontId="0" fillId="0" borderId="0" xfId="0" applyNumberFormat="1" applyAlignment="1" applyProtection="1">
      <alignment horizontal="center"/>
      <protection locked="0"/>
    </xf>
    <xf numFmtId="0" fontId="86" fillId="0" borderId="0" xfId="0" applyFont="1" applyProtection="1">
      <protection locked="0"/>
    </xf>
    <xf numFmtId="2" fontId="42" fillId="0" borderId="0" xfId="0" applyNumberFormat="1" applyFont="1" applyAlignment="1" applyProtection="1">
      <alignment horizontal="right" vertical="center"/>
      <protection locked="0"/>
    </xf>
    <xf numFmtId="1" fontId="42" fillId="0" borderId="0" xfId="0" applyNumberFormat="1" applyFont="1" applyAlignment="1" applyProtection="1">
      <alignment horizontal="right" vertical="center"/>
      <protection locked="0"/>
    </xf>
    <xf numFmtId="1" fontId="88" fillId="0" borderId="0" xfId="0" applyNumberFormat="1" applyFont="1" applyAlignment="1" applyProtection="1">
      <alignment horizontal="right" vertical="center"/>
      <protection locked="0"/>
    </xf>
    <xf numFmtId="1" fontId="42" fillId="0" borderId="0" xfId="0" applyNumberFormat="1" applyFont="1" applyAlignment="1" applyProtection="1">
      <alignment horizontal="center" vertical="center" wrapText="1"/>
      <protection locked="0"/>
    </xf>
    <xf numFmtId="2" fontId="16" fillId="0" borderId="0" xfId="0" applyNumberFormat="1" applyFont="1" applyProtection="1">
      <protection locked="0"/>
    </xf>
    <xf numFmtId="0" fontId="18" fillId="0" borderId="0" xfId="0" applyFont="1" applyAlignment="1" applyProtection="1">
      <alignment horizontal="left"/>
      <protection locked="0"/>
    </xf>
    <xf numFmtId="2" fontId="84" fillId="0" borderId="0" xfId="0" applyNumberFormat="1" applyFont="1" applyProtection="1">
      <protection locked="0"/>
    </xf>
    <xf numFmtId="2" fontId="17" fillId="0" borderId="0" xfId="0" applyNumberFormat="1" applyFont="1" applyProtection="1">
      <protection locked="0"/>
    </xf>
    <xf numFmtId="3" fontId="18" fillId="0" borderId="0" xfId="0" applyNumberFormat="1" applyFont="1" applyAlignment="1" applyProtection="1">
      <alignment horizontal="center"/>
      <protection locked="0"/>
    </xf>
    <xf numFmtId="0" fontId="13" fillId="0" borderId="0" xfId="42" applyFont="1" applyAlignment="1" applyProtection="1">
      <alignment vertical="center" wrapText="1"/>
      <protection locked="0"/>
    </xf>
    <xf numFmtId="0" fontId="13" fillId="0" borderId="0" xfId="0" applyFont="1" applyAlignment="1" applyProtection="1">
      <alignment vertical="center" wrapText="1"/>
      <protection locked="0"/>
    </xf>
    <xf numFmtId="0" fontId="13" fillId="0" borderId="0" xfId="42" applyFont="1" applyAlignment="1" applyProtection="1">
      <alignment vertical="center"/>
      <protection locked="0"/>
    </xf>
    <xf numFmtId="0" fontId="52" fillId="0" borderId="0" xfId="42" applyFont="1" applyAlignment="1" applyProtection="1">
      <alignment horizontal="left" vertical="center" wrapText="1"/>
      <protection locked="0"/>
    </xf>
    <xf numFmtId="2" fontId="15" fillId="0" borderId="0" xfId="0" applyNumberFormat="1" applyFont="1" applyAlignment="1" applyProtection="1">
      <alignment vertical="center"/>
      <protection locked="0"/>
    </xf>
    <xf numFmtId="164" fontId="15" fillId="0" borderId="0" xfId="0" applyNumberFormat="1" applyFont="1" applyAlignment="1" applyProtection="1">
      <alignment vertical="center"/>
      <protection locked="0"/>
    </xf>
    <xf numFmtId="0" fontId="105" fillId="0" borderId="0" xfId="0" applyFont="1" applyAlignment="1" applyProtection="1">
      <alignment vertical="center"/>
      <protection locked="0"/>
    </xf>
    <xf numFmtId="0" fontId="96" fillId="0" borderId="12" xfId="0" applyFont="1" applyBorder="1" applyAlignment="1" applyProtection="1">
      <alignment horizontal="left" vertical="center" wrapText="1"/>
      <protection locked="0"/>
    </xf>
    <xf numFmtId="0" fontId="96" fillId="0" borderId="15" xfId="0" applyFont="1" applyBorder="1" applyAlignment="1" applyProtection="1">
      <alignment horizontal="left" vertical="center" wrapText="1"/>
      <protection locked="0"/>
    </xf>
    <xf numFmtId="0" fontId="15" fillId="26" borderId="0" xfId="42" applyFont="1" applyFill="1" applyAlignment="1" applyProtection="1">
      <alignment horizontal="left" vertical="center" wrapText="1"/>
      <protection locked="0"/>
    </xf>
    <xf numFmtId="0" fontId="15" fillId="26" borderId="43" xfId="0" applyFont="1" applyFill="1" applyBorder="1" applyAlignment="1">
      <alignment horizontal="center" vertical="center"/>
    </xf>
    <xf numFmtId="0" fontId="46" fillId="0" borderId="107" xfId="0" quotePrefix="1" applyFont="1" applyBorder="1" applyAlignment="1">
      <alignment horizontal="center" vertical="center" wrapText="1"/>
    </xf>
    <xf numFmtId="0" fontId="46" fillId="0" borderId="75" xfId="0" applyFont="1" applyBorder="1" applyAlignment="1" applyProtection="1">
      <alignment horizontal="center" vertical="center"/>
      <protection locked="0"/>
    </xf>
    <xf numFmtId="0" fontId="57" fillId="0" borderId="75" xfId="0" applyFont="1" applyBorder="1" applyAlignment="1" applyProtection="1">
      <alignment horizontal="center" vertical="center"/>
      <protection locked="0"/>
    </xf>
    <xf numFmtId="0" fontId="46" fillId="0" borderId="75" xfId="0" applyFont="1" applyBorder="1" applyAlignment="1">
      <alignment horizontal="center" vertical="center"/>
    </xf>
    <xf numFmtId="0" fontId="15" fillId="26" borderId="109" xfId="0" applyFont="1" applyFill="1" applyBorder="1" applyAlignment="1" applyProtection="1">
      <alignment horizontal="center" vertical="center"/>
      <protection locked="0"/>
    </xf>
    <xf numFmtId="0" fontId="15" fillId="26" borderId="109" xfId="0" applyFont="1" applyFill="1" applyBorder="1" applyAlignment="1">
      <alignment horizontal="center" vertical="center"/>
    </xf>
    <xf numFmtId="0" fontId="46" fillId="0" borderId="100" xfId="0" applyFont="1" applyBorder="1" applyAlignment="1" applyProtection="1">
      <alignment horizontal="center" vertical="center"/>
      <protection locked="0"/>
    </xf>
    <xf numFmtId="0" fontId="46" fillId="0" borderId="100" xfId="0" applyFont="1" applyBorder="1" applyAlignment="1">
      <alignment horizontal="center" vertical="center"/>
    </xf>
    <xf numFmtId="0" fontId="45" fillId="0" borderId="0" xfId="0" applyFont="1" applyProtection="1">
      <protection locked="0"/>
    </xf>
    <xf numFmtId="4" fontId="57" fillId="0" borderId="12" xfId="0" applyNumberFormat="1" applyFont="1" applyBorder="1" applyAlignment="1" applyProtection="1">
      <alignment horizontal="center" vertical="center"/>
      <protection locked="0"/>
    </xf>
    <xf numFmtId="2" fontId="57" fillId="0" borderId="12" xfId="0" applyNumberFormat="1" applyFont="1" applyBorder="1" applyAlignment="1" applyProtection="1">
      <alignment horizontal="center" vertical="center"/>
      <protection locked="0"/>
    </xf>
    <xf numFmtId="2" fontId="57" fillId="0" borderId="19" xfId="0" applyNumberFormat="1" applyFont="1" applyBorder="1" applyAlignment="1" applyProtection="1">
      <alignment horizontal="center" vertical="center"/>
      <protection locked="0"/>
    </xf>
    <xf numFmtId="2" fontId="46" fillId="0" borderId="79" xfId="0" quotePrefix="1" applyNumberFormat="1" applyFont="1" applyBorder="1" applyAlignment="1" applyProtection="1">
      <alignment horizontal="center" vertical="center"/>
      <protection locked="0"/>
    </xf>
    <xf numFmtId="2" fontId="46" fillId="0" borderId="67" xfId="0" quotePrefix="1" applyNumberFormat="1" applyFont="1" applyBorder="1" applyAlignment="1" applyProtection="1">
      <alignment horizontal="center" vertical="center"/>
      <protection locked="0"/>
    </xf>
    <xf numFmtId="0" fontId="46" fillId="0" borderId="19" xfId="0" applyFont="1" applyBorder="1" applyAlignment="1" applyProtection="1">
      <alignment horizontal="center" vertical="center"/>
      <protection locked="0"/>
    </xf>
    <xf numFmtId="4" fontId="57" fillId="0" borderId="19" xfId="0" applyNumberFormat="1" applyFont="1" applyBorder="1" applyAlignment="1" applyProtection="1">
      <alignment horizontal="center" vertical="center"/>
      <protection locked="0"/>
    </xf>
    <xf numFmtId="4" fontId="57" fillId="0" borderId="66" xfId="0" applyNumberFormat="1" applyFont="1" applyBorder="1" applyAlignment="1" applyProtection="1">
      <alignment horizontal="center" vertical="center"/>
      <protection locked="0"/>
    </xf>
    <xf numFmtId="2" fontId="46" fillId="0" borderId="66" xfId="0" applyNumberFormat="1" applyFont="1" applyBorder="1" applyAlignment="1" applyProtection="1">
      <alignment horizontal="center" vertical="center"/>
      <protection locked="0"/>
    </xf>
    <xf numFmtId="2" fontId="57" fillId="0" borderId="66" xfId="0" applyNumberFormat="1" applyFont="1" applyBorder="1" applyAlignment="1" applyProtection="1">
      <alignment horizontal="center" vertical="center"/>
      <protection locked="0"/>
    </xf>
    <xf numFmtId="0" fontId="96" fillId="0" borderId="78" xfId="0" applyFont="1" applyBorder="1" applyAlignment="1" applyProtection="1">
      <alignment horizontal="center" vertical="center" wrapText="1"/>
      <protection locked="0"/>
    </xf>
    <xf numFmtId="164" fontId="46" fillId="0" borderId="65" xfId="0" quotePrefix="1" applyNumberFormat="1" applyFont="1" applyBorder="1" applyAlignment="1" applyProtection="1">
      <alignment horizontal="center" vertical="center"/>
      <protection locked="0"/>
    </xf>
    <xf numFmtId="164" fontId="46" fillId="0" borderId="79" xfId="0" quotePrefix="1" applyNumberFormat="1" applyFont="1" applyBorder="1" applyAlignment="1" applyProtection="1">
      <alignment horizontal="center" vertical="center"/>
      <protection locked="0"/>
    </xf>
    <xf numFmtId="164" fontId="46" fillId="0" borderId="13" xfId="0" quotePrefix="1" applyNumberFormat="1" applyFont="1" applyBorder="1" applyAlignment="1" applyProtection="1">
      <alignment horizontal="center" vertical="center"/>
      <protection locked="0"/>
    </xf>
    <xf numFmtId="0" fontId="46" fillId="0" borderId="78" xfId="0" applyFont="1" applyBorder="1" applyAlignment="1" applyProtection="1">
      <alignment horizontal="center" vertical="center"/>
      <protection locked="0"/>
    </xf>
    <xf numFmtId="164" fontId="46" fillId="0" borderId="72" xfId="0" quotePrefix="1" applyNumberFormat="1" applyFont="1" applyBorder="1" applyAlignment="1" applyProtection="1">
      <alignment horizontal="center" vertical="center"/>
      <protection locked="0"/>
    </xf>
    <xf numFmtId="0" fontId="46" fillId="0" borderId="20" xfId="0" applyFont="1" applyBorder="1" applyAlignment="1" applyProtection="1">
      <alignment horizontal="left" vertical="center" wrapText="1"/>
      <protection locked="0"/>
    </xf>
    <xf numFmtId="4" fontId="57" fillId="0" borderId="17" xfId="0" applyNumberFormat="1" applyFont="1" applyBorder="1" applyAlignment="1" applyProtection="1">
      <alignment horizontal="center" vertical="center"/>
      <protection locked="0"/>
    </xf>
    <xf numFmtId="2" fontId="57" fillId="0" borderId="14" xfId="0" applyNumberFormat="1" applyFont="1" applyBorder="1" applyAlignment="1" applyProtection="1">
      <alignment horizontal="center" vertical="center"/>
      <protection locked="0"/>
    </xf>
    <xf numFmtId="164" fontId="46" fillId="0" borderId="69" xfId="0" quotePrefix="1" applyNumberFormat="1" applyFont="1" applyBorder="1" applyAlignment="1" applyProtection="1">
      <alignment horizontal="center" vertical="center"/>
      <protection locked="0"/>
    </xf>
    <xf numFmtId="0" fontId="46" fillId="0" borderId="66" xfId="0" applyFont="1" applyBorder="1" applyAlignment="1" applyProtection="1">
      <alignment horizontal="left" vertical="center" wrapText="1"/>
      <protection locked="0"/>
    </xf>
    <xf numFmtId="0" fontId="95" fillId="0" borderId="12" xfId="0" applyFont="1" applyBorder="1" applyProtection="1">
      <protection locked="0"/>
    </xf>
    <xf numFmtId="0" fontId="46" fillId="0" borderId="66" xfId="0" applyFont="1" applyBorder="1" applyAlignment="1" applyProtection="1">
      <alignment horizontal="center" vertical="center"/>
      <protection locked="0"/>
    </xf>
    <xf numFmtId="164" fontId="46" fillId="0" borderId="67" xfId="0" quotePrefix="1" applyNumberFormat="1" applyFont="1" applyBorder="1" applyAlignment="1" applyProtection="1">
      <alignment horizontal="center" vertical="center"/>
      <protection locked="0"/>
    </xf>
    <xf numFmtId="4" fontId="46" fillId="0" borderId="19" xfId="0" applyNumberFormat="1" applyFont="1" applyBorder="1" applyAlignment="1" applyProtection="1">
      <alignment horizontal="center" vertical="center"/>
      <protection locked="0"/>
    </xf>
    <xf numFmtId="4" fontId="46" fillId="0" borderId="66" xfId="0" applyNumberFormat="1" applyFont="1" applyBorder="1" applyAlignment="1" applyProtection="1">
      <alignment horizontal="center" vertical="center"/>
      <protection locked="0"/>
    </xf>
    <xf numFmtId="0" fontId="46" fillId="0" borderId="78" xfId="0" applyFont="1" applyBorder="1" applyAlignment="1" applyProtection="1">
      <alignment horizontal="center" vertical="center" wrapText="1"/>
      <protection locked="0"/>
    </xf>
    <xf numFmtId="164" fontId="46" fillId="0" borderId="71" xfId="0" quotePrefix="1" applyNumberFormat="1" applyFont="1" applyBorder="1" applyAlignment="1" applyProtection="1">
      <alignment horizontal="center" vertical="center"/>
      <protection locked="0"/>
    </xf>
    <xf numFmtId="1" fontId="46" fillId="0" borderId="66" xfId="0" quotePrefix="1" applyNumberFormat="1" applyFont="1" applyBorder="1" applyAlignment="1" applyProtection="1">
      <alignment horizontal="left" vertical="center"/>
      <protection locked="0"/>
    </xf>
    <xf numFmtId="0" fontId="97" fillId="0" borderId="12" xfId="0" applyFont="1" applyBorder="1" applyAlignment="1" applyProtection="1">
      <alignment horizontal="center" vertical="center"/>
      <protection locked="0"/>
    </xf>
    <xf numFmtId="1" fontId="46" fillId="0" borderId="66" xfId="0" quotePrefix="1" applyNumberFormat="1" applyFont="1" applyBorder="1" applyAlignment="1" applyProtection="1">
      <alignment horizontal="center" vertical="center"/>
      <protection locked="0"/>
    </xf>
    <xf numFmtId="0" fontId="46" fillId="0" borderId="0" xfId="0" applyFont="1" applyAlignment="1" applyProtection="1">
      <alignment horizontal="left" vertical="center" wrapText="1"/>
      <protection locked="0"/>
    </xf>
    <xf numFmtId="4" fontId="96" fillId="0" borderId="12" xfId="0" applyNumberFormat="1" applyFont="1" applyBorder="1" applyAlignment="1" applyProtection="1">
      <alignment horizontal="center" vertical="center"/>
      <protection locked="0"/>
    </xf>
    <xf numFmtId="0" fontId="96" fillId="0" borderId="15" xfId="0" applyFont="1" applyBorder="1" applyAlignment="1" applyProtection="1">
      <alignment horizontal="center" vertical="center" wrapText="1"/>
      <protection locked="0"/>
    </xf>
    <xf numFmtId="0" fontId="96" fillId="0" borderId="0" xfId="0" applyFont="1" applyAlignment="1" applyProtection="1">
      <alignment horizontal="left" vertical="center" wrapText="1"/>
      <protection locked="0"/>
    </xf>
    <xf numFmtId="1" fontId="96" fillId="0" borderId="12" xfId="0" applyNumberFormat="1" applyFont="1" applyBorder="1" applyAlignment="1" applyProtection="1">
      <alignment horizontal="left" vertical="center"/>
      <protection locked="0"/>
    </xf>
    <xf numFmtId="1" fontId="46" fillId="0" borderId="12" xfId="0" applyNumberFormat="1" applyFont="1" applyBorder="1" applyAlignment="1" applyProtection="1">
      <alignment horizontal="center" vertical="center"/>
      <protection locked="0"/>
    </xf>
    <xf numFmtId="1" fontId="96" fillId="0" borderId="12" xfId="0" applyNumberFormat="1" applyFont="1" applyBorder="1" applyAlignment="1" applyProtection="1">
      <alignment horizontal="left" vertical="center" wrapText="1"/>
      <protection locked="0"/>
    </xf>
    <xf numFmtId="1" fontId="46" fillId="0" borderId="12" xfId="0" applyNumberFormat="1" applyFont="1" applyBorder="1" applyAlignment="1" applyProtection="1">
      <alignment horizontal="left" vertical="center"/>
      <protection locked="0"/>
    </xf>
    <xf numFmtId="0" fontId="46" fillId="0" borderId="19" xfId="0" applyFont="1" applyBorder="1" applyAlignment="1" applyProtection="1">
      <alignment horizontal="left" vertical="center" wrapText="1"/>
      <protection locked="0"/>
    </xf>
    <xf numFmtId="0" fontId="57" fillId="0" borderId="68" xfId="0" applyFont="1" applyBorder="1" applyAlignment="1" applyProtection="1">
      <alignment horizontal="center" vertical="center"/>
      <protection locked="0"/>
    </xf>
    <xf numFmtId="2" fontId="57" fillId="0" borderId="18" xfId="0" applyNumberFormat="1" applyFont="1" applyBorder="1" applyAlignment="1" applyProtection="1">
      <alignment horizontal="center" vertical="center"/>
      <protection locked="0"/>
    </xf>
    <xf numFmtId="2" fontId="46" fillId="0" borderId="68" xfId="0" applyNumberFormat="1" applyFont="1" applyBorder="1" applyAlignment="1" applyProtection="1">
      <alignment horizontal="center" vertical="center"/>
      <protection locked="0"/>
    </xf>
    <xf numFmtId="9" fontId="46" fillId="0" borderId="19" xfId="0" applyNumberFormat="1" applyFont="1" applyBorder="1" applyAlignment="1" applyProtection="1">
      <alignment horizontal="center" vertical="center" wrapText="1"/>
      <protection locked="0"/>
    </xf>
    <xf numFmtId="1" fontId="46" fillId="0" borderId="18" xfId="0" applyNumberFormat="1" applyFont="1" applyBorder="1" applyAlignment="1" applyProtection="1">
      <alignment horizontal="left" vertical="center"/>
      <protection locked="0"/>
    </xf>
    <xf numFmtId="1" fontId="46" fillId="0" borderId="18" xfId="0" applyNumberFormat="1" applyFont="1" applyBorder="1" applyAlignment="1" applyProtection="1">
      <alignment horizontal="center" vertical="center"/>
      <protection locked="0"/>
    </xf>
    <xf numFmtId="0" fontId="96" fillId="0" borderId="18" xfId="0" applyFont="1" applyBorder="1" applyAlignment="1" applyProtection="1">
      <alignment horizontal="center" vertical="center" wrapText="1"/>
      <protection locked="0"/>
    </xf>
    <xf numFmtId="1" fontId="46" fillId="0" borderId="10" xfId="0" quotePrefix="1" applyNumberFormat="1" applyFont="1" applyBorder="1" applyAlignment="1" applyProtection="1">
      <alignment horizontal="center" vertical="center"/>
      <protection locked="0"/>
    </xf>
    <xf numFmtId="1" fontId="46" fillId="0" borderId="20" xfId="0" quotePrefix="1" applyNumberFormat="1" applyFont="1" applyBorder="1" applyAlignment="1" applyProtection="1">
      <alignment horizontal="center" vertical="center"/>
      <protection locked="0"/>
    </xf>
    <xf numFmtId="2" fontId="57" fillId="0" borderId="68" xfId="0" applyNumberFormat="1" applyFont="1" applyBorder="1" applyAlignment="1" applyProtection="1">
      <alignment horizontal="center" vertical="center"/>
      <protection locked="0"/>
    </xf>
    <xf numFmtId="2" fontId="46" fillId="0" borderId="10" xfId="0" applyNumberFormat="1" applyFont="1" applyBorder="1" applyAlignment="1" applyProtection="1">
      <alignment horizontal="center" vertical="center"/>
      <protection locked="0"/>
    </xf>
    <xf numFmtId="0" fontId="46" fillId="0" borderId="18" xfId="0" applyFont="1" applyBorder="1" applyAlignment="1" applyProtection="1">
      <alignment horizontal="center" vertical="center" wrapText="1"/>
      <protection locked="0"/>
    </xf>
    <xf numFmtId="1" fontId="96" fillId="0" borderId="12" xfId="0" applyNumberFormat="1" applyFont="1" applyBorder="1" applyAlignment="1" applyProtection="1">
      <alignment horizontal="center" vertical="center"/>
      <protection locked="0"/>
    </xf>
    <xf numFmtId="2" fontId="57" fillId="0" borderId="21" xfId="0" applyNumberFormat="1" applyFont="1" applyBorder="1" applyAlignment="1" applyProtection="1">
      <alignment horizontal="center" vertical="center"/>
      <protection locked="0"/>
    </xf>
    <xf numFmtId="3" fontId="57" fillId="0" borderId="12" xfId="0" applyNumberFormat="1" applyFont="1" applyBorder="1" applyAlignment="1" applyProtection="1">
      <alignment horizontal="center" vertical="center"/>
      <protection locked="0"/>
    </xf>
    <xf numFmtId="0" fontId="96" fillId="0" borderId="64" xfId="0" applyFont="1" applyBorder="1" applyAlignment="1" applyProtection="1">
      <alignment horizontal="center" vertical="center" wrapText="1"/>
      <protection locked="0"/>
    </xf>
    <xf numFmtId="1" fontId="57" fillId="0" borderId="68" xfId="0" applyNumberFormat="1" applyFont="1" applyBorder="1" applyAlignment="1" applyProtection="1">
      <alignment horizontal="center" vertical="center"/>
      <protection locked="0"/>
    </xf>
    <xf numFmtId="1" fontId="46" fillId="0" borderId="18" xfId="0" applyNumberFormat="1" applyFont="1" applyBorder="1" applyAlignment="1" applyProtection="1">
      <alignment horizontal="center" vertical="center" wrapText="1"/>
      <protection locked="0"/>
    </xf>
    <xf numFmtId="9" fontId="46" fillId="0" borderId="68" xfId="0" applyNumberFormat="1" applyFont="1" applyBorder="1" applyAlignment="1" applyProtection="1">
      <alignment horizontal="center" vertical="center"/>
      <protection locked="0"/>
    </xf>
    <xf numFmtId="2" fontId="46" fillId="0" borderId="14" xfId="0" applyNumberFormat="1" applyFont="1" applyBorder="1" applyAlignment="1" applyProtection="1">
      <alignment horizontal="center" vertical="center"/>
      <protection locked="0"/>
    </xf>
    <xf numFmtId="1" fontId="96" fillId="0" borderId="12" xfId="0" applyNumberFormat="1" applyFont="1" applyBorder="1" applyAlignment="1" applyProtection="1">
      <alignment horizontal="center" vertical="center" wrapText="1"/>
      <protection locked="0"/>
    </xf>
    <xf numFmtId="0" fontId="46" fillId="0" borderId="21" xfId="0" applyFont="1" applyBorder="1" applyAlignment="1" applyProtection="1">
      <alignment horizontal="center" vertical="center"/>
      <protection locked="0"/>
    </xf>
    <xf numFmtId="1" fontId="46" fillId="0" borderId="12" xfId="0" applyNumberFormat="1" applyFont="1" applyBorder="1" applyAlignment="1" applyProtection="1">
      <alignment vertical="center"/>
      <protection locked="0"/>
    </xf>
    <xf numFmtId="0" fontId="46" fillId="0" borderId="18" xfId="0" applyFont="1" applyBorder="1" applyAlignment="1" applyProtection="1">
      <alignment vertical="center" wrapText="1"/>
      <protection locked="0"/>
    </xf>
    <xf numFmtId="1" fontId="46" fillId="0" borderId="12" xfId="0" applyNumberFormat="1" applyFont="1" applyBorder="1" applyAlignment="1" applyProtection="1">
      <alignment vertical="center" wrapText="1"/>
      <protection locked="0"/>
    </xf>
    <xf numFmtId="9" fontId="46" fillId="0" borderId="14" xfId="0" applyNumberFormat="1" applyFont="1" applyBorder="1" applyAlignment="1" applyProtection="1">
      <alignment horizontal="center" vertical="center"/>
      <protection locked="0"/>
    </xf>
    <xf numFmtId="0" fontId="46" fillId="0" borderId="17" xfId="0" applyFont="1" applyBorder="1" applyAlignment="1" applyProtection="1">
      <alignment vertical="center" wrapText="1"/>
      <protection locked="0"/>
    </xf>
    <xf numFmtId="2" fontId="46" fillId="0" borderId="12" xfId="0" applyNumberFormat="1" applyFont="1" applyBorder="1" applyAlignment="1">
      <alignment horizontal="center" vertical="center"/>
    </xf>
    <xf numFmtId="2" fontId="96" fillId="0" borderId="12" xfId="0" applyNumberFormat="1" applyFont="1" applyBorder="1" applyAlignment="1">
      <alignment horizontal="center" vertical="center"/>
    </xf>
    <xf numFmtId="2" fontId="46" fillId="0" borderId="68" xfId="0" applyNumberFormat="1" applyFont="1" applyBorder="1" applyAlignment="1">
      <alignment horizontal="center" vertical="center"/>
    </xf>
    <xf numFmtId="1" fontId="46" fillId="0" borderId="68" xfId="0" applyNumberFormat="1" applyFont="1" applyBorder="1" applyAlignment="1">
      <alignment horizontal="center" vertical="center"/>
    </xf>
    <xf numFmtId="0" fontId="46" fillId="26" borderId="110" xfId="0" applyFont="1" applyFill="1" applyBorder="1" applyAlignment="1">
      <alignment horizontal="center" vertical="center" wrapText="1"/>
    </xf>
    <xf numFmtId="0" fontId="15" fillId="26" borderId="0" xfId="42" applyFont="1" applyFill="1" applyAlignment="1" applyProtection="1">
      <alignment vertical="center" wrapText="1"/>
      <protection locked="0"/>
    </xf>
    <xf numFmtId="0" fontId="45" fillId="26" borderId="93" xfId="0" applyFont="1" applyFill="1" applyBorder="1" applyAlignment="1" applyProtection="1">
      <alignment horizontal="center" vertical="center" wrapText="1"/>
      <protection locked="0"/>
    </xf>
    <xf numFmtId="3" fontId="45" fillId="26" borderId="44" xfId="0" applyNumberFormat="1" applyFont="1" applyFill="1" applyBorder="1" applyAlignment="1">
      <alignment horizontal="center" vertical="center"/>
    </xf>
    <xf numFmtId="1" fontId="45" fillId="26" borderId="44" xfId="0" applyNumberFormat="1" applyFont="1" applyFill="1" applyBorder="1" applyAlignment="1">
      <alignment horizontal="center" vertical="center"/>
    </xf>
    <xf numFmtId="0" fontId="45" fillId="26" borderId="44" xfId="0" applyFont="1" applyFill="1" applyBorder="1" applyAlignment="1" applyProtection="1">
      <alignment horizontal="center" vertical="center" wrapText="1"/>
      <protection locked="0"/>
    </xf>
    <xf numFmtId="0" fontId="96" fillId="26" borderId="45" xfId="0" applyFont="1" applyFill="1" applyBorder="1" applyAlignment="1" applyProtection="1">
      <alignment horizontal="center" vertical="center" wrapText="1"/>
      <protection locked="0"/>
    </xf>
    <xf numFmtId="2" fontId="46" fillId="26" borderId="19" xfId="0" applyNumberFormat="1" applyFont="1" applyFill="1" applyBorder="1" applyAlignment="1" applyProtection="1">
      <alignment horizontal="center" vertical="center"/>
      <protection locked="0"/>
    </xf>
    <xf numFmtId="0" fontId="46" fillId="26" borderId="66" xfId="0" applyFont="1" applyFill="1" applyBorder="1" applyAlignment="1" applyProtection="1">
      <alignment horizontal="center" vertical="center"/>
      <protection locked="0"/>
    </xf>
    <xf numFmtId="2" fontId="46" fillId="26" borderId="66" xfId="0" applyNumberFormat="1" applyFont="1" applyFill="1" applyBorder="1" applyAlignment="1" applyProtection="1">
      <alignment horizontal="center" vertical="center"/>
      <protection locked="0"/>
    </xf>
    <xf numFmtId="0" fontId="45" fillId="26" borderId="12" xfId="0" applyFont="1" applyFill="1" applyBorder="1" applyAlignment="1" applyProtection="1">
      <alignment horizontal="center" vertical="center" wrapText="1"/>
      <protection locked="0"/>
    </xf>
    <xf numFmtId="1" fontId="45" fillId="26" borderId="12" xfId="0" applyNumberFormat="1" applyFont="1" applyFill="1" applyBorder="1" applyAlignment="1">
      <alignment horizontal="center" vertical="center"/>
    </xf>
    <xf numFmtId="3" fontId="45" fillId="26" borderId="12" xfId="0" applyNumberFormat="1" applyFont="1" applyFill="1" applyBorder="1" applyAlignment="1">
      <alignment horizontal="center" vertical="center"/>
    </xf>
    <xf numFmtId="0" fontId="96" fillId="26" borderId="15" xfId="0" applyFont="1" applyFill="1" applyBorder="1" applyAlignment="1" applyProtection="1">
      <alignment horizontal="center" vertical="center" wrapText="1"/>
      <protection locked="0"/>
    </xf>
    <xf numFmtId="2" fontId="45" fillId="26" borderId="83" xfId="0" applyNumberFormat="1" applyFont="1" applyFill="1" applyBorder="1" applyAlignment="1" applyProtection="1">
      <alignment horizontal="centerContinuous" vertical="center" wrapText="1"/>
      <protection locked="0"/>
    </xf>
    <xf numFmtId="0" fontId="45" fillId="26" borderId="75" xfId="0" applyFont="1" applyFill="1" applyBorder="1" applyAlignment="1" applyProtection="1">
      <alignment horizontal="centerContinuous" vertical="center"/>
      <protection locked="0"/>
    </xf>
    <xf numFmtId="0" fontId="45" fillId="26" borderId="75" xfId="0" applyFont="1" applyFill="1" applyBorder="1" applyAlignment="1" applyProtection="1">
      <alignment horizontal="center" vertical="center" wrapText="1"/>
      <protection locked="0"/>
    </xf>
    <xf numFmtId="0" fontId="45" fillId="26" borderId="85" xfId="0" applyFont="1" applyFill="1" applyBorder="1" applyAlignment="1" applyProtection="1">
      <alignment horizontal="center" vertical="center" wrapText="1"/>
      <protection locked="0"/>
    </xf>
    <xf numFmtId="0" fontId="45" fillId="26" borderId="86" xfId="0" applyFont="1" applyFill="1" applyBorder="1" applyAlignment="1" applyProtection="1">
      <alignment horizontal="center" vertical="center" wrapText="1"/>
      <protection locked="0"/>
    </xf>
    <xf numFmtId="0" fontId="45" fillId="26" borderId="76" xfId="0" applyFont="1" applyFill="1" applyBorder="1" applyAlignment="1" applyProtection="1">
      <alignment horizontal="center" vertical="center" wrapText="1"/>
      <protection locked="0"/>
    </xf>
    <xf numFmtId="0" fontId="46" fillId="0" borderId="21" xfId="0" applyFont="1" applyBorder="1" applyAlignment="1" applyProtection="1">
      <alignment vertical="center"/>
      <protection locked="0"/>
    </xf>
    <xf numFmtId="0" fontId="83" fillId="0" borderId="0" xfId="0" applyFont="1" applyAlignment="1" applyProtection="1">
      <alignment horizontal="center" vertical="center"/>
      <protection locked="0"/>
    </xf>
    <xf numFmtId="0" fontId="45" fillId="18" borderId="67" xfId="0" applyFont="1" applyFill="1" applyBorder="1" applyAlignment="1" applyProtection="1">
      <alignment horizontal="centerContinuous" vertical="center" wrapText="1"/>
      <protection locked="0"/>
    </xf>
    <xf numFmtId="0" fontId="45" fillId="18" borderId="18" xfId="0" applyFont="1" applyFill="1" applyBorder="1" applyAlignment="1" applyProtection="1">
      <alignment horizontal="centerContinuous" vertical="center"/>
      <protection locked="0"/>
    </xf>
    <xf numFmtId="0" fontId="45" fillId="18" borderId="18" xfId="0" applyFont="1" applyFill="1" applyBorder="1" applyAlignment="1" applyProtection="1">
      <alignment horizontal="center" vertical="center" wrapText="1"/>
      <protection locked="0"/>
    </xf>
    <xf numFmtId="0" fontId="45" fillId="18" borderId="68" xfId="0" applyFont="1" applyFill="1" applyBorder="1" applyAlignment="1" applyProtection="1">
      <alignment horizontal="center" vertical="center" wrapText="1"/>
      <protection locked="0"/>
    </xf>
    <xf numFmtId="0" fontId="45" fillId="18" borderId="0" xfId="0" applyFont="1" applyFill="1" applyAlignment="1" applyProtection="1">
      <alignment horizontal="center" vertical="center" wrapText="1"/>
      <protection locked="0"/>
    </xf>
    <xf numFmtId="0" fontId="45" fillId="18" borderId="64" xfId="0" applyFont="1" applyFill="1" applyBorder="1" applyAlignment="1" applyProtection="1">
      <alignment horizontal="center" vertical="center"/>
      <protection locked="0"/>
    </xf>
    <xf numFmtId="0" fontId="96" fillId="0" borderId="16" xfId="0" applyFont="1" applyBorder="1" applyAlignment="1" applyProtection="1">
      <alignment horizontal="center" vertical="center" wrapText="1"/>
      <protection locked="0"/>
    </xf>
    <xf numFmtId="0" fontId="106" fillId="0" borderId="12" xfId="0" applyFont="1" applyBorder="1" applyAlignment="1" applyProtection="1">
      <alignment vertical="center" wrapText="1"/>
      <protection locked="0"/>
    </xf>
    <xf numFmtId="0" fontId="46" fillId="0" borderId="17" xfId="0" applyFont="1" applyBorder="1" applyAlignment="1" applyProtection="1">
      <alignment horizontal="center" vertical="center" wrapText="1"/>
      <protection locked="0"/>
    </xf>
    <xf numFmtId="2" fontId="46" fillId="0" borderId="10" xfId="0" quotePrefix="1" applyNumberFormat="1" applyFont="1" applyBorder="1" applyAlignment="1" applyProtection="1">
      <alignment horizontal="center" vertical="center"/>
      <protection locked="0"/>
    </xf>
    <xf numFmtId="2" fontId="46" fillId="0" borderId="81" xfId="0" quotePrefix="1" applyNumberFormat="1" applyFont="1" applyBorder="1" applyAlignment="1" applyProtection="1">
      <alignment horizontal="center" vertical="center"/>
      <protection locked="0"/>
    </xf>
    <xf numFmtId="0" fontId="96" fillId="0" borderId="17" xfId="0" applyFont="1" applyBorder="1" applyAlignment="1" applyProtection="1">
      <alignment horizontal="center" vertical="center" wrapText="1"/>
      <protection locked="0"/>
    </xf>
    <xf numFmtId="164" fontId="96" fillId="0" borderId="69" xfId="0" applyNumberFormat="1" applyFont="1" applyBorder="1" applyAlignment="1" applyProtection="1">
      <alignment horizontal="center" vertical="center"/>
      <protection locked="0"/>
    </xf>
    <xf numFmtId="2" fontId="96" fillId="0" borderId="10" xfId="0" applyNumberFormat="1" applyFont="1" applyBorder="1" applyAlignment="1" applyProtection="1">
      <alignment horizontal="center" vertical="center"/>
      <protection locked="0"/>
    </xf>
    <xf numFmtId="2" fontId="96" fillId="0" borderId="81" xfId="0" applyNumberFormat="1" applyFont="1" applyBorder="1" applyAlignment="1" applyProtection="1">
      <alignment horizontal="center" vertical="center"/>
      <protection locked="0"/>
    </xf>
    <xf numFmtId="0" fontId="96" fillId="0" borderId="18" xfId="0" applyFont="1" applyBorder="1" applyAlignment="1" applyProtection="1">
      <alignment horizontal="left" vertical="center" wrapText="1"/>
      <protection locked="0"/>
    </xf>
    <xf numFmtId="2" fontId="96" fillId="0" borderId="0" xfId="0" quotePrefix="1" applyNumberFormat="1" applyFont="1" applyAlignment="1" applyProtection="1">
      <alignment horizontal="center" vertical="center"/>
      <protection locked="0"/>
    </xf>
    <xf numFmtId="2" fontId="96" fillId="0" borderId="82" xfId="0" quotePrefix="1" applyNumberFormat="1" applyFont="1" applyBorder="1" applyAlignment="1" applyProtection="1">
      <alignment horizontal="center" vertical="center"/>
      <protection locked="0"/>
    </xf>
    <xf numFmtId="0" fontId="96" fillId="0" borderId="12" xfId="0" applyFont="1" applyBorder="1" applyAlignment="1" applyProtection="1">
      <alignment vertical="center" wrapText="1"/>
      <protection locked="0"/>
    </xf>
    <xf numFmtId="164" fontId="106" fillId="0" borderId="13" xfId="0" quotePrefix="1" applyNumberFormat="1" applyFont="1" applyBorder="1" applyAlignment="1" applyProtection="1">
      <alignment horizontal="center" vertical="center"/>
      <protection locked="0"/>
    </xf>
    <xf numFmtId="2" fontId="106" fillId="0" borderId="0" xfId="0" quotePrefix="1" applyNumberFormat="1" applyFont="1" applyAlignment="1" applyProtection="1">
      <alignment horizontal="center" vertical="center"/>
      <protection locked="0"/>
    </xf>
    <xf numFmtId="2" fontId="106" fillId="0" borderId="82" xfId="0" quotePrefix="1" applyNumberFormat="1" applyFont="1" applyBorder="1" applyAlignment="1" applyProtection="1">
      <alignment horizontal="center" vertical="center"/>
      <protection locked="0"/>
    </xf>
    <xf numFmtId="164" fontId="96" fillId="0" borderId="13" xfId="0" quotePrefix="1" applyNumberFormat="1" applyFont="1" applyBorder="1" applyAlignment="1" applyProtection="1">
      <alignment horizontal="center" vertical="center"/>
      <protection locked="0"/>
    </xf>
    <xf numFmtId="0" fontId="96" fillId="0" borderId="10" xfId="0" applyFont="1" applyBorder="1" applyAlignment="1" applyProtection="1">
      <alignment horizontal="center" vertical="center"/>
      <protection locked="0"/>
    </xf>
    <xf numFmtId="0" fontId="96" fillId="0" borderId="0" xfId="0" applyFont="1" applyAlignment="1" applyProtection="1">
      <alignment horizontal="center" vertical="center" wrapText="1"/>
      <protection locked="0"/>
    </xf>
    <xf numFmtId="0" fontId="96" fillId="0" borderId="77" xfId="0" applyFont="1" applyBorder="1" applyAlignment="1" applyProtection="1">
      <alignment horizontal="center" vertical="center"/>
      <protection locked="0"/>
    </xf>
    <xf numFmtId="2" fontId="96" fillId="0" borderId="10" xfId="0" quotePrefix="1" applyNumberFormat="1" applyFont="1" applyBorder="1" applyAlignment="1" applyProtection="1">
      <alignment horizontal="center" vertical="center"/>
      <protection locked="0"/>
    </xf>
    <xf numFmtId="2" fontId="96" fillId="0" borderId="81" xfId="0" quotePrefix="1" applyNumberFormat="1" applyFont="1" applyBorder="1" applyAlignment="1" applyProtection="1">
      <alignment horizontal="center" vertical="center"/>
      <protection locked="0"/>
    </xf>
    <xf numFmtId="0" fontId="96" fillId="0" borderId="18" xfId="0" applyFont="1" applyBorder="1" applyAlignment="1" applyProtection="1">
      <alignment horizontal="center" vertical="center"/>
      <protection locked="0"/>
    </xf>
    <xf numFmtId="0" fontId="96" fillId="0" borderId="0" xfId="0" applyFont="1" applyAlignment="1" applyProtection="1">
      <alignment horizontal="center" vertical="center"/>
      <protection locked="0"/>
    </xf>
    <xf numFmtId="1" fontId="96" fillId="0" borderId="12" xfId="0" applyNumberFormat="1" applyFont="1" applyBorder="1" applyAlignment="1" applyProtection="1">
      <alignment vertical="center"/>
      <protection locked="0"/>
    </xf>
    <xf numFmtId="2" fontId="96" fillId="0" borderId="0" xfId="0" applyNumberFormat="1" applyFont="1" applyAlignment="1" applyProtection="1">
      <alignment horizontal="center" vertical="center"/>
      <protection locked="0"/>
    </xf>
    <xf numFmtId="2" fontId="96" fillId="0" borderId="82" xfId="0" applyNumberFormat="1" applyFont="1" applyBorder="1" applyAlignment="1" applyProtection="1">
      <alignment horizontal="center" vertical="center"/>
      <protection locked="0"/>
    </xf>
    <xf numFmtId="0" fontId="96" fillId="0" borderId="0" xfId="0" applyFont="1" applyAlignment="1" applyProtection="1">
      <alignment vertical="center" wrapText="1"/>
      <protection locked="0"/>
    </xf>
    <xf numFmtId="1" fontId="96" fillId="0" borderId="0" xfId="0" applyNumberFormat="1" applyFont="1" applyAlignment="1" applyProtection="1">
      <alignment horizontal="center" vertical="center"/>
      <protection locked="0"/>
    </xf>
    <xf numFmtId="0" fontId="96" fillId="0" borderId="66" xfId="0" applyFont="1" applyBorder="1" applyAlignment="1" applyProtection="1">
      <alignment vertical="center" wrapText="1"/>
      <protection locked="0"/>
    </xf>
    <xf numFmtId="0" fontId="96" fillId="0" borderId="66" xfId="0" applyFont="1" applyBorder="1" applyAlignment="1" applyProtection="1">
      <alignment horizontal="center" vertical="center"/>
      <protection locked="0"/>
    </xf>
    <xf numFmtId="0" fontId="96" fillId="0" borderId="66" xfId="0" applyFont="1" applyBorder="1" applyAlignment="1" applyProtection="1">
      <alignment horizontal="center" vertical="center" wrapText="1"/>
      <protection locked="0"/>
    </xf>
    <xf numFmtId="1" fontId="96" fillId="0" borderId="18" xfId="0" applyNumberFormat="1" applyFont="1" applyBorder="1" applyAlignment="1" applyProtection="1">
      <alignment vertical="center"/>
      <protection locked="0"/>
    </xf>
    <xf numFmtId="2" fontId="96" fillId="0" borderId="69" xfId="0" quotePrefix="1" applyNumberFormat="1" applyFont="1" applyBorder="1" applyAlignment="1" applyProtection="1">
      <alignment horizontal="center" vertical="center"/>
      <protection locked="0"/>
    </xf>
    <xf numFmtId="1" fontId="96" fillId="0" borderId="10" xfId="0" applyNumberFormat="1" applyFont="1" applyBorder="1" applyAlignment="1" applyProtection="1">
      <alignment vertical="center"/>
      <protection locked="0"/>
    </xf>
    <xf numFmtId="1" fontId="96" fillId="0" borderId="12" xfId="0" applyNumberFormat="1" applyFont="1" applyBorder="1" applyAlignment="1" applyProtection="1">
      <alignment vertical="center" wrapText="1"/>
      <protection locked="0"/>
    </xf>
    <xf numFmtId="2" fontId="96" fillId="0" borderId="66" xfId="0" quotePrefix="1" applyNumberFormat="1" applyFont="1" applyBorder="1" applyAlignment="1" applyProtection="1">
      <alignment horizontal="center" vertical="center"/>
      <protection locked="0"/>
    </xf>
    <xf numFmtId="2" fontId="96" fillId="0" borderId="80" xfId="0" quotePrefix="1" applyNumberFormat="1" applyFont="1" applyBorder="1" applyAlignment="1" applyProtection="1">
      <alignment horizontal="center" vertical="center"/>
      <protection locked="0"/>
    </xf>
    <xf numFmtId="0" fontId="96" fillId="0" borderId="18" xfId="0" applyFont="1" applyBorder="1" applyAlignment="1" applyProtection="1">
      <alignment vertical="center" wrapText="1"/>
      <protection locked="0"/>
    </xf>
    <xf numFmtId="1" fontId="96" fillId="0" borderId="18" xfId="0" applyNumberFormat="1" applyFont="1" applyBorder="1" applyAlignment="1" applyProtection="1">
      <alignment horizontal="center" vertical="center"/>
      <protection locked="0"/>
    </xf>
    <xf numFmtId="9" fontId="96" fillId="0" borderId="18" xfId="0" applyNumberFormat="1" applyFont="1" applyBorder="1" applyAlignment="1" applyProtection="1">
      <alignment horizontal="center" vertical="center"/>
      <protection locked="0"/>
    </xf>
    <xf numFmtId="9" fontId="96" fillId="0" borderId="68" xfId="0" applyNumberFormat="1" applyFont="1" applyBorder="1" applyAlignment="1" applyProtection="1">
      <alignment horizontal="center" vertical="center"/>
      <protection locked="0"/>
    </xf>
    <xf numFmtId="0" fontId="15" fillId="26" borderId="91" xfId="0" applyFont="1" applyFill="1" applyBorder="1" applyAlignment="1" applyProtection="1">
      <alignment horizontal="center" vertical="center" wrapText="1"/>
      <protection locked="0"/>
    </xf>
    <xf numFmtId="2" fontId="31" fillId="26" borderId="87" xfId="0" applyNumberFormat="1" applyFont="1" applyFill="1" applyBorder="1" applyAlignment="1" applyProtection="1">
      <alignment horizontal="right" vertical="center"/>
      <protection locked="0"/>
    </xf>
    <xf numFmtId="0" fontId="31" fillId="26" borderId="44" xfId="0" applyFont="1" applyFill="1" applyBorder="1" applyAlignment="1" applyProtection="1">
      <alignment horizontal="center" vertical="center" wrapText="1"/>
      <protection locked="0"/>
    </xf>
    <xf numFmtId="0" fontId="46" fillId="0" borderId="15" xfId="0" applyFont="1" applyBorder="1" applyAlignment="1" applyProtection="1">
      <alignment horizontal="left" vertical="center" wrapText="1"/>
      <protection locked="0"/>
    </xf>
    <xf numFmtId="0" fontId="106" fillId="0" borderId="12" xfId="0" applyFont="1" applyBorder="1" applyAlignment="1" applyProtection="1">
      <alignment horizontal="center" vertical="center"/>
      <protection locked="0"/>
    </xf>
    <xf numFmtId="2" fontId="96" fillId="0" borderId="12" xfId="0" applyNumberFormat="1" applyFont="1" applyBorder="1" applyAlignment="1" applyProtection="1">
      <alignment horizontal="center" vertical="center"/>
      <protection locked="0"/>
    </xf>
    <xf numFmtId="0" fontId="96" fillId="0" borderId="64" xfId="0" applyFont="1" applyBorder="1" applyAlignment="1" applyProtection="1">
      <alignment horizontal="left" vertical="center" wrapText="1"/>
      <protection locked="0"/>
    </xf>
    <xf numFmtId="0" fontId="57" fillId="0" borderId="0" xfId="0" applyFont="1" applyAlignment="1" applyProtection="1">
      <alignment horizontal="center" vertical="center"/>
      <protection locked="0"/>
    </xf>
    <xf numFmtId="2" fontId="57" fillId="0" borderId="0" xfId="0" applyNumberFormat="1" applyFont="1" applyAlignment="1" applyProtection="1">
      <alignment horizontal="center" vertical="center"/>
      <protection locked="0"/>
    </xf>
    <xf numFmtId="0" fontId="96" fillId="0" borderId="82" xfId="0" applyFont="1" applyBorder="1" applyAlignment="1" applyProtection="1">
      <alignment horizontal="left" vertical="center" wrapText="1"/>
      <protection locked="0"/>
    </xf>
    <xf numFmtId="0" fontId="96" fillId="0" borderId="21" xfId="0" applyFont="1" applyBorder="1" applyAlignment="1" applyProtection="1">
      <alignment horizontal="left" vertical="center" wrapText="1"/>
      <protection locked="0"/>
    </xf>
    <xf numFmtId="2" fontId="57" fillId="21" borderId="0" xfId="0" applyNumberFormat="1" applyFont="1" applyFill="1" applyAlignment="1" applyProtection="1">
      <alignment horizontal="center" vertical="center"/>
      <protection locked="0"/>
    </xf>
    <xf numFmtId="0" fontId="57" fillId="0" borderId="66" xfId="0" applyFont="1" applyBorder="1" applyAlignment="1" applyProtection="1">
      <alignment horizontal="center" vertical="center"/>
      <protection locked="0"/>
    </xf>
    <xf numFmtId="2" fontId="96" fillId="0" borderId="66" xfId="0" applyNumberFormat="1" applyFont="1" applyBorder="1" applyAlignment="1" applyProtection="1">
      <alignment horizontal="center" vertical="center"/>
      <protection locked="0"/>
    </xf>
    <xf numFmtId="0" fontId="96" fillId="0" borderId="80" xfId="0" applyFont="1" applyBorder="1" applyAlignment="1" applyProtection="1">
      <alignment horizontal="left" vertical="center" wrapText="1"/>
      <protection locked="0"/>
    </xf>
    <xf numFmtId="2" fontId="96" fillId="0" borderId="18" xfId="0" applyNumberFormat="1" applyFont="1" applyBorder="1" applyAlignment="1" applyProtection="1">
      <alignment horizontal="center" vertical="center"/>
      <protection locked="0"/>
    </xf>
    <xf numFmtId="0" fontId="107" fillId="0" borderId="12" xfId="0" applyFont="1" applyBorder="1" applyAlignment="1" applyProtection="1">
      <alignment vertical="center"/>
      <protection locked="0"/>
    </xf>
    <xf numFmtId="0" fontId="107" fillId="0" borderId="15" xfId="0" applyFont="1" applyBorder="1" applyAlignment="1" applyProtection="1">
      <alignment vertical="center"/>
      <protection locked="0"/>
    </xf>
    <xf numFmtId="0" fontId="57" fillId="0" borderId="10" xfId="0" applyFont="1" applyBorder="1" applyAlignment="1" applyProtection="1">
      <alignment horizontal="center" vertical="center"/>
      <protection locked="0"/>
    </xf>
    <xf numFmtId="2" fontId="57" fillId="0" borderId="10" xfId="0" applyNumberFormat="1" applyFont="1" applyBorder="1" applyAlignment="1" applyProtection="1">
      <alignment horizontal="center" vertical="center"/>
      <protection locked="0"/>
    </xf>
    <xf numFmtId="0" fontId="107" fillId="0" borderId="10" xfId="0" applyFont="1" applyBorder="1" applyAlignment="1" applyProtection="1">
      <alignment vertical="center"/>
      <protection locked="0"/>
    </xf>
    <xf numFmtId="0" fontId="107" fillId="0" borderId="81" xfId="0" applyFont="1" applyBorder="1" applyAlignment="1" applyProtection="1">
      <alignment vertical="center"/>
      <protection locked="0"/>
    </xf>
    <xf numFmtId="2" fontId="107" fillId="0" borderId="12" xfId="0" applyNumberFormat="1" applyFont="1" applyBorder="1" applyAlignment="1" applyProtection="1">
      <alignment horizontal="center" vertical="center"/>
      <protection locked="0"/>
    </xf>
    <xf numFmtId="9" fontId="96" fillId="0" borderId="12" xfId="0" applyNumberFormat="1" applyFont="1" applyBorder="1" applyAlignment="1" applyProtection="1">
      <alignment horizontal="center" vertical="center"/>
      <protection locked="0"/>
    </xf>
    <xf numFmtId="0" fontId="107" fillId="21" borderId="15" xfId="0" applyFont="1" applyFill="1" applyBorder="1" applyAlignment="1" applyProtection="1">
      <alignment vertical="center"/>
      <protection locked="0"/>
    </xf>
    <xf numFmtId="0" fontId="96" fillId="0" borderId="15" xfId="0" applyFont="1" applyBorder="1" applyAlignment="1" applyProtection="1">
      <alignment vertical="center"/>
      <protection locked="0"/>
    </xf>
    <xf numFmtId="0" fontId="96" fillId="0" borderId="21" xfId="0" applyFont="1" applyBorder="1" applyAlignment="1" applyProtection="1">
      <alignment horizontal="center" vertical="center"/>
      <protection locked="0"/>
    </xf>
    <xf numFmtId="0" fontId="107" fillId="0" borderId="18" xfId="0" applyFont="1" applyBorder="1" applyAlignment="1" applyProtection="1">
      <alignment vertical="center"/>
      <protection locked="0"/>
    </xf>
    <xf numFmtId="0" fontId="96" fillId="0" borderId="64" xfId="0" applyFont="1" applyBorder="1" applyAlignment="1" applyProtection="1">
      <alignment vertical="center"/>
      <protection locked="0"/>
    </xf>
    <xf numFmtId="0" fontId="108" fillId="26" borderId="12" xfId="0" applyFont="1" applyFill="1" applyBorder="1" applyAlignment="1" applyProtection="1">
      <alignment vertical="center"/>
      <protection locked="0"/>
    </xf>
    <xf numFmtId="0" fontId="108" fillId="26" borderId="15" xfId="0" applyFont="1" applyFill="1" applyBorder="1" applyAlignment="1" applyProtection="1">
      <alignment vertical="center"/>
      <protection locked="0"/>
    </xf>
    <xf numFmtId="0" fontId="107" fillId="0" borderId="64" xfId="0" applyFont="1" applyBorder="1" applyAlignment="1" applyProtection="1">
      <alignment vertical="center"/>
      <protection locked="0"/>
    </xf>
    <xf numFmtId="0" fontId="31" fillId="26" borderId="45" xfId="0" applyFont="1" applyFill="1" applyBorder="1" applyAlignment="1" applyProtection="1">
      <alignment horizontal="left" vertical="center" wrapText="1"/>
      <protection locked="0"/>
    </xf>
    <xf numFmtId="0" fontId="103" fillId="0" borderId="129" xfId="0" quotePrefix="1" applyFont="1" applyBorder="1" applyAlignment="1" applyProtection="1">
      <alignment horizontal="center"/>
      <protection locked="0"/>
    </xf>
    <xf numFmtId="1" fontId="31" fillId="26" borderId="87" xfId="0" applyNumberFormat="1" applyFont="1" applyFill="1" applyBorder="1" applyAlignment="1">
      <alignment horizontal="center" vertical="center"/>
    </xf>
    <xf numFmtId="1" fontId="31" fillId="26" borderId="44" xfId="0" applyNumberFormat="1" applyFont="1" applyFill="1" applyBorder="1" applyAlignment="1">
      <alignment horizontal="center" vertical="center" wrapText="1"/>
    </xf>
    <xf numFmtId="1" fontId="96" fillId="0" borderId="18" xfId="0" applyNumberFormat="1" applyFont="1" applyBorder="1" applyAlignment="1">
      <alignment horizontal="center" vertical="center"/>
    </xf>
    <xf numFmtId="3" fontId="96" fillId="0" borderId="18" xfId="0" applyNumberFormat="1" applyFont="1" applyBorder="1" applyAlignment="1">
      <alignment horizontal="center" vertical="center"/>
    </xf>
    <xf numFmtId="1" fontId="31" fillId="26" borderId="12" xfId="0" applyNumberFormat="1" applyFont="1" applyFill="1" applyBorder="1" applyAlignment="1">
      <alignment horizontal="center" vertical="center"/>
    </xf>
    <xf numFmtId="1" fontId="88" fillId="0" borderId="0" xfId="0" applyNumberFormat="1" applyFont="1" applyAlignment="1">
      <alignment horizontal="right" vertical="center"/>
    </xf>
    <xf numFmtId="2" fontId="46" fillId="0" borderId="0" xfId="0" applyNumberFormat="1" applyFont="1" applyAlignment="1">
      <alignment horizontal="center" vertical="center"/>
    </xf>
    <xf numFmtId="0" fontId="96" fillId="0" borderId="37" xfId="0" applyFont="1" applyBorder="1" applyAlignment="1">
      <alignment horizontal="center" vertical="center" wrapText="1"/>
    </xf>
    <xf numFmtId="2" fontId="96" fillId="0" borderId="0" xfId="0" applyNumberFormat="1" applyFont="1" applyAlignment="1">
      <alignment horizontal="center" vertical="center"/>
    </xf>
    <xf numFmtId="2" fontId="96" fillId="0" borderId="0" xfId="0" quotePrefix="1" applyNumberFormat="1" applyFont="1" applyAlignment="1">
      <alignment horizontal="center" vertical="center"/>
    </xf>
    <xf numFmtId="2" fontId="46" fillId="0" borderId="66" xfId="0" applyNumberFormat="1" applyFont="1" applyBorder="1" applyAlignment="1">
      <alignment horizontal="center" vertical="center"/>
    </xf>
    <xf numFmtId="2" fontId="46" fillId="0" borderId="10" xfId="0" applyNumberFormat="1" applyFont="1" applyBorder="1" applyAlignment="1">
      <alignment horizontal="center" vertical="center"/>
    </xf>
    <xf numFmtId="2" fontId="96" fillId="0" borderId="66" xfId="0" quotePrefix="1" applyNumberFormat="1" applyFont="1" applyBorder="1" applyAlignment="1">
      <alignment horizontal="center" vertical="center"/>
    </xf>
    <xf numFmtId="3" fontId="31" fillId="26" borderId="12" xfId="0" applyNumberFormat="1" applyFont="1" applyFill="1" applyBorder="1" applyAlignment="1">
      <alignment horizontal="center" vertical="center"/>
    </xf>
    <xf numFmtId="2" fontId="96" fillId="0" borderId="10" xfId="0" quotePrefix="1" applyNumberFormat="1" applyFont="1" applyBorder="1" applyAlignment="1">
      <alignment horizontal="center" vertical="center"/>
    </xf>
    <xf numFmtId="3" fontId="96" fillId="0" borderId="10" xfId="0" quotePrefix="1" applyNumberFormat="1" applyFont="1" applyBorder="1" applyAlignment="1">
      <alignment horizontal="center" vertical="center"/>
    </xf>
    <xf numFmtId="2" fontId="106" fillId="0" borderId="0" xfId="0" quotePrefix="1" applyNumberFormat="1" applyFont="1" applyAlignment="1">
      <alignment horizontal="center" vertical="center"/>
    </xf>
    <xf numFmtId="2" fontId="96" fillId="0" borderId="10" xfId="0" applyNumberFormat="1" applyFont="1" applyBorder="1" applyAlignment="1">
      <alignment horizontal="center" vertical="center"/>
    </xf>
    <xf numFmtId="2" fontId="46" fillId="0" borderId="10" xfId="0" quotePrefix="1" applyNumberFormat="1" applyFont="1" applyBorder="1" applyAlignment="1">
      <alignment horizontal="center" vertical="center"/>
    </xf>
    <xf numFmtId="0" fontId="96" fillId="0" borderId="16" xfId="0" applyFont="1" applyBorder="1" applyAlignment="1" applyProtection="1">
      <alignment horizontal="center" vertical="center"/>
      <protection locked="0"/>
    </xf>
    <xf numFmtId="164" fontId="96" fillId="22" borderId="11" xfId="0" applyNumberFormat="1" applyFont="1" applyFill="1" applyBorder="1" applyAlignment="1" applyProtection="1">
      <alignment horizontal="center" vertical="center" wrapText="1"/>
      <protection locked="0"/>
    </xf>
    <xf numFmtId="0" fontId="57" fillId="22" borderId="12" xfId="0" applyFont="1" applyFill="1" applyBorder="1" applyAlignment="1" applyProtection="1">
      <alignment vertical="center"/>
      <protection locked="0"/>
    </xf>
    <xf numFmtId="2" fontId="46" fillId="20" borderId="12" xfId="0" applyNumberFormat="1" applyFont="1" applyFill="1" applyBorder="1" applyAlignment="1" applyProtection="1">
      <alignment horizontal="center" vertical="center"/>
      <protection locked="0"/>
    </xf>
    <xf numFmtId="0" fontId="96" fillId="24" borderId="12" xfId="0" applyFont="1" applyFill="1" applyBorder="1" applyAlignment="1" applyProtection="1">
      <alignment horizontal="center" vertical="center" wrapText="1"/>
      <protection locked="0"/>
    </xf>
    <xf numFmtId="2" fontId="46" fillId="24" borderId="12" xfId="0" applyNumberFormat="1" applyFont="1" applyFill="1" applyBorder="1" applyAlignment="1" applyProtection="1">
      <alignment horizontal="center" vertical="center"/>
      <protection locked="0"/>
    </xf>
    <xf numFmtId="164" fontId="96" fillId="22" borderId="11" xfId="0" applyNumberFormat="1" applyFont="1" applyFill="1" applyBorder="1" applyAlignment="1" applyProtection="1">
      <alignment horizontal="center" vertical="center"/>
      <protection locked="0"/>
    </xf>
    <xf numFmtId="1" fontId="46" fillId="24" borderId="12" xfId="0" applyNumberFormat="1" applyFont="1" applyFill="1" applyBorder="1" applyAlignment="1" applyProtection="1">
      <alignment horizontal="center" vertical="center"/>
      <protection locked="0"/>
    </xf>
    <xf numFmtId="2" fontId="96" fillId="20" borderId="12" xfId="0" applyNumberFormat="1" applyFont="1" applyFill="1" applyBorder="1" applyAlignment="1" applyProtection="1">
      <alignment horizontal="center" vertical="center"/>
      <protection locked="0"/>
    </xf>
    <xf numFmtId="0" fontId="46" fillId="24" borderId="12" xfId="0" applyFont="1" applyFill="1" applyBorder="1" applyAlignment="1" applyProtection="1">
      <alignment vertical="center"/>
      <protection locked="0"/>
    </xf>
    <xf numFmtId="0" fontId="57" fillId="23" borderId="12" xfId="0" applyFont="1" applyFill="1" applyBorder="1" applyAlignment="1" applyProtection="1">
      <alignment vertical="center"/>
      <protection locked="0"/>
    </xf>
    <xf numFmtId="0" fontId="46" fillId="24" borderId="12" xfId="0" applyFont="1" applyFill="1" applyBorder="1" applyAlignment="1" applyProtection="1">
      <alignment horizontal="center" vertical="center" wrapText="1"/>
      <protection locked="0"/>
    </xf>
    <xf numFmtId="2" fontId="96" fillId="18" borderId="12" xfId="0" applyNumberFormat="1" applyFont="1" applyFill="1" applyBorder="1" applyAlignment="1" applyProtection="1">
      <alignment horizontal="center" vertical="center"/>
      <protection locked="0"/>
    </xf>
    <xf numFmtId="2" fontId="96" fillId="22" borderId="11" xfId="0" applyNumberFormat="1" applyFont="1" applyFill="1" applyBorder="1" applyAlignment="1" applyProtection="1">
      <alignment horizontal="center" vertical="center"/>
      <protection locked="0"/>
    </xf>
    <xf numFmtId="0" fontId="96" fillId="20" borderId="12" xfId="0" applyFont="1" applyFill="1" applyBorder="1" applyAlignment="1" applyProtection="1">
      <alignment horizontal="center" vertical="center"/>
      <protection locked="0"/>
    </xf>
    <xf numFmtId="2" fontId="46" fillId="0" borderId="12" xfId="0" applyNumberFormat="1" applyFont="1" applyBorder="1" applyAlignment="1" applyProtection="1">
      <alignment vertical="center"/>
      <protection locked="0"/>
    </xf>
    <xf numFmtId="2" fontId="96" fillId="0" borderId="11" xfId="0" applyNumberFormat="1" applyFont="1" applyBorder="1" applyAlignment="1" applyProtection="1">
      <alignment horizontal="center" vertical="center"/>
      <protection locked="0"/>
    </xf>
    <xf numFmtId="2" fontId="96" fillId="0" borderId="12" xfId="0" applyNumberFormat="1" applyFont="1" applyBorder="1" applyAlignment="1" applyProtection="1">
      <alignment vertical="center"/>
      <protection locked="0"/>
    </xf>
    <xf numFmtId="0" fontId="96" fillId="22" borderId="66" xfId="0" applyFont="1" applyFill="1" applyBorder="1" applyAlignment="1" applyProtection="1">
      <alignment vertical="center"/>
      <protection locked="0"/>
    </xf>
    <xf numFmtId="0" fontId="96" fillId="22" borderId="80" xfId="0" applyFont="1" applyFill="1" applyBorder="1" applyAlignment="1" applyProtection="1">
      <alignment vertical="center"/>
      <protection locked="0"/>
    </xf>
    <xf numFmtId="2" fontId="31" fillId="26" borderId="12" xfId="0" applyNumberFormat="1" applyFont="1" applyFill="1" applyBorder="1" applyAlignment="1" applyProtection="1">
      <alignment horizontal="center" vertical="center"/>
      <protection locked="0"/>
    </xf>
    <xf numFmtId="4" fontId="31" fillId="26" borderId="44" xfId="0" applyNumberFormat="1" applyFont="1" applyFill="1" applyBorder="1" applyAlignment="1" applyProtection="1">
      <alignment horizontal="center" vertical="center"/>
      <protection locked="0"/>
    </xf>
    <xf numFmtId="0" fontId="31" fillId="26" borderId="12" xfId="0" applyFont="1" applyFill="1" applyBorder="1" applyAlignment="1" applyProtection="1">
      <alignment horizontal="center" vertical="center" wrapText="1"/>
      <protection locked="0"/>
    </xf>
    <xf numFmtId="0" fontId="109" fillId="23" borderId="12" xfId="0" applyFont="1" applyFill="1" applyBorder="1" applyAlignment="1" applyProtection="1">
      <alignment vertical="center"/>
      <protection locked="0"/>
    </xf>
    <xf numFmtId="0" fontId="58" fillId="26" borderId="12" xfId="0" applyFont="1" applyFill="1" applyBorder="1" applyAlignment="1" applyProtection="1">
      <alignment horizontal="center" vertical="center" wrapText="1"/>
      <protection locked="0"/>
    </xf>
    <xf numFmtId="3" fontId="96" fillId="0" borderId="12" xfId="41" applyNumberFormat="1" applyFont="1" applyBorder="1" applyAlignment="1" applyProtection="1">
      <alignment horizontal="center" vertical="center"/>
      <protection locked="0"/>
    </xf>
    <xf numFmtId="164" fontId="46" fillId="0" borderId="11" xfId="45" applyNumberFormat="1" applyFont="1" applyBorder="1" applyAlignment="1" applyProtection="1">
      <alignment horizontal="center" vertical="center"/>
      <protection locked="0"/>
    </xf>
    <xf numFmtId="0" fontId="46" fillId="0" borderId="12" xfId="45" applyFont="1" applyBorder="1" applyAlignment="1" applyProtection="1">
      <alignment horizontal="left" vertical="center"/>
      <protection locked="0"/>
    </xf>
    <xf numFmtId="0" fontId="46" fillId="0" borderId="21" xfId="45" applyFont="1" applyBorder="1" applyAlignment="1" applyProtection="1">
      <alignment horizontal="center" vertical="center" wrapText="1"/>
      <protection locked="0"/>
    </xf>
    <xf numFmtId="2" fontId="46" fillId="0" borderId="65" xfId="0" applyNumberFormat="1" applyFont="1" applyBorder="1" applyAlignment="1" applyProtection="1">
      <alignment horizontal="center" vertical="center"/>
      <protection locked="0"/>
    </xf>
    <xf numFmtId="0" fontId="96" fillId="0" borderId="16" xfId="0" applyFont="1" applyBorder="1" applyAlignment="1" applyProtection="1">
      <alignment vertical="center"/>
      <protection locked="0"/>
    </xf>
    <xf numFmtId="2" fontId="46" fillId="0" borderId="83" xfId="0" applyNumberFormat="1" applyFont="1" applyBorder="1" applyAlignment="1" applyProtection="1">
      <alignment horizontal="center" vertical="center"/>
      <protection locked="0"/>
    </xf>
    <xf numFmtId="0" fontId="46" fillId="0" borderId="75" xfId="0" applyFont="1" applyBorder="1" applyAlignment="1" applyProtection="1">
      <alignment horizontal="left" vertical="center" wrapText="1"/>
      <protection locked="0"/>
    </xf>
    <xf numFmtId="0" fontId="96" fillId="0" borderId="75" xfId="0" applyFont="1" applyBorder="1" applyAlignment="1" applyProtection="1">
      <alignment horizontal="center" vertical="center"/>
      <protection locked="0"/>
    </xf>
    <xf numFmtId="2" fontId="46" fillId="0" borderId="84" xfId="0" applyNumberFormat="1" applyFont="1" applyBorder="1" applyAlignment="1" applyProtection="1">
      <alignment horizontal="center" vertical="center"/>
      <protection locked="0"/>
    </xf>
    <xf numFmtId="0" fontId="46" fillId="0" borderId="44" xfId="0" applyFont="1" applyBorder="1" applyAlignment="1" applyProtection="1">
      <alignment horizontal="center" vertical="center" wrapText="1"/>
      <protection locked="0"/>
    </xf>
    <xf numFmtId="0" fontId="46" fillId="0" borderId="44" xfId="0" applyFont="1" applyBorder="1" applyAlignment="1" applyProtection="1">
      <alignment horizontal="left" vertical="center" wrapText="1"/>
      <protection locked="0"/>
    </xf>
    <xf numFmtId="0" fontId="46" fillId="0" borderId="44" xfId="0" applyFont="1" applyBorder="1" applyAlignment="1" applyProtection="1">
      <alignment horizontal="center" vertical="center"/>
      <protection locked="0"/>
    </xf>
    <xf numFmtId="0" fontId="57" fillId="0" borderId="44" xfId="0" applyFont="1" applyBorder="1" applyAlignment="1" applyProtection="1">
      <alignment horizontal="center" vertical="center"/>
      <protection locked="0"/>
    </xf>
    <xf numFmtId="2" fontId="46" fillId="0" borderId="67" xfId="0" applyNumberFormat="1" applyFont="1" applyBorder="1" applyAlignment="1" applyProtection="1">
      <alignment horizontal="center" vertical="center"/>
      <protection locked="0"/>
    </xf>
    <xf numFmtId="166" fontId="46" fillId="0" borderId="65" xfId="0" applyNumberFormat="1" applyFont="1" applyBorder="1" applyAlignment="1" applyProtection="1">
      <alignment horizontal="center" vertical="center"/>
      <protection locked="0"/>
    </xf>
    <xf numFmtId="166" fontId="46" fillId="0" borderId="83" xfId="0" applyNumberFormat="1" applyFont="1" applyBorder="1" applyAlignment="1" applyProtection="1">
      <alignment horizontal="center" vertical="center"/>
      <protection locked="0"/>
    </xf>
    <xf numFmtId="0" fontId="57" fillId="0" borderId="75" xfId="0" applyFont="1" applyBorder="1" applyAlignment="1" applyProtection="1">
      <alignment horizontal="center" vertical="center" wrapText="1"/>
      <protection locked="0"/>
    </xf>
    <xf numFmtId="166" fontId="46" fillId="0" borderId="65" xfId="45" applyNumberFormat="1" applyFont="1" applyBorder="1" applyAlignment="1" applyProtection="1">
      <alignment horizontal="center" vertical="center"/>
      <protection locked="0"/>
    </xf>
    <xf numFmtId="0" fontId="46" fillId="0" borderId="16" xfId="45" applyFont="1" applyBorder="1" applyAlignment="1" applyProtection="1">
      <alignment horizontal="left" vertical="center"/>
      <protection locked="0"/>
    </xf>
    <xf numFmtId="0" fontId="46" fillId="0" borderId="12" xfId="0" quotePrefix="1" applyFont="1" applyBorder="1" applyAlignment="1" applyProtection="1">
      <alignment horizontal="center" vertical="center"/>
      <protection locked="0"/>
    </xf>
    <xf numFmtId="9" fontId="46" fillId="0" borderId="12" xfId="0" quotePrefix="1" applyNumberFormat="1" applyFont="1" applyBorder="1" applyAlignment="1" applyProtection="1">
      <alignment horizontal="center" vertical="center"/>
      <protection locked="0"/>
    </xf>
    <xf numFmtId="0" fontId="46" fillId="0" borderId="19" xfId="0" applyFont="1" applyBorder="1" applyAlignment="1">
      <alignment horizontal="center" vertical="center"/>
    </xf>
    <xf numFmtId="0" fontId="15" fillId="26" borderId="125" xfId="0" applyFont="1" applyFill="1" applyBorder="1" applyAlignment="1">
      <alignment horizontal="center" vertical="center"/>
    </xf>
    <xf numFmtId="0" fontId="46" fillId="0" borderId="68" xfId="0" applyFont="1" applyBorder="1" applyAlignment="1">
      <alignment horizontal="center" vertical="center"/>
    </xf>
    <xf numFmtId="0" fontId="46" fillId="0" borderId="125" xfId="0" applyFont="1" applyBorder="1" applyAlignment="1">
      <alignment horizontal="center" vertical="center"/>
    </xf>
    <xf numFmtId="0" fontId="15" fillId="26" borderId="136" xfId="0" applyFont="1" applyFill="1" applyBorder="1" applyAlignment="1">
      <alignment horizontal="center" vertical="center"/>
    </xf>
    <xf numFmtId="0" fontId="15" fillId="26" borderId="129" xfId="0" applyFont="1" applyFill="1" applyBorder="1" applyAlignment="1" applyProtection="1">
      <alignment horizontal="right" vertical="center"/>
      <protection locked="0"/>
    </xf>
    <xf numFmtId="0" fontId="15" fillId="26" borderId="104" xfId="0" applyFont="1" applyFill="1" applyBorder="1" applyAlignment="1" applyProtection="1">
      <alignment horizontal="right" vertical="center"/>
      <protection locked="0"/>
    </xf>
    <xf numFmtId="166" fontId="46" fillId="0" borderId="67" xfId="0" applyNumberFormat="1" applyFont="1" applyBorder="1" applyAlignment="1" applyProtection="1">
      <alignment horizontal="center" vertical="center"/>
      <protection locked="0"/>
    </xf>
    <xf numFmtId="0" fontId="46" fillId="0" borderId="11" xfId="45" applyFont="1" applyBorder="1" applyAlignment="1" applyProtection="1">
      <alignment horizontal="center" vertical="center"/>
      <protection locked="0"/>
    </xf>
    <xf numFmtId="0" fontId="96" fillId="0" borderId="44" xfId="0" applyFont="1" applyBorder="1" applyAlignment="1">
      <alignment horizontal="center" vertical="center"/>
    </xf>
    <xf numFmtId="0" fontId="96" fillId="0" borderId="75" xfId="0" applyFont="1" applyBorder="1" applyAlignment="1">
      <alignment horizontal="center" vertical="center"/>
    </xf>
    <xf numFmtId="0" fontId="46" fillId="0" borderId="44" xfId="0" applyFont="1" applyBorder="1" applyAlignment="1">
      <alignment horizontal="center" vertical="center"/>
    </xf>
    <xf numFmtId="0" fontId="15" fillId="26" borderId="66" xfId="0" applyFont="1" applyFill="1" applyBorder="1" applyAlignment="1">
      <alignment horizontal="left" vertical="center"/>
    </xf>
    <xf numFmtId="0" fontId="45" fillId="0" borderId="12" xfId="0" applyFont="1" applyBorder="1" applyAlignment="1">
      <alignment horizontal="center" vertical="center"/>
    </xf>
    <xf numFmtId="0" fontId="45" fillId="0" borderId="12" xfId="0" quotePrefix="1" applyFont="1" applyBorder="1" applyAlignment="1">
      <alignment horizontal="center" vertical="center"/>
    </xf>
    <xf numFmtId="0" fontId="46" fillId="0" borderId="12" xfId="0" quotePrefix="1" applyFont="1" applyBorder="1" applyAlignment="1">
      <alignment horizontal="center" vertical="center"/>
    </xf>
    <xf numFmtId="0" fontId="46" fillId="0" borderId="20" xfId="0" applyFont="1" applyBorder="1" applyAlignment="1" applyProtection="1">
      <alignment vertical="center"/>
      <protection locked="0"/>
    </xf>
    <xf numFmtId="0" fontId="15" fillId="26" borderId="44" xfId="0" applyFont="1" applyFill="1" applyBorder="1" applyAlignment="1" applyProtection="1">
      <alignment horizontal="center" vertical="center" wrapText="1"/>
      <protection locked="0"/>
    </xf>
    <xf numFmtId="0" fontId="46" fillId="0" borderId="67" xfId="0" applyFont="1" applyBorder="1" applyAlignment="1">
      <alignment horizontal="center" vertical="center"/>
    </xf>
    <xf numFmtId="0" fontId="15" fillId="26" borderId="109" xfId="0" applyFont="1" applyFill="1" applyBorder="1" applyAlignment="1">
      <alignment vertical="center" wrapText="1"/>
    </xf>
    <xf numFmtId="0" fontId="46" fillId="0" borderId="109" xfId="0" applyFont="1" applyBorder="1" applyAlignment="1">
      <alignment horizontal="center" vertical="center" wrapText="1"/>
    </xf>
    <xf numFmtId="0" fontId="46" fillId="0" borderId="108" xfId="0" applyFont="1" applyBorder="1" applyAlignment="1">
      <alignment horizontal="center" vertical="center"/>
    </xf>
    <xf numFmtId="0" fontId="15" fillId="26" borderId="43" xfId="0" applyFont="1" applyFill="1" applyBorder="1" applyAlignment="1">
      <alignment vertical="center" wrapText="1"/>
    </xf>
    <xf numFmtId="0" fontId="103" fillId="0" borderId="20" xfId="0" quotePrefix="1" applyFont="1" applyBorder="1" applyAlignment="1" applyProtection="1">
      <alignment horizontal="center"/>
      <protection locked="0"/>
    </xf>
    <xf numFmtId="0" fontId="46" fillId="0" borderId="83" xfId="0" applyFont="1" applyBorder="1" applyAlignment="1">
      <alignment horizontal="center" vertical="center"/>
    </xf>
    <xf numFmtId="0" fontId="15" fillId="26" borderId="95" xfId="0" applyFont="1" applyFill="1" applyBorder="1" applyAlignment="1">
      <alignment horizontal="center" vertical="center"/>
    </xf>
    <xf numFmtId="0" fontId="15" fillId="26" borderId="128" xfId="0" applyFont="1" applyFill="1" applyBorder="1" applyAlignment="1">
      <alignment horizontal="center" vertical="center"/>
    </xf>
    <xf numFmtId="1" fontId="46" fillId="0" borderId="12" xfId="0" applyNumberFormat="1" applyFont="1" applyBorder="1" applyAlignment="1">
      <alignment horizontal="center" vertical="center" wrapText="1"/>
    </xf>
    <xf numFmtId="0" fontId="91" fillId="26" borderId="0" xfId="42" applyFont="1" applyFill="1" applyAlignment="1" applyProtection="1">
      <alignment vertical="center" wrapText="1"/>
      <protection locked="0"/>
    </xf>
    <xf numFmtId="0" fontId="91" fillId="26" borderId="0" xfId="42" applyFont="1" applyFill="1" applyAlignment="1" applyProtection="1">
      <alignment horizontal="left" vertical="center" wrapText="1"/>
      <protection locked="0"/>
    </xf>
    <xf numFmtId="0" fontId="46" fillId="0" borderId="68" xfId="0" applyFont="1" applyBorder="1" applyAlignment="1" applyProtection="1">
      <alignment horizontal="center" vertical="center"/>
      <protection locked="0"/>
    </xf>
    <xf numFmtId="0" fontId="15" fillId="26" borderId="125" xfId="0" applyFont="1" applyFill="1" applyBorder="1" applyAlignment="1" applyProtection="1">
      <alignment horizontal="right" vertical="center"/>
      <protection locked="0"/>
    </xf>
    <xf numFmtId="164" fontId="83" fillId="0" borderId="0" xfId="0" applyNumberFormat="1" applyFont="1" applyAlignment="1" applyProtection="1">
      <alignment vertical="center"/>
      <protection locked="0"/>
    </xf>
    <xf numFmtId="0" fontId="60" fillId="0" borderId="0" xfId="0" applyFont="1" applyAlignment="1" applyProtection="1">
      <alignment vertical="center"/>
      <protection locked="0"/>
    </xf>
    <xf numFmtId="164" fontId="46" fillId="0" borderId="11" xfId="0" applyNumberFormat="1" applyFont="1" applyBorder="1" applyAlignment="1" applyProtection="1">
      <alignment horizontal="center" vertical="center" wrapText="1"/>
      <protection locked="0"/>
    </xf>
    <xf numFmtId="0" fontId="15" fillId="26" borderId="11" xfId="0" applyFont="1" applyFill="1" applyBorder="1" applyAlignment="1" applyProtection="1">
      <alignment horizontal="left" vertical="center" wrapText="1"/>
      <protection locked="0"/>
    </xf>
    <xf numFmtId="0" fontId="15" fillId="26" borderId="12" xfId="0" applyFont="1" applyFill="1" applyBorder="1" applyAlignment="1" applyProtection="1">
      <alignment horizontal="left" vertical="center" wrapText="1"/>
      <protection locked="0"/>
    </xf>
    <xf numFmtId="0" fontId="15" fillId="26" borderId="12" xfId="0" applyFont="1" applyFill="1" applyBorder="1" applyAlignment="1">
      <alignment horizontal="left" vertical="center" wrapText="1"/>
    </xf>
    <xf numFmtId="0" fontId="96" fillId="0" borderId="0" xfId="0" applyFont="1" applyAlignment="1" applyProtection="1">
      <alignment horizontal="right" vertical="center"/>
      <protection locked="0"/>
    </xf>
    <xf numFmtId="164" fontId="110" fillId="0" borderId="0" xfId="0" applyNumberFormat="1" applyFont="1" applyAlignment="1" applyProtection="1">
      <alignment vertical="center"/>
      <protection locked="0"/>
    </xf>
    <xf numFmtId="0" fontId="46" fillId="0" borderId="80" xfId="0" applyFont="1" applyBorder="1" applyAlignment="1" applyProtection="1">
      <alignment horizontal="left" vertical="center"/>
      <protection locked="0"/>
    </xf>
    <xf numFmtId="0" fontId="91" fillId="0" borderId="0" xfId="0" applyFont="1" applyAlignment="1" applyProtection="1">
      <alignment vertical="center"/>
      <protection locked="0"/>
    </xf>
    <xf numFmtId="0" fontId="14" fillId="0" borderId="140" xfId="0" applyFont="1" applyBorder="1" applyAlignment="1">
      <alignment horizontal="center" vertical="center"/>
    </xf>
    <xf numFmtId="0" fontId="13" fillId="0" borderId="141" xfId="0" applyFont="1" applyBorder="1" applyAlignment="1">
      <alignment vertical="top" wrapText="1"/>
    </xf>
    <xf numFmtId="0" fontId="4" fillId="0" borderId="0" xfId="0" applyFont="1" applyAlignment="1">
      <alignment vertical="top"/>
    </xf>
    <xf numFmtId="0" fontId="4" fillId="0" borderId="0" xfId="0" applyFont="1" applyAlignment="1">
      <alignment vertical="top" wrapText="1"/>
    </xf>
    <xf numFmtId="0" fontId="91" fillId="26" borderId="0" xfId="0" applyFont="1" applyFill="1" applyAlignment="1">
      <alignment vertical="top" wrapText="1"/>
    </xf>
    <xf numFmtId="0" fontId="111" fillId="0" borderId="0" xfId="0" applyFont="1" applyAlignment="1">
      <alignment vertical="top"/>
    </xf>
    <xf numFmtId="0" fontId="91" fillId="18" borderId="0" xfId="0" applyFont="1" applyFill="1" applyAlignment="1">
      <alignment vertical="top" wrapText="1"/>
    </xf>
    <xf numFmtId="0" fontId="4" fillId="18" borderId="0" xfId="0" applyFont="1" applyFill="1" applyAlignment="1">
      <alignment vertical="top"/>
    </xf>
    <xf numFmtId="0" fontId="4" fillId="18" borderId="0" xfId="0" applyFont="1" applyFill="1"/>
    <xf numFmtId="0" fontId="3" fillId="0" borderId="0" xfId="0" applyFont="1" applyAlignment="1">
      <alignment horizontal="left" vertical="top" wrapText="1" indent="1"/>
    </xf>
    <xf numFmtId="0" fontId="112" fillId="0" borderId="0" xfId="0" applyFont="1" applyAlignment="1">
      <alignment vertical="top"/>
    </xf>
    <xf numFmtId="0" fontId="4" fillId="0" borderId="0" xfId="0" applyFont="1" applyAlignment="1">
      <alignment horizontal="left" vertical="top" wrapText="1" indent="2"/>
    </xf>
    <xf numFmtId="0" fontId="91" fillId="0" borderId="0" xfId="0" applyFont="1" applyAlignment="1">
      <alignment vertical="top" wrapText="1"/>
    </xf>
    <xf numFmtId="49" fontId="46" fillId="0" borderId="11" xfId="0" applyNumberFormat="1" applyFont="1" applyBorder="1" applyAlignment="1">
      <alignment horizontal="center" vertical="center" wrapText="1"/>
    </xf>
    <xf numFmtId="49" fontId="46" fillId="0" borderId="11" xfId="0" quotePrefix="1" applyNumberFormat="1" applyFont="1" applyBorder="1" applyAlignment="1">
      <alignment horizontal="center" vertical="center" wrapText="1"/>
    </xf>
    <xf numFmtId="49" fontId="46" fillId="0" borderId="65" xfId="0" applyNumberFormat="1" applyFont="1" applyBorder="1" applyAlignment="1">
      <alignment horizontal="center" vertical="center" wrapText="1"/>
    </xf>
    <xf numFmtId="0" fontId="102" fillId="0" borderId="12" xfId="0" applyFont="1" applyBorder="1" applyAlignment="1" applyProtection="1">
      <alignment horizontal="center" vertical="center" wrapText="1"/>
      <protection locked="0"/>
    </xf>
    <xf numFmtId="4" fontId="46" fillId="0" borderId="11" xfId="0" applyNumberFormat="1" applyFont="1" applyBorder="1" applyAlignment="1">
      <alignment horizontal="center" vertical="center" wrapText="1"/>
    </xf>
    <xf numFmtId="0" fontId="46" fillId="0" borderId="71" xfId="0" applyFont="1" applyBorder="1" applyAlignment="1" applyProtection="1">
      <alignment horizontal="center" vertical="center" wrapText="1"/>
      <protection locked="0"/>
    </xf>
    <xf numFmtId="2" fontId="46" fillId="0" borderId="71" xfId="0" applyNumberFormat="1" applyFont="1" applyBorder="1" applyAlignment="1" applyProtection="1">
      <alignment horizontal="center" vertical="center" wrapText="1"/>
      <protection locked="0"/>
    </xf>
    <xf numFmtId="0" fontId="3" fillId="26" borderId="0" xfId="0" applyFont="1" applyFill="1" applyAlignment="1">
      <alignment horizontal="left" vertical="top" wrapText="1"/>
    </xf>
    <xf numFmtId="0" fontId="29" fillId="0" borderId="23" xfId="49" applyFont="1" applyFill="1" applyBorder="1"/>
    <xf numFmtId="0" fontId="29" fillId="0" borderId="23" xfId="49" applyFont="1" applyFill="1" applyBorder="1" applyAlignment="1">
      <alignment horizontal="center"/>
    </xf>
    <xf numFmtId="0" fontId="29" fillId="0" borderId="62" xfId="49" applyFont="1" applyFill="1" applyBorder="1"/>
    <xf numFmtId="0" fontId="29" fillId="0" borderId="59" xfId="49" applyFont="1" applyFill="1" applyBorder="1" applyAlignment="1">
      <alignment horizontal="center"/>
    </xf>
    <xf numFmtId="0" fontId="29" fillId="0" borderId="24" xfId="49" applyFont="1" applyFill="1" applyBorder="1" applyAlignment="1">
      <alignment horizontal="center"/>
    </xf>
    <xf numFmtId="1" fontId="29" fillId="0" borderId="26" xfId="49" applyNumberFormat="1" applyFont="1" applyFill="1" applyBorder="1" applyAlignment="1">
      <alignment horizontal="center" vertical="center"/>
    </xf>
    <xf numFmtId="0" fontId="26" fillId="0" borderId="25" xfId="49" applyFill="1" applyBorder="1" applyAlignment="1">
      <alignment horizontal="center"/>
    </xf>
    <xf numFmtId="0" fontId="29" fillId="0" borderId="26" xfId="49" applyFont="1" applyFill="1" applyBorder="1" applyAlignment="1">
      <alignment horizontal="center" vertical="center"/>
    </xf>
    <xf numFmtId="0" fontId="101" fillId="0" borderId="25" xfId="49" applyFont="1" applyFill="1" applyBorder="1" applyAlignment="1">
      <alignment horizontal="center"/>
    </xf>
    <xf numFmtId="0" fontId="13" fillId="0" borderId="25" xfId="49" applyFont="1" applyFill="1" applyBorder="1" applyAlignment="1">
      <alignment horizontal="center"/>
    </xf>
    <xf numFmtId="3" fontId="47" fillId="0" borderId="46" xfId="49" applyNumberFormat="1" applyFont="1" applyFill="1" applyBorder="1" applyAlignment="1">
      <alignment horizontal="center" vertical="center"/>
    </xf>
    <xf numFmtId="3" fontId="47" fillId="0" borderId="25" xfId="49" applyNumberFormat="1" applyFont="1" applyFill="1" applyBorder="1" applyAlignment="1">
      <alignment horizontal="center" vertical="center"/>
    </xf>
    <xf numFmtId="0" fontId="26" fillId="0" borderId="25" xfId="49" applyFill="1" applyBorder="1"/>
    <xf numFmtId="3" fontId="26" fillId="0" borderId="40" xfId="49" applyNumberFormat="1" applyFill="1" applyBorder="1" applyAlignment="1">
      <alignment horizontal="center" vertical="center"/>
    </xf>
    <xf numFmtId="3" fontId="29" fillId="0" borderId="23" xfId="49" applyNumberFormat="1" applyFont="1" applyFill="1" applyBorder="1" applyAlignment="1">
      <alignment horizontal="center" vertical="center"/>
    </xf>
    <xf numFmtId="0" fontId="26" fillId="0" borderId="33" xfId="49" applyFill="1" applyBorder="1"/>
    <xf numFmtId="3" fontId="29" fillId="0" borderId="41" xfId="49" applyNumberFormat="1" applyFont="1" applyFill="1" applyBorder="1" applyAlignment="1">
      <alignment horizontal="center" vertical="center"/>
    </xf>
    <xf numFmtId="3" fontId="29" fillId="0" borderId="10" xfId="49" applyNumberFormat="1" applyFont="1" applyFill="1" applyBorder="1" applyAlignment="1">
      <alignment horizontal="center" vertical="center"/>
    </xf>
    <xf numFmtId="0" fontId="26" fillId="0" borderId="34" xfId="49" applyFill="1" applyBorder="1"/>
    <xf numFmtId="0" fontId="29" fillId="26" borderId="23" xfId="49" applyFont="1" applyFill="1" applyBorder="1" applyAlignment="1">
      <alignment horizontal="center"/>
    </xf>
    <xf numFmtId="0" fontId="29" fillId="26" borderId="62" xfId="49" applyFont="1" applyFill="1" applyBorder="1"/>
    <xf numFmtId="0" fontId="29" fillId="26" borderId="59" xfId="49" applyFont="1" applyFill="1" applyBorder="1" applyAlignment="1">
      <alignment horizontal="center"/>
    </xf>
    <xf numFmtId="0" fontId="30" fillId="0" borderId="0" xfId="0" applyFont="1" applyAlignment="1">
      <alignment horizontal="left" vertical="center" readingOrder="1"/>
    </xf>
    <xf numFmtId="3" fontId="29" fillId="0" borderId="48" xfId="49" applyNumberFormat="1" applyFont="1" applyFill="1" applyBorder="1" applyAlignment="1">
      <alignment horizontal="center" vertical="center"/>
    </xf>
    <xf numFmtId="3" fontId="47" fillId="0" borderId="41" xfId="49" applyNumberFormat="1" applyFont="1" applyFill="1" applyBorder="1" applyAlignment="1">
      <alignment horizontal="center" vertical="center"/>
    </xf>
    <xf numFmtId="3" fontId="47" fillId="0" borderId="70" xfId="49" applyNumberFormat="1" applyFont="1" applyFill="1" applyBorder="1" applyAlignment="1">
      <alignment horizontal="center" vertical="center"/>
    </xf>
    <xf numFmtId="0" fontId="30" fillId="0" borderId="0" xfId="0" applyFont="1" applyAlignment="1">
      <alignment horizontal="left" vertical="center"/>
    </xf>
    <xf numFmtId="0" fontId="42" fillId="28" borderId="0" xfId="0" applyFont="1" applyFill="1" applyAlignment="1">
      <alignment horizontal="left" vertical="center"/>
    </xf>
    <xf numFmtId="0" fontId="49" fillId="0" borderId="0" xfId="0" applyFont="1" applyAlignment="1">
      <alignment horizontal="left" vertical="center"/>
    </xf>
    <xf numFmtId="0" fontId="31" fillId="26" borderId="105" xfId="0" applyFont="1" applyFill="1" applyBorder="1" applyAlignment="1">
      <alignment horizontal="center" vertical="center"/>
    </xf>
    <xf numFmtId="0" fontId="100" fillId="0" borderId="0" xfId="0" applyFont="1"/>
    <xf numFmtId="0" fontId="95" fillId="0" borderId="18" xfId="0" applyFont="1" applyBorder="1" applyAlignment="1" applyProtection="1">
      <alignment horizontal="center" vertical="center"/>
      <protection locked="0"/>
    </xf>
    <xf numFmtId="0" fontId="113" fillId="0" borderId="91" xfId="47" quotePrefix="1" applyFont="1" applyBorder="1" applyAlignment="1" applyProtection="1">
      <alignment vertical="center"/>
      <protection locked="0"/>
    </xf>
    <xf numFmtId="0" fontId="113" fillId="0" borderId="10" xfId="47" applyFont="1" applyBorder="1" applyAlignment="1">
      <alignment horizontal="left" vertical="center"/>
    </xf>
    <xf numFmtId="0" fontId="113" fillId="0" borderId="10" xfId="47" applyFont="1" applyBorder="1" applyAlignment="1" applyProtection="1">
      <alignment horizontal="left" vertical="center"/>
      <protection locked="0"/>
    </xf>
    <xf numFmtId="0" fontId="113" fillId="0" borderId="91" xfId="47" quotePrefix="1" applyFont="1" applyBorder="1" applyAlignment="1">
      <alignment vertical="center"/>
    </xf>
    <xf numFmtId="0" fontId="113" fillId="0" borderId="10" xfId="47" applyFont="1" applyBorder="1" applyAlignment="1">
      <alignment vertical="center"/>
    </xf>
    <xf numFmtId="0" fontId="114" fillId="26" borderId="12" xfId="0" applyFont="1" applyFill="1" applyBorder="1" applyAlignment="1">
      <alignment horizontal="center" vertical="center" wrapText="1"/>
    </xf>
    <xf numFmtId="0" fontId="115" fillId="27" borderId="61" xfId="48" applyFont="1" applyFill="1" applyBorder="1" applyAlignment="1">
      <alignment horizontal="center" vertical="center" wrapText="1"/>
    </xf>
    <xf numFmtId="167" fontId="115" fillId="0" borderId="25" xfId="49" applyNumberFormat="1" applyFont="1" applyFill="1" applyBorder="1" applyAlignment="1">
      <alignment horizontal="center" vertical="center"/>
    </xf>
    <xf numFmtId="0" fontId="117" fillId="0" borderId="12" xfId="0" applyFont="1" applyBorder="1" applyAlignment="1" applyProtection="1">
      <alignment horizontal="center" vertical="center"/>
      <protection locked="0"/>
    </xf>
    <xf numFmtId="0" fontId="117" fillId="0" borderId="16" xfId="0" applyFont="1" applyBorder="1" applyAlignment="1" applyProtection="1">
      <alignment horizontal="center" vertical="center"/>
      <protection locked="0"/>
    </xf>
    <xf numFmtId="0" fontId="117" fillId="0" borderId="18" xfId="0" applyFont="1" applyBorder="1" applyAlignment="1" applyProtection="1">
      <alignment horizontal="center" vertical="center"/>
      <protection locked="0"/>
    </xf>
    <xf numFmtId="9" fontId="117" fillId="0" borderId="12" xfId="0" applyNumberFormat="1" applyFont="1" applyBorder="1" applyAlignment="1" applyProtection="1">
      <alignment horizontal="center" vertical="center"/>
      <protection locked="0"/>
    </xf>
    <xf numFmtId="0" fontId="117" fillId="0" borderId="109" xfId="0" applyFont="1" applyBorder="1" applyAlignment="1" applyProtection="1">
      <alignment horizontal="center" vertical="center"/>
      <protection locked="0"/>
    </xf>
    <xf numFmtId="0" fontId="117" fillId="0" borderId="64" xfId="0" applyFont="1" applyBorder="1" applyAlignment="1" applyProtection="1">
      <alignment horizontal="center" vertical="center"/>
      <protection locked="0"/>
    </xf>
    <xf numFmtId="0" fontId="117" fillId="0" borderId="15" xfId="0" applyFont="1" applyBorder="1" applyAlignment="1" applyProtection="1">
      <alignment horizontal="center" vertical="center"/>
      <protection locked="0"/>
    </xf>
    <xf numFmtId="1" fontId="117" fillId="0" borderId="12" xfId="0" applyNumberFormat="1" applyFont="1" applyBorder="1" applyAlignment="1" applyProtection="1">
      <alignment horizontal="center" vertical="center"/>
      <protection locked="0"/>
    </xf>
    <xf numFmtId="0" fontId="117" fillId="0" borderId="12" xfId="0" applyFont="1" applyBorder="1" applyAlignment="1">
      <alignment horizontal="center" vertical="center" wrapText="1"/>
    </xf>
    <xf numFmtId="0" fontId="117" fillId="0" borderId="16" xfId="0" applyFont="1" applyBorder="1" applyAlignment="1">
      <alignment horizontal="center" vertical="center" wrapText="1"/>
    </xf>
    <xf numFmtId="0" fontId="113" fillId="0" borderId="12" xfId="0" applyFont="1" applyBorder="1" applyAlignment="1">
      <alignment horizontal="center" vertical="center" wrapText="1"/>
    </xf>
    <xf numFmtId="9" fontId="117" fillId="0" borderId="12" xfId="0" applyNumberFormat="1" applyFont="1" applyBorder="1" applyAlignment="1">
      <alignment horizontal="center" vertical="center"/>
    </xf>
    <xf numFmtId="0" fontId="117" fillId="0" borderId="18" xfId="0" applyFont="1" applyBorder="1" applyAlignment="1" applyProtection="1">
      <alignment horizontal="center"/>
      <protection locked="0"/>
    </xf>
    <xf numFmtId="0" fontId="117" fillId="0" borderId="12" xfId="0" applyFont="1" applyBorder="1" applyAlignment="1" applyProtection="1">
      <alignment horizontal="center"/>
      <protection locked="0"/>
    </xf>
    <xf numFmtId="0" fontId="117" fillId="0" borderId="109" xfId="0" applyFont="1" applyBorder="1" applyAlignment="1" applyProtection="1">
      <alignment horizontal="center"/>
      <protection locked="0"/>
    </xf>
    <xf numFmtId="0" fontId="117" fillId="0" borderId="64" xfId="0" applyFont="1" applyBorder="1" applyAlignment="1" applyProtection="1">
      <alignment horizontal="center" vertical="center" wrapText="1"/>
      <protection locked="0"/>
    </xf>
    <xf numFmtId="0" fontId="117" fillId="0" borderId="15" xfId="0" applyFont="1" applyBorder="1" applyAlignment="1" applyProtection="1">
      <alignment horizontal="center" vertical="center" wrapText="1"/>
      <protection locked="0"/>
    </xf>
    <xf numFmtId="0" fontId="117" fillId="0" borderId="12" xfId="0" applyFont="1" applyBorder="1" applyAlignment="1">
      <alignment horizontal="center" vertical="center"/>
    </xf>
    <xf numFmtId="0" fontId="117" fillId="0" borderId="12" xfId="0" applyFont="1" applyBorder="1" applyAlignment="1" applyProtection="1">
      <alignment horizontal="center" vertical="center" wrapText="1"/>
      <protection locked="0"/>
    </xf>
    <xf numFmtId="9" fontId="117" fillId="0" borderId="68" xfId="0" applyNumberFormat="1" applyFont="1" applyBorder="1" applyAlignment="1" applyProtection="1">
      <alignment horizontal="center" vertical="center" wrapText="1"/>
      <protection locked="0"/>
    </xf>
    <xf numFmtId="0" fontId="117" fillId="0" borderId="75" xfId="0" applyFont="1" applyBorder="1" applyAlignment="1" applyProtection="1">
      <alignment horizontal="center" vertical="center"/>
      <protection locked="0"/>
    </xf>
    <xf numFmtId="0" fontId="117" fillId="0" borderId="100" xfId="0" applyFont="1" applyBorder="1" applyAlignment="1" applyProtection="1">
      <alignment horizontal="center" vertical="center"/>
      <protection locked="0"/>
    </xf>
    <xf numFmtId="2" fontId="117" fillId="21" borderId="12" xfId="0" applyNumberFormat="1" applyFont="1" applyFill="1" applyBorder="1" applyAlignment="1" applyProtection="1">
      <alignment horizontal="center" vertical="center"/>
      <protection locked="0"/>
    </xf>
    <xf numFmtId="0" fontId="117" fillId="21" borderId="12" xfId="0" applyFont="1" applyFill="1" applyBorder="1" applyAlignment="1" applyProtection="1">
      <alignment horizontal="center" vertical="center"/>
      <protection locked="0"/>
    </xf>
    <xf numFmtId="0" fontId="117" fillId="21" borderId="66" xfId="0" applyFont="1" applyFill="1" applyBorder="1" applyAlignment="1" applyProtection="1">
      <alignment horizontal="center" vertical="center"/>
      <protection locked="0"/>
    </xf>
    <xf numFmtId="9" fontId="117" fillId="0" borderId="18" xfId="0" applyNumberFormat="1" applyFont="1" applyBorder="1" applyAlignment="1" applyProtection="1">
      <alignment horizontal="center" vertical="center"/>
      <protection locked="0"/>
    </xf>
    <xf numFmtId="2" fontId="117" fillId="22" borderId="12" xfId="0" applyNumberFormat="1" applyFont="1" applyFill="1" applyBorder="1" applyAlignment="1" applyProtection="1">
      <alignment horizontal="center" vertical="center"/>
      <protection locked="0"/>
    </xf>
    <xf numFmtId="166" fontId="117" fillId="0" borderId="12" xfId="0" applyNumberFormat="1" applyFont="1" applyBorder="1" applyAlignment="1" applyProtection="1">
      <alignment horizontal="center" vertical="center"/>
      <protection locked="0"/>
    </xf>
    <xf numFmtId="1" fontId="117" fillId="22" borderId="12" xfId="0" applyNumberFormat="1" applyFont="1" applyFill="1" applyBorder="1" applyAlignment="1" applyProtection="1">
      <alignment horizontal="center" vertical="center"/>
      <protection locked="0"/>
    </xf>
    <xf numFmtId="164" fontId="117" fillId="0" borderId="12" xfId="0" applyNumberFormat="1" applyFont="1" applyBorder="1" applyAlignment="1" applyProtection="1">
      <alignment horizontal="center" vertical="center"/>
      <protection locked="0"/>
    </xf>
    <xf numFmtId="2" fontId="117" fillId="0" borderId="12" xfId="0" applyNumberFormat="1" applyFont="1" applyBorder="1" applyAlignment="1" applyProtection="1">
      <alignment vertical="center"/>
      <protection locked="0"/>
    </xf>
    <xf numFmtId="0" fontId="117" fillId="0" borderId="16" xfId="0" applyFont="1" applyBorder="1" applyAlignment="1" applyProtection="1">
      <alignment horizontal="center" vertical="center" wrapText="1"/>
      <protection locked="0"/>
    </xf>
    <xf numFmtId="0" fontId="95" fillId="26" borderId="109" xfId="0" applyFont="1" applyFill="1" applyBorder="1" applyAlignment="1" applyProtection="1">
      <alignment horizontal="center" vertical="center"/>
      <protection locked="0"/>
    </xf>
    <xf numFmtId="0" fontId="95" fillId="0" borderId="12" xfId="0" applyFont="1" applyBorder="1" applyAlignment="1" applyProtection="1">
      <alignment horizontal="center" vertical="center"/>
      <protection locked="0"/>
    </xf>
    <xf numFmtId="0" fontId="83" fillId="0" borderId="18" xfId="0" applyFont="1" applyBorder="1" applyAlignment="1" applyProtection="1">
      <alignment horizontal="center"/>
      <protection locked="0"/>
    </xf>
    <xf numFmtId="0" fontId="83" fillId="0" borderId="12" xfId="0" applyFont="1" applyBorder="1" applyAlignment="1" applyProtection="1">
      <alignment horizontal="center"/>
      <protection locked="0"/>
    </xf>
    <xf numFmtId="0" fontId="46" fillId="0" borderId="68" xfId="0" applyFont="1" applyBorder="1" applyAlignment="1">
      <alignment horizontal="center"/>
    </xf>
    <xf numFmtId="0" fontId="46" fillId="0" borderId="19" xfId="0" applyFont="1" applyBorder="1" applyAlignment="1">
      <alignment horizontal="center"/>
    </xf>
    <xf numFmtId="0" fontId="15" fillId="26" borderId="125" xfId="0" applyFont="1" applyFill="1" applyBorder="1" applyAlignment="1">
      <alignment horizontal="center"/>
    </xf>
    <xf numFmtId="0" fontId="46" fillId="0" borderId="125" xfId="0" applyFont="1" applyBorder="1" applyAlignment="1">
      <alignment horizontal="center"/>
    </xf>
    <xf numFmtId="0" fontId="15" fillId="26" borderId="126" xfId="0" applyFont="1" applyFill="1" applyBorder="1" applyAlignment="1">
      <alignment horizontal="center" vertical="center"/>
    </xf>
    <xf numFmtId="0" fontId="117" fillId="0" borderId="86" xfId="0" applyFont="1" applyBorder="1" applyAlignment="1" applyProtection="1">
      <alignment horizontal="center" vertical="center" wrapText="1"/>
      <protection locked="0"/>
    </xf>
    <xf numFmtId="0" fontId="117" fillId="0" borderId="19" xfId="0" applyFont="1" applyBorder="1" applyAlignment="1" applyProtection="1">
      <alignment horizontal="center" vertical="center" wrapText="1"/>
      <protection locked="0"/>
    </xf>
    <xf numFmtId="0" fontId="46" fillId="26" borderId="125" xfId="0" applyFont="1" applyFill="1" applyBorder="1" applyAlignment="1">
      <alignment horizontal="center" vertical="center" wrapText="1"/>
    </xf>
    <xf numFmtId="0" fontId="15" fillId="26" borderId="142" xfId="0" applyFont="1" applyFill="1" applyBorder="1" applyAlignment="1" applyProtection="1">
      <alignment horizontal="center" vertical="center" wrapText="1"/>
      <protection locked="0"/>
    </xf>
    <xf numFmtId="0" fontId="83" fillId="0" borderId="12" xfId="0" applyFont="1" applyBorder="1" applyProtection="1">
      <protection locked="0"/>
    </xf>
    <xf numFmtId="0" fontId="46" fillId="0" borderId="86" xfId="0" applyFont="1" applyBorder="1" applyAlignment="1">
      <alignment horizontal="center" vertical="center"/>
    </xf>
    <xf numFmtId="0" fontId="46" fillId="0" borderId="0" xfId="48" applyFont="1"/>
    <xf numFmtId="0" fontId="46" fillId="0" borderId="146" xfId="48" applyFont="1" applyBorder="1"/>
    <xf numFmtId="0" fontId="45" fillId="0" borderId="146" xfId="48" applyFont="1" applyBorder="1"/>
    <xf numFmtId="9" fontId="117" fillId="0" borderId="146" xfId="48" applyNumberFormat="1" applyFont="1" applyBorder="1" applyAlignment="1">
      <alignment horizontal="center"/>
    </xf>
    <xf numFmtId="10" fontId="117" fillId="0" borderId="146" xfId="48" applyNumberFormat="1" applyFont="1" applyBorder="1" applyAlignment="1">
      <alignment horizontal="center"/>
    </xf>
    <xf numFmtId="3" fontId="46" fillId="0" borderId="146" xfId="48" applyNumberFormat="1" applyFont="1" applyBorder="1" applyAlignment="1">
      <alignment horizontal="center"/>
    </xf>
    <xf numFmtId="0" fontId="46" fillId="0" borderId="146" xfId="48" quotePrefix="1" applyFont="1" applyBorder="1" applyAlignment="1">
      <alignment horizontal="left" wrapText="1"/>
    </xf>
    <xf numFmtId="44" fontId="117" fillId="0" borderId="146" xfId="48" applyNumberFormat="1" applyFont="1" applyBorder="1"/>
    <xf numFmtId="4" fontId="46" fillId="0" borderId="146" xfId="48" applyNumberFormat="1" applyFont="1" applyBorder="1" applyAlignment="1">
      <alignment horizontal="center"/>
    </xf>
    <xf numFmtId="44" fontId="57" fillId="0" borderId="146" xfId="48" applyNumberFormat="1" applyFont="1" applyBorder="1"/>
    <xf numFmtId="0" fontId="46" fillId="0" borderId="146" xfId="48" applyFont="1" applyBorder="1" applyAlignment="1">
      <alignment horizontal="left"/>
    </xf>
    <xf numFmtId="0" fontId="13" fillId="0" borderId="146" xfId="48" applyFont="1" applyBorder="1"/>
    <xf numFmtId="0" fontId="13" fillId="0" borderId="147" xfId="48" applyFont="1" applyBorder="1"/>
    <xf numFmtId="0" fontId="13" fillId="0" borderId="149" xfId="48" applyFont="1" applyBorder="1"/>
    <xf numFmtId="0" fontId="13" fillId="0" borderId="150" xfId="48" applyFont="1" applyBorder="1"/>
    <xf numFmtId="10" fontId="116" fillId="0" borderId="146" xfId="48" applyNumberFormat="1" applyFont="1" applyBorder="1" applyAlignment="1">
      <alignment horizontal="center"/>
    </xf>
    <xf numFmtId="0" fontId="55" fillId="0" borderId="149" xfId="48" applyFont="1" applyBorder="1"/>
    <xf numFmtId="0" fontId="55" fillId="0" borderId="148" xfId="48" applyFont="1" applyBorder="1"/>
    <xf numFmtId="0" fontId="55" fillId="0" borderId="147" xfId="48" applyFont="1" applyBorder="1"/>
    <xf numFmtId="9" fontId="116" fillId="0" borderId="146" xfId="48" applyNumberFormat="1" applyFont="1" applyBorder="1" applyAlignment="1">
      <alignment horizontal="center"/>
    </xf>
    <xf numFmtId="3" fontId="13" fillId="0" borderId="149" xfId="48" applyNumberFormat="1" applyFont="1" applyBorder="1" applyAlignment="1">
      <alignment horizontal="center"/>
    </xf>
    <xf numFmtId="0" fontId="13" fillId="0" borderId="146" xfId="48" quotePrefix="1" applyFont="1" applyBorder="1" applyAlignment="1">
      <alignment horizontal="left"/>
    </xf>
    <xf numFmtId="44" fontId="116" fillId="0" borderId="146" xfId="48" applyNumberFormat="1" applyFont="1" applyBorder="1"/>
    <xf numFmtId="4" fontId="13" fillId="0" borderId="149" xfId="48" applyNumberFormat="1" applyFont="1" applyBorder="1" applyAlignment="1">
      <alignment horizontal="center"/>
    </xf>
    <xf numFmtId="44" fontId="52" fillId="0" borderId="146" xfId="48" applyNumberFormat="1" applyFont="1" applyBorder="1"/>
    <xf numFmtId="0" fontId="49" fillId="0" borderId="146" xfId="48" applyFont="1" applyBorder="1"/>
    <xf numFmtId="0" fontId="56" fillId="0" borderId="146" xfId="48" applyFont="1" applyBorder="1"/>
    <xf numFmtId="0" fontId="103" fillId="0" borderId="68" xfId="0" quotePrefix="1" applyFont="1" applyBorder="1" applyAlignment="1">
      <alignment horizontal="right" vertical="center"/>
    </xf>
    <xf numFmtId="0" fontId="103" fillId="0" borderId="125" xfId="0" quotePrefix="1" applyFont="1" applyBorder="1" applyAlignment="1">
      <alignment horizontal="right" vertical="center"/>
    </xf>
    <xf numFmtId="0" fontId="4" fillId="0" borderId="10" xfId="0" applyFont="1" applyBorder="1" applyAlignment="1">
      <alignment horizontal="left" vertical="top" wrapText="1"/>
    </xf>
    <xf numFmtId="0" fontId="4" fillId="0" borderId="0" xfId="0" applyFont="1" applyAlignment="1">
      <alignment horizontal="left" vertical="top" wrapText="1" indent="1"/>
    </xf>
    <xf numFmtId="0" fontId="5" fillId="0" borderId="19" xfId="0" applyFont="1" applyBorder="1" applyProtection="1">
      <protection locked="0"/>
    </xf>
    <xf numFmtId="0" fontId="5" fillId="0" borderId="66" xfId="0" applyFont="1" applyBorder="1" applyProtection="1">
      <protection locked="0"/>
    </xf>
    <xf numFmtId="0" fontId="5" fillId="0" borderId="21" xfId="0" applyFont="1" applyBorder="1" applyProtection="1">
      <protection locked="0"/>
    </xf>
    <xf numFmtId="0" fontId="3" fillId="0" borderId="0" xfId="47" applyFont="1" applyAlignment="1">
      <alignment vertical="center"/>
    </xf>
    <xf numFmtId="0" fontId="4" fillId="0" borderId="0" xfId="0" applyFont="1" applyAlignment="1">
      <alignment vertical="center" wrapText="1"/>
    </xf>
    <xf numFmtId="0" fontId="3" fillId="26" borderId="0" xfId="0" applyFont="1" applyFill="1" applyAlignment="1">
      <alignment vertical="center" wrapText="1"/>
    </xf>
    <xf numFmtId="0" fontId="91" fillId="26" borderId="0" xfId="0" applyFont="1" applyFill="1" applyAlignment="1">
      <alignment vertical="center" wrapText="1"/>
    </xf>
    <xf numFmtId="0" fontId="100" fillId="0" borderId="0" xfId="0" applyFont="1" applyAlignment="1">
      <alignment vertical="center" wrapText="1"/>
    </xf>
    <xf numFmtId="0" fontId="4" fillId="0" borderId="0" xfId="42" applyAlignment="1">
      <alignment horizontal="justify" vertical="center"/>
    </xf>
    <xf numFmtId="0" fontId="4" fillId="0" borderId="0" xfId="42" applyAlignment="1">
      <alignment horizontal="left"/>
    </xf>
    <xf numFmtId="0" fontId="91" fillId="26" borderId="0" xfId="42" applyFont="1" applyFill="1" applyAlignment="1">
      <alignment horizontal="left" vertical="center" wrapText="1"/>
    </xf>
    <xf numFmtId="0" fontId="4" fillId="0" borderId="0" xfId="42" applyAlignment="1">
      <alignment horizontal="left" vertical="center" indent="1"/>
    </xf>
    <xf numFmtId="0" fontId="3" fillId="26" borderId="0" xfId="42" applyFont="1" applyFill="1" applyAlignment="1">
      <alignment vertical="center" wrapText="1"/>
    </xf>
    <xf numFmtId="49" fontId="82" fillId="0" borderId="0" xfId="0" applyNumberFormat="1" applyFont="1" applyAlignment="1">
      <alignment horizontal="center"/>
    </xf>
    <xf numFmtId="0" fontId="91" fillId="0" borderId="0" xfId="0" applyFont="1" applyAlignment="1">
      <alignment horizontal="center"/>
    </xf>
    <xf numFmtId="0" fontId="121" fillId="30" borderId="97" xfId="42" applyFont="1" applyFill="1" applyBorder="1" applyAlignment="1" applyProtection="1">
      <alignment horizontal="right" vertical="center"/>
      <protection locked="0"/>
    </xf>
    <xf numFmtId="0" fontId="121" fillId="30" borderId="82" xfId="42" applyFont="1" applyFill="1" applyBorder="1" applyAlignment="1" applyProtection="1">
      <alignment horizontal="right" vertical="center"/>
      <protection locked="0"/>
    </xf>
    <xf numFmtId="0" fontId="122" fillId="30" borderId="96" xfId="42" applyFont="1" applyFill="1" applyBorder="1" applyProtection="1">
      <protection locked="0"/>
    </xf>
    <xf numFmtId="0" fontId="95" fillId="0" borderId="0" xfId="42" applyFont="1" applyProtection="1">
      <protection locked="0"/>
    </xf>
    <xf numFmtId="0" fontId="15" fillId="0" borderId="76" xfId="42" applyFont="1" applyBorder="1" applyAlignment="1" applyProtection="1">
      <alignment vertical="center"/>
      <protection locked="0"/>
    </xf>
    <xf numFmtId="0" fontId="15" fillId="0" borderId="45" xfId="42" applyFont="1" applyBorder="1" applyAlignment="1" applyProtection="1">
      <alignment vertical="center"/>
      <protection locked="0"/>
    </xf>
    <xf numFmtId="0" fontId="83" fillId="0" borderId="0" xfId="42" applyFont="1" applyProtection="1">
      <protection locked="0"/>
    </xf>
    <xf numFmtId="0" fontId="125" fillId="0" borderId="75" xfId="42" applyFont="1" applyBorder="1" applyAlignment="1" applyProtection="1">
      <alignment horizontal="center" vertical="center"/>
      <protection locked="0"/>
    </xf>
    <xf numFmtId="0" fontId="46" fillId="0" borderId="76" xfId="42" applyFont="1" applyBorder="1" applyAlignment="1" applyProtection="1">
      <alignment horizontal="left" vertical="center" wrapText="1"/>
      <protection locked="0"/>
    </xf>
    <xf numFmtId="1" fontId="125" fillId="0" borderId="12" xfId="42" applyNumberFormat="1" applyFont="1" applyBorder="1" applyAlignment="1" applyProtection="1">
      <alignment horizontal="center" vertical="center" wrapText="1"/>
      <protection locked="0"/>
    </xf>
    <xf numFmtId="0" fontId="125" fillId="0" borderId="12" xfId="42" applyFont="1" applyBorder="1" applyAlignment="1" applyProtection="1">
      <alignment horizontal="center" vertical="center"/>
      <protection locked="0"/>
    </xf>
    <xf numFmtId="0" fontId="46" fillId="0" borderId="15" xfId="42" applyFont="1" applyBorder="1" applyAlignment="1" applyProtection="1">
      <alignment horizontal="left" vertical="center" wrapText="1"/>
      <protection locked="0"/>
    </xf>
    <xf numFmtId="0" fontId="46" fillId="0" borderId="0" xfId="42" applyFont="1" applyAlignment="1" applyProtection="1">
      <alignment horizontal="center" vertical="center"/>
      <protection locked="0"/>
    </xf>
    <xf numFmtId="0" fontId="125" fillId="0" borderId="44" xfId="42" applyFont="1" applyBorder="1" applyAlignment="1" applyProtection="1">
      <alignment horizontal="center" vertical="center"/>
      <protection locked="0"/>
    </xf>
    <xf numFmtId="0" fontId="46" fillId="0" borderId="45" xfId="42" applyFont="1" applyBorder="1" applyAlignment="1" applyProtection="1">
      <alignment horizontal="left" vertical="center" wrapText="1"/>
      <protection locked="0"/>
    </xf>
    <xf numFmtId="0" fontId="46" fillId="0" borderId="75" xfId="42" applyFont="1" applyBorder="1" applyAlignment="1">
      <alignment horizontal="center" vertical="center" wrapText="1"/>
    </xf>
    <xf numFmtId="0" fontId="46" fillId="0" borderId="44" xfId="42" applyFont="1" applyBorder="1" applyAlignment="1">
      <alignment horizontal="center" vertical="center" wrapText="1"/>
    </xf>
    <xf numFmtId="0" fontId="0" fillId="0" borderId="66" xfId="0" applyBorder="1" applyAlignment="1">
      <alignment horizontal="center" vertical="center" wrapText="1"/>
    </xf>
    <xf numFmtId="0" fontId="0" fillId="0" borderId="80" xfId="0" applyBorder="1" applyAlignment="1">
      <alignment horizontal="center" vertical="center" wrapText="1"/>
    </xf>
    <xf numFmtId="0" fontId="96" fillId="0" borderId="19" xfId="0" applyFont="1" applyBorder="1" applyAlignment="1">
      <alignment horizontal="center" vertical="center" wrapText="1"/>
    </xf>
    <xf numFmtId="0" fontId="15" fillId="0" borderId="0" xfId="42" applyFont="1" applyAlignment="1" applyProtection="1">
      <alignment vertical="center" wrapText="1"/>
      <protection locked="0"/>
    </xf>
    <xf numFmtId="0" fontId="3" fillId="0" borderId="0" xfId="42" applyFont="1" applyAlignment="1" applyProtection="1">
      <alignment horizontal="center" wrapText="1"/>
      <protection locked="0"/>
    </xf>
    <xf numFmtId="0" fontId="3" fillId="0" borderId="0" xfId="42" applyFont="1" applyAlignment="1" applyProtection="1">
      <alignment wrapText="1"/>
      <protection locked="0"/>
    </xf>
    <xf numFmtId="0" fontId="24" fillId="0" borderId="0" xfId="42" applyFont="1" applyAlignment="1" applyProtection="1">
      <alignment wrapText="1"/>
      <protection locked="0"/>
    </xf>
    <xf numFmtId="0" fontId="15" fillId="31" borderId="43" xfId="42" applyFont="1" applyFill="1" applyBorder="1" applyAlignment="1">
      <alignment horizontal="center" vertical="center" wrapText="1"/>
    </xf>
    <xf numFmtId="0" fontId="31" fillId="31" borderId="43" xfId="42" applyFont="1" applyFill="1" applyBorder="1" applyAlignment="1">
      <alignment horizontal="center" vertical="center" wrapText="1"/>
    </xf>
    <xf numFmtId="0" fontId="96" fillId="0" borderId="76" xfId="42" applyFont="1" applyBorder="1" applyAlignment="1" applyProtection="1">
      <alignment horizontal="left" vertical="center" wrapText="1"/>
      <protection locked="0"/>
    </xf>
    <xf numFmtId="0" fontId="96" fillId="0" borderId="45" xfId="42" applyFont="1" applyBorder="1" applyAlignment="1" applyProtection="1">
      <alignment horizontal="left" vertical="center" wrapText="1"/>
      <protection locked="0"/>
    </xf>
    <xf numFmtId="0" fontId="31" fillId="31" borderId="118" xfId="42" applyFont="1" applyFill="1" applyBorder="1" applyAlignment="1">
      <alignment horizontal="center" vertical="center" wrapText="1"/>
    </xf>
    <xf numFmtId="0" fontId="15" fillId="0" borderId="0" xfId="42" applyFont="1" applyAlignment="1" applyProtection="1">
      <alignment vertical="top" wrapText="1"/>
      <protection locked="0"/>
    </xf>
    <xf numFmtId="0" fontId="15" fillId="0" borderId="0" xfId="42" applyFont="1" applyAlignment="1" applyProtection="1">
      <alignment horizontal="left" vertical="top" wrapText="1"/>
      <protection locked="0"/>
    </xf>
    <xf numFmtId="0" fontId="3" fillId="0" borderId="0" xfId="42" applyFont="1" applyAlignment="1" applyProtection="1">
      <alignment vertical="top" wrapText="1"/>
      <protection locked="0"/>
    </xf>
    <xf numFmtId="0" fontId="3" fillId="0" borderId="0" xfId="42" applyFont="1" applyAlignment="1" applyProtection="1">
      <alignment horizontal="center" vertical="top" wrapText="1"/>
      <protection locked="0"/>
    </xf>
    <xf numFmtId="2" fontId="128" fillId="0" borderId="13" xfId="0" quotePrefix="1" applyNumberFormat="1" applyFont="1" applyBorder="1" applyAlignment="1" applyProtection="1">
      <alignment horizontal="center" vertical="center"/>
      <protection locked="0"/>
    </xf>
    <xf numFmtId="2" fontId="128" fillId="0" borderId="67" xfId="0" quotePrefix="1" applyNumberFormat="1" applyFont="1" applyBorder="1" applyAlignment="1" applyProtection="1">
      <alignment horizontal="center" vertical="center"/>
      <protection locked="0"/>
    </xf>
    <xf numFmtId="2" fontId="128" fillId="0" borderId="79" xfId="0" quotePrefix="1" applyNumberFormat="1" applyFont="1" applyBorder="1" applyAlignment="1" applyProtection="1">
      <alignment horizontal="center" vertical="center"/>
      <protection locked="0"/>
    </xf>
    <xf numFmtId="164" fontId="128" fillId="0" borderId="69" xfId="0" quotePrefix="1" applyNumberFormat="1" applyFont="1" applyBorder="1" applyAlignment="1" applyProtection="1">
      <alignment horizontal="center" vertical="center"/>
      <protection locked="0"/>
    </xf>
    <xf numFmtId="164" fontId="128" fillId="0" borderId="13" xfId="0" quotePrefix="1" applyNumberFormat="1" applyFont="1" applyBorder="1" applyAlignment="1" applyProtection="1">
      <alignment horizontal="center" vertical="center"/>
      <protection locked="0"/>
    </xf>
    <xf numFmtId="2" fontId="128" fillId="0" borderId="13" xfId="0" applyNumberFormat="1" applyFont="1" applyBorder="1" applyAlignment="1" applyProtection="1">
      <alignment horizontal="center" vertical="center"/>
      <protection locked="0"/>
    </xf>
    <xf numFmtId="2" fontId="128" fillId="0" borderId="71" xfId="0" quotePrefix="1" applyNumberFormat="1" applyFont="1" applyBorder="1" applyAlignment="1" applyProtection="1">
      <alignment horizontal="center" vertical="center"/>
      <protection locked="0"/>
    </xf>
    <xf numFmtId="0" fontId="4" fillId="0" borderId="0" xfId="0" applyFont="1" applyAlignment="1">
      <alignment horizontal="left" vertical="top" wrapText="1" indent="4"/>
    </xf>
    <xf numFmtId="0" fontId="46" fillId="0" borderId="12" xfId="46" applyFont="1" applyBorder="1" applyAlignment="1">
      <alignment horizontal="left" vertical="center"/>
    </xf>
    <xf numFmtId="0" fontId="46" fillId="0" borderId="0" xfId="42" applyFont="1" applyProtection="1">
      <protection locked="0"/>
    </xf>
    <xf numFmtId="0" fontId="15" fillId="0" borderId="0" xfId="42" applyFont="1" applyAlignment="1" applyProtection="1">
      <alignment horizontal="center" vertical="center" wrapText="1"/>
      <protection locked="0"/>
    </xf>
    <xf numFmtId="2" fontId="125" fillId="0" borderId="75" xfId="42" applyNumberFormat="1" applyFont="1" applyBorder="1" applyAlignment="1" applyProtection="1">
      <alignment horizontal="center" vertical="center" wrapText="1"/>
      <protection locked="0"/>
    </xf>
    <xf numFmtId="0" fontId="125" fillId="33" borderId="44" xfId="42" applyFont="1" applyFill="1" applyBorder="1" applyAlignment="1" applyProtection="1">
      <alignment horizontal="center" vertical="center" wrapText="1"/>
      <protection locked="0"/>
    </xf>
    <xf numFmtId="0" fontId="13" fillId="0" borderId="0" xfId="42" applyFont="1" applyAlignment="1" applyProtection="1">
      <alignment horizontal="center" vertical="center" wrapText="1"/>
      <protection locked="0"/>
    </xf>
    <xf numFmtId="0" fontId="125" fillId="33" borderId="12" xfId="42" applyFont="1" applyFill="1" applyBorder="1" applyAlignment="1" applyProtection="1">
      <alignment horizontal="center" vertical="center" wrapText="1"/>
      <protection locked="0"/>
    </xf>
    <xf numFmtId="0" fontId="95" fillId="0" borderId="0" xfId="42" applyFont="1" applyAlignment="1" applyProtection="1">
      <alignment horizontal="center"/>
      <protection locked="0"/>
    </xf>
    <xf numFmtId="0" fontId="46" fillId="0" borderId="0" xfId="42" applyFont="1" applyAlignment="1" applyProtection="1">
      <alignment horizontal="center" vertical="center" wrapText="1"/>
      <protection locked="0"/>
    </xf>
    <xf numFmtId="2" fontId="125" fillId="0" borderId="12" xfId="42" applyNumberFormat="1" applyFont="1" applyBorder="1" applyAlignment="1" applyProtection="1">
      <alignment horizontal="center" vertical="center" wrapText="1"/>
      <protection locked="0"/>
    </xf>
    <xf numFmtId="0" fontId="24" fillId="0" borderId="0" xfId="42" applyFont="1" applyAlignment="1" applyProtection="1">
      <alignment horizontal="center" wrapText="1"/>
      <protection locked="0"/>
    </xf>
    <xf numFmtId="2" fontId="46" fillId="0" borderId="71" xfId="0" quotePrefix="1" applyNumberFormat="1" applyFont="1" applyBorder="1" applyAlignment="1" applyProtection="1">
      <alignment horizontal="center" vertical="center"/>
      <protection locked="0"/>
    </xf>
    <xf numFmtId="2" fontId="46" fillId="0" borderId="69" xfId="0" quotePrefix="1" applyNumberFormat="1" applyFont="1" applyBorder="1" applyAlignment="1" applyProtection="1">
      <alignment horizontal="center" vertical="center"/>
      <protection locked="0"/>
    </xf>
    <xf numFmtId="2" fontId="46" fillId="0" borderId="13" xfId="0" quotePrefix="1" applyNumberFormat="1" applyFont="1" applyBorder="1" applyAlignment="1" applyProtection="1">
      <alignment horizontal="center" vertical="center"/>
      <protection locked="0"/>
    </xf>
    <xf numFmtId="166" fontId="46" fillId="0" borderId="11" xfId="46" applyNumberFormat="1" applyFont="1" applyBorder="1" applyAlignment="1">
      <alignment horizontal="center" vertical="center"/>
    </xf>
    <xf numFmtId="0" fontId="15" fillId="31" borderId="106" xfId="42" applyFont="1" applyFill="1" applyBorder="1" applyAlignment="1">
      <alignment horizontal="center" vertical="center"/>
    </xf>
    <xf numFmtId="164" fontId="124" fillId="30" borderId="98" xfId="42" applyNumberFormat="1" applyFont="1" applyFill="1" applyBorder="1" applyAlignment="1">
      <alignment vertical="center"/>
    </xf>
    <xf numFmtId="0" fontId="122" fillId="30" borderId="73" xfId="42" applyFont="1" applyFill="1" applyBorder="1" applyAlignment="1">
      <alignment wrapText="1"/>
    </xf>
    <xf numFmtId="0" fontId="122" fillId="30" borderId="73" xfId="42" applyFont="1" applyFill="1" applyBorder="1"/>
    <xf numFmtId="0" fontId="122" fillId="30" borderId="97" xfId="42" applyFont="1" applyFill="1" applyBorder="1"/>
    <xf numFmtId="164" fontId="124" fillId="30" borderId="95" xfId="42" applyNumberFormat="1" applyFont="1" applyFill="1" applyBorder="1" applyAlignment="1">
      <alignment vertical="center"/>
    </xf>
    <xf numFmtId="0" fontId="122" fillId="30" borderId="88" xfId="42" applyFont="1" applyFill="1" applyBorder="1" applyAlignment="1">
      <alignment wrapText="1"/>
    </xf>
    <xf numFmtId="0" fontId="122" fillId="30" borderId="88" xfId="42" applyFont="1" applyFill="1" applyBorder="1"/>
    <xf numFmtId="0" fontId="122" fillId="30" borderId="96" xfId="42" applyFont="1" applyFill="1" applyBorder="1"/>
    <xf numFmtId="0" fontId="15" fillId="31" borderId="76" xfId="42" applyFont="1" applyFill="1" applyBorder="1" applyAlignment="1">
      <alignment horizontal="center" vertical="center"/>
    </xf>
    <xf numFmtId="0" fontId="15" fillId="31" borderId="44" xfId="42" applyFont="1" applyFill="1" applyBorder="1" applyAlignment="1">
      <alignment horizontal="center" vertical="center" wrapText="1"/>
    </xf>
    <xf numFmtId="0" fontId="15" fillId="31" borderId="87" xfId="42" applyFont="1" applyFill="1" applyBorder="1" applyAlignment="1">
      <alignment horizontal="center" vertical="center" wrapText="1"/>
    </xf>
    <xf numFmtId="0" fontId="13" fillId="31" borderId="45" xfId="42" applyFont="1" applyFill="1" applyBorder="1" applyAlignment="1">
      <alignment horizontal="center" vertical="center" wrapText="1"/>
    </xf>
    <xf numFmtId="164" fontId="46" fillId="0" borderId="83" xfId="42" quotePrefix="1" applyNumberFormat="1" applyFont="1" applyBorder="1" applyAlignment="1">
      <alignment horizontal="center" vertical="center" wrapText="1"/>
    </xf>
    <xf numFmtId="0" fontId="46" fillId="0" borderId="75" xfId="42" applyFont="1" applyBorder="1" applyAlignment="1">
      <alignment horizontal="left" vertical="center" wrapText="1"/>
    </xf>
    <xf numFmtId="164" fontId="46" fillId="0" borderId="11" xfId="42" quotePrefix="1" applyNumberFormat="1" applyFont="1" applyBorder="1" applyAlignment="1">
      <alignment horizontal="center" vertical="center" wrapText="1"/>
    </xf>
    <xf numFmtId="2" fontId="46" fillId="0" borderId="11" xfId="42" quotePrefix="1" applyNumberFormat="1" applyFont="1" applyBorder="1" applyAlignment="1">
      <alignment horizontal="center" vertical="center" wrapText="1"/>
    </xf>
    <xf numFmtId="0" fontId="46" fillId="0" borderId="44" xfId="42" applyFont="1" applyBorder="1" applyAlignment="1">
      <alignment horizontal="left" vertical="center" wrapText="1"/>
    </xf>
    <xf numFmtId="0" fontId="46" fillId="32" borderId="12" xfId="42" applyFont="1" applyFill="1" applyBorder="1" applyAlignment="1">
      <alignment horizontal="center" vertical="center"/>
    </xf>
    <xf numFmtId="0" fontId="15" fillId="31" borderId="118" xfId="42" applyFont="1" applyFill="1" applyBorder="1" applyAlignment="1">
      <alignment horizontal="center" vertical="center" wrapText="1"/>
    </xf>
    <xf numFmtId="0" fontId="13" fillId="31" borderId="106" xfId="42" applyFont="1" applyFill="1" applyBorder="1" applyAlignment="1">
      <alignment horizontal="left" vertical="center" wrapText="1"/>
    </xf>
    <xf numFmtId="0" fontId="31" fillId="31" borderId="118" xfId="42" applyFont="1" applyFill="1" applyBorder="1" applyAlignment="1">
      <alignment horizontal="center" vertical="center"/>
    </xf>
    <xf numFmtId="0" fontId="13" fillId="31" borderId="106" xfId="42" applyFont="1" applyFill="1" applyBorder="1" applyAlignment="1">
      <alignment horizontal="right" vertical="center" wrapText="1"/>
    </xf>
    <xf numFmtId="2" fontId="46" fillId="0" borderId="83" xfId="42" applyNumberFormat="1" applyFont="1" applyBorder="1" applyAlignment="1">
      <alignment horizontal="center" vertical="center" wrapText="1"/>
    </xf>
    <xf numFmtId="2" fontId="46" fillId="0" borderId="84" xfId="42" applyNumberFormat="1" applyFont="1" applyBorder="1" applyAlignment="1">
      <alignment horizontal="center" vertical="center" wrapText="1"/>
    </xf>
    <xf numFmtId="0" fontId="46" fillId="32" borderId="44" xfId="42" applyFont="1" applyFill="1" applyBorder="1" applyAlignment="1">
      <alignment horizontal="center" vertical="center"/>
    </xf>
    <xf numFmtId="1" fontId="46" fillId="0" borderId="75" xfId="42" applyNumberFormat="1" applyFont="1" applyBorder="1" applyAlignment="1">
      <alignment horizontal="center" vertical="center"/>
    </xf>
    <xf numFmtId="0" fontId="46" fillId="0" borderId="12" xfId="42" applyFont="1" applyBorder="1" applyAlignment="1">
      <alignment horizontal="center" vertical="center"/>
    </xf>
    <xf numFmtId="1" fontId="46" fillId="0" borderId="12" xfId="42" applyNumberFormat="1" applyFont="1" applyBorder="1" applyAlignment="1">
      <alignment horizontal="center" vertical="center"/>
    </xf>
    <xf numFmtId="0" fontId="60" fillId="0" borderId="0" xfId="42" applyFont="1"/>
    <xf numFmtId="0" fontId="120" fillId="0" borderId="0" xfId="42" applyFont="1" applyAlignment="1">
      <alignment horizontal="center" vertical="center"/>
    </xf>
    <xf numFmtId="0" fontId="5" fillId="0" borderId="0" xfId="42" applyFont="1"/>
    <xf numFmtId="0" fontId="96" fillId="0" borderId="0" xfId="42" applyFont="1" applyAlignment="1">
      <alignment horizontal="right" vertical="center"/>
    </xf>
    <xf numFmtId="0" fontId="46" fillId="0" borderId="0" xfId="42" applyFont="1"/>
    <xf numFmtId="0" fontId="46" fillId="0" borderId="0" xfId="42" applyFont="1" applyAlignment="1">
      <alignment horizontal="center" vertical="center"/>
    </xf>
    <xf numFmtId="0" fontId="95" fillId="0" borderId="0" xfId="42" applyFont="1"/>
    <xf numFmtId="0" fontId="15" fillId="0" borderId="0" xfId="42" applyFont="1" applyAlignment="1">
      <alignment horizontal="center" vertical="center" wrapText="1"/>
    </xf>
    <xf numFmtId="0" fontId="45" fillId="0" borderId="0" xfId="42" applyFont="1" applyAlignment="1">
      <alignment horizontal="center" vertical="center"/>
    </xf>
    <xf numFmtId="0" fontId="13" fillId="0" borderId="12" xfId="42" applyFont="1" applyBorder="1" applyAlignment="1">
      <alignment horizontal="center" vertical="center" wrapText="1"/>
    </xf>
    <xf numFmtId="0" fontId="46" fillId="0" borderId="154" xfId="42" applyFont="1" applyBorder="1" applyAlignment="1">
      <alignment horizontal="center" vertical="center" wrapText="1"/>
    </xf>
    <xf numFmtId="0" fontId="46" fillId="0" borderId="155" xfId="42" applyFont="1" applyBorder="1" applyAlignment="1">
      <alignment horizontal="center" vertical="center" wrapText="1"/>
    </xf>
    <xf numFmtId="0" fontId="46" fillId="0" borderId="156" xfId="42" applyFont="1" applyBorder="1" applyAlignment="1">
      <alignment horizontal="center" vertical="center" wrapText="1"/>
    </xf>
    <xf numFmtId="0" fontId="46" fillId="0" borderId="156" xfId="42" applyFont="1" applyBorder="1" applyAlignment="1">
      <alignment horizontal="center" vertical="center"/>
    </xf>
    <xf numFmtId="0" fontId="46" fillId="0" borderId="154" xfId="42" applyFont="1" applyBorder="1" applyAlignment="1">
      <alignment horizontal="center" vertical="center"/>
    </xf>
    <xf numFmtId="0" fontId="46" fillId="0" borderId="157" xfId="42" applyFont="1" applyBorder="1" applyAlignment="1">
      <alignment horizontal="center" vertical="center" wrapText="1"/>
    </xf>
    <xf numFmtId="0" fontId="46" fillId="0" borderId="158" xfId="42" applyFont="1" applyBorder="1" applyAlignment="1">
      <alignment horizontal="center" vertical="center" wrapText="1"/>
    </xf>
    <xf numFmtId="0" fontId="46" fillId="0" borderId="159" xfId="42" applyFont="1" applyBorder="1" applyAlignment="1">
      <alignment horizontal="center" vertical="center"/>
    </xf>
    <xf numFmtId="0" fontId="46" fillId="0" borderId="160" xfId="42" applyFont="1" applyBorder="1" applyAlignment="1">
      <alignment horizontal="center" vertical="center" wrapText="1"/>
    </xf>
    <xf numFmtId="0" fontId="46" fillId="0" borderId="161" xfId="42" applyFont="1" applyBorder="1" applyAlignment="1">
      <alignment horizontal="center" vertical="center"/>
    </xf>
    <xf numFmtId="0" fontId="46" fillId="0" borderId="162" xfId="42" applyFont="1" applyBorder="1" applyAlignment="1">
      <alignment horizontal="center" vertical="center" wrapText="1"/>
    </xf>
    <xf numFmtId="0" fontId="46" fillId="0" borderId="163" xfId="42" applyFont="1" applyBorder="1" applyAlignment="1">
      <alignment horizontal="center" vertical="center" wrapText="1"/>
    </xf>
    <xf numFmtId="0" fontId="46" fillId="0" borderId="164" xfId="42" applyFont="1" applyBorder="1" applyAlignment="1">
      <alignment horizontal="center" vertical="center" wrapText="1"/>
    </xf>
    <xf numFmtId="0" fontId="46" fillId="0" borderId="165" xfId="42" applyFont="1" applyBorder="1"/>
    <xf numFmtId="0" fontId="46" fillId="0" borderId="167" xfId="42" applyFont="1" applyBorder="1" applyAlignment="1">
      <alignment horizontal="center" vertical="center" wrapText="1"/>
    </xf>
    <xf numFmtId="0" fontId="46" fillId="0" borderId="168" xfId="42" applyFont="1" applyBorder="1" applyAlignment="1">
      <alignment horizontal="center" vertical="center" wrapText="1"/>
    </xf>
    <xf numFmtId="0" fontId="46" fillId="0" borderId="169" xfId="42" applyFont="1" applyBorder="1" applyAlignment="1">
      <alignment horizontal="center" vertical="center" wrapText="1"/>
    </xf>
    <xf numFmtId="0" fontId="46" fillId="0" borderId="170" xfId="42" applyFont="1" applyBorder="1" applyAlignment="1">
      <alignment horizontal="center" vertical="center" wrapText="1"/>
    </xf>
    <xf numFmtId="0" fontId="46" fillId="0" borderId="171" xfId="42" applyFont="1" applyBorder="1" applyAlignment="1">
      <alignment horizontal="center" vertical="center" wrapText="1"/>
    </xf>
    <xf numFmtId="0" fontId="46" fillId="0" borderId="169" xfId="42" applyFont="1" applyBorder="1" applyAlignment="1">
      <alignment horizontal="center" vertical="center"/>
    </xf>
    <xf numFmtId="0" fontId="46" fillId="0" borderId="172" xfId="42" applyFont="1" applyBorder="1" applyAlignment="1">
      <alignment horizontal="center" vertical="center"/>
    </xf>
    <xf numFmtId="0" fontId="24" fillId="0" borderId="0" xfId="42" applyFont="1" applyAlignment="1">
      <alignment wrapText="1"/>
    </xf>
    <xf numFmtId="0" fontId="46" fillId="0" borderId="155" xfId="42" applyFont="1" applyBorder="1" applyAlignment="1">
      <alignment horizontal="left" vertical="center" wrapText="1"/>
    </xf>
    <xf numFmtId="0" fontId="15" fillId="0" borderId="0" xfId="42" applyFont="1" applyAlignment="1">
      <alignment horizontal="left" vertical="top" wrapText="1"/>
    </xf>
    <xf numFmtId="0" fontId="5" fillId="0" borderId="66" xfId="42" applyFont="1" applyBorder="1"/>
    <xf numFmtId="0" fontId="46" fillId="0" borderId="66" xfId="42" applyFont="1" applyBorder="1" applyAlignment="1">
      <alignment horizontal="center" vertical="center"/>
    </xf>
    <xf numFmtId="0" fontId="46" fillId="0" borderId="66" xfId="42" applyFont="1" applyBorder="1" applyAlignment="1">
      <alignment horizontal="left" vertical="center" wrapText="1"/>
    </xf>
    <xf numFmtId="0" fontId="13" fillId="0" borderId="0" xfId="42" applyFont="1" applyAlignment="1">
      <alignment horizontal="center" vertical="center" wrapText="1"/>
    </xf>
    <xf numFmtId="0" fontId="46" fillId="0" borderId="37" xfId="42" applyFont="1" applyBorder="1" applyAlignment="1">
      <alignment horizontal="center" vertical="center"/>
    </xf>
    <xf numFmtId="0" fontId="46" fillId="0" borderId="37" xfId="42" applyFont="1" applyBorder="1" applyAlignment="1">
      <alignment horizontal="left" vertical="center" wrapText="1"/>
    </xf>
    <xf numFmtId="0" fontId="125" fillId="33" borderId="12" xfId="42" applyFont="1" applyFill="1" applyBorder="1" applyAlignment="1" applyProtection="1">
      <alignment horizontal="center" vertical="center"/>
      <protection locked="0"/>
    </xf>
    <xf numFmtId="0" fontId="125" fillId="33" borderId="75" xfId="42" applyFont="1" applyFill="1" applyBorder="1" applyAlignment="1" applyProtection="1">
      <alignment horizontal="center" vertical="center"/>
      <protection locked="0"/>
    </xf>
    <xf numFmtId="0" fontId="95" fillId="30" borderId="73" xfId="42" applyFont="1" applyFill="1" applyBorder="1" applyAlignment="1">
      <alignment wrapText="1"/>
    </xf>
    <xf numFmtId="0" fontId="95" fillId="30" borderId="73" xfId="42" applyFont="1" applyFill="1" applyBorder="1"/>
    <xf numFmtId="0" fontId="95" fillId="30" borderId="97" xfId="42" applyFont="1" applyFill="1" applyBorder="1"/>
    <xf numFmtId="164" fontId="110" fillId="30" borderId="95" xfId="42" applyNumberFormat="1" applyFont="1" applyFill="1" applyBorder="1" applyAlignment="1">
      <alignment vertical="center"/>
    </xf>
    <xf numFmtId="0" fontId="95" fillId="30" borderId="88" xfId="42" applyFont="1" applyFill="1" applyBorder="1" applyAlignment="1">
      <alignment wrapText="1"/>
    </xf>
    <xf numFmtId="0" fontId="95" fillId="30" borderId="88" xfId="42" applyFont="1" applyFill="1" applyBorder="1"/>
    <xf numFmtId="0" fontId="95" fillId="30" borderId="96" xfId="42" applyFont="1" applyFill="1" applyBorder="1"/>
    <xf numFmtId="0" fontId="46" fillId="0" borderId="75" xfId="42" applyFont="1" applyBorder="1" applyAlignment="1">
      <alignment vertical="center" wrapText="1"/>
    </xf>
    <xf numFmtId="0" fontId="46" fillId="0" borderId="12" xfId="42" applyFont="1" applyBorder="1" applyAlignment="1">
      <alignment vertical="center" wrapText="1"/>
    </xf>
    <xf numFmtId="0" fontId="117" fillId="32" borderId="18" xfId="42" applyFont="1" applyFill="1" applyBorder="1" applyAlignment="1">
      <alignment vertical="center" wrapText="1"/>
    </xf>
    <xf numFmtId="0" fontId="117" fillId="32" borderId="12" xfId="42" applyFont="1" applyFill="1" applyBorder="1" applyAlignment="1">
      <alignment horizontal="center" vertical="center" wrapText="1"/>
    </xf>
    <xf numFmtId="0" fontId="125" fillId="0" borderId="12" xfId="42" applyFont="1" applyBorder="1" applyAlignment="1" applyProtection="1">
      <alignment horizontal="center" vertical="center" wrapText="1"/>
      <protection locked="0"/>
    </xf>
    <xf numFmtId="0" fontId="46" fillId="32" borderId="12" xfId="42" applyFont="1" applyFill="1" applyBorder="1" applyAlignment="1">
      <alignment vertical="center" wrapText="1"/>
    </xf>
    <xf numFmtId="2" fontId="46" fillId="0" borderId="11" xfId="42" applyNumberFormat="1" applyFont="1" applyBorder="1" applyAlignment="1">
      <alignment horizontal="center" vertical="center" wrapText="1"/>
    </xf>
    <xf numFmtId="0" fontId="125" fillId="0" borderId="44" xfId="42" applyFont="1" applyBorder="1" applyAlignment="1" applyProtection="1">
      <alignment horizontal="center" vertical="center" wrapText="1"/>
      <protection locked="0"/>
    </xf>
    <xf numFmtId="0" fontId="46" fillId="0" borderId="44" xfId="42" applyFont="1" applyBorder="1" applyAlignment="1">
      <alignment vertical="center" wrapText="1"/>
    </xf>
    <xf numFmtId="0" fontId="58" fillId="31" borderId="121" xfId="42" applyFont="1" applyFill="1" applyBorder="1" applyAlignment="1">
      <alignment horizontal="left" vertical="center" wrapText="1"/>
    </xf>
    <xf numFmtId="0" fontId="13" fillId="31" borderId="106" xfId="42" applyFont="1" applyFill="1" applyBorder="1" applyAlignment="1">
      <alignment horizontal="center" vertical="center" wrapText="1"/>
    </xf>
    <xf numFmtId="0" fontId="95" fillId="0" borderId="0" xfId="42" applyFont="1" applyAlignment="1">
      <alignment horizontal="center"/>
    </xf>
    <xf numFmtId="0" fontId="15" fillId="0" borderId="0" xfId="42" applyFont="1" applyAlignment="1">
      <alignment horizontal="center" vertical="center"/>
    </xf>
    <xf numFmtId="0" fontId="46" fillId="0" borderId="164" xfId="42" applyFont="1" applyBorder="1" applyAlignment="1">
      <alignment vertical="center" wrapText="1"/>
    </xf>
    <xf numFmtId="0" fontId="3" fillId="0" borderId="0" xfId="42" applyFont="1" applyAlignment="1">
      <alignment horizontal="center" wrapText="1"/>
    </xf>
    <xf numFmtId="0" fontId="5" fillId="0" borderId="0" xfId="42" applyFont="1" applyAlignment="1">
      <alignment horizontal="center" vertical="center"/>
    </xf>
    <xf numFmtId="2" fontId="13" fillId="0" borderId="12" xfId="42" applyNumberFormat="1" applyFont="1" applyBorder="1" applyAlignment="1">
      <alignment horizontal="center" vertical="center" wrapText="1"/>
    </xf>
    <xf numFmtId="0" fontId="46" fillId="0" borderId="155" xfId="42" applyFont="1" applyBorder="1" applyAlignment="1">
      <alignment horizontal="center" vertical="center"/>
    </xf>
    <xf numFmtId="0" fontId="46" fillId="0" borderId="0" xfId="42" applyFont="1" applyAlignment="1">
      <alignment horizontal="left" vertical="center" wrapText="1"/>
    </xf>
    <xf numFmtId="0" fontId="46" fillId="0" borderId="18" xfId="42" applyFont="1" applyBorder="1" applyAlignment="1">
      <alignment vertical="center" wrapText="1"/>
    </xf>
    <xf numFmtId="0" fontId="46" fillId="0" borderId="18" xfId="42" applyFont="1" applyBorder="1" applyAlignment="1">
      <alignment horizontal="center" vertical="center"/>
    </xf>
    <xf numFmtId="0" fontId="46" fillId="0" borderId="12" xfId="42" applyFont="1" applyBorder="1" applyAlignment="1">
      <alignment horizontal="center" vertical="center" wrapText="1"/>
    </xf>
    <xf numFmtId="0" fontId="125" fillId="0" borderId="18" xfId="42" applyFont="1" applyBorder="1" applyAlignment="1" applyProtection="1">
      <alignment horizontal="center" vertical="center" wrapText="1"/>
      <protection locked="0"/>
    </xf>
    <xf numFmtId="0" fontId="125" fillId="0" borderId="75" xfId="42" applyFont="1" applyBorder="1" applyAlignment="1" applyProtection="1">
      <alignment horizontal="center" vertical="center" wrapText="1"/>
      <protection locked="0"/>
    </xf>
    <xf numFmtId="0" fontId="15" fillId="26" borderId="10" xfId="42" applyFont="1" applyFill="1" applyBorder="1" applyAlignment="1">
      <alignment horizontal="center" vertical="center"/>
    </xf>
    <xf numFmtId="0" fontId="15" fillId="26" borderId="20" xfId="42" applyFont="1" applyFill="1" applyBorder="1" applyAlignment="1">
      <alignment horizontal="center" vertical="center"/>
    </xf>
    <xf numFmtId="0" fontId="46" fillId="0" borderId="16" xfId="42" applyFont="1" applyBorder="1" applyAlignment="1">
      <alignment horizontal="center" vertical="center" wrapText="1"/>
    </xf>
    <xf numFmtId="0" fontId="46" fillId="0" borderId="18" xfId="42" applyFont="1" applyBorder="1" applyAlignment="1">
      <alignment horizontal="center" vertical="center" wrapText="1"/>
    </xf>
    <xf numFmtId="0" fontId="96" fillId="0" borderId="15" xfId="42" applyFont="1" applyBorder="1" applyAlignment="1" applyProtection="1">
      <alignment horizontal="left" vertical="center" wrapText="1"/>
      <protection locked="0"/>
    </xf>
    <xf numFmtId="0" fontId="96" fillId="0" borderId="63" xfId="42" applyFont="1" applyBorder="1" applyAlignment="1" applyProtection="1">
      <alignment horizontal="left" vertical="center" wrapText="1"/>
      <protection locked="0"/>
    </xf>
    <xf numFmtId="0" fontId="130" fillId="0" borderId="45" xfId="42" applyFont="1" applyBorder="1" applyAlignment="1" applyProtection="1">
      <alignment horizontal="left" vertical="center" wrapText="1"/>
      <protection locked="0"/>
    </xf>
    <xf numFmtId="0" fontId="130" fillId="0" borderId="121" xfId="42" applyFont="1" applyBorder="1" applyAlignment="1" applyProtection="1">
      <alignment horizontal="left" vertical="center" wrapText="1"/>
      <protection locked="0"/>
    </xf>
    <xf numFmtId="1" fontId="125" fillId="0" borderId="44" xfId="42" applyNumberFormat="1" applyFont="1" applyBorder="1" applyAlignment="1" applyProtection="1">
      <alignment horizontal="center" vertical="center" wrapText="1"/>
      <protection locked="0"/>
    </xf>
    <xf numFmtId="0" fontId="46" fillId="0" borderId="173" xfId="42" applyFont="1" applyBorder="1" applyAlignment="1">
      <alignment vertical="center" wrapText="1"/>
    </xf>
    <xf numFmtId="0" fontId="45" fillId="0" borderId="163" xfId="42" applyFont="1" applyBorder="1" applyAlignment="1">
      <alignment horizontal="center" wrapText="1"/>
    </xf>
    <xf numFmtId="0" fontId="45" fillId="0" borderId="164" xfId="42" applyFont="1" applyBorder="1" applyAlignment="1">
      <alignment horizontal="center" wrapText="1"/>
    </xf>
    <xf numFmtId="0" fontId="46" fillId="0" borderId="171" xfId="42" applyFont="1" applyBorder="1" applyAlignment="1">
      <alignment horizontal="center" vertical="center"/>
    </xf>
    <xf numFmtId="0" fontId="46" fillId="0" borderId="174" xfId="42" applyFont="1" applyBorder="1" applyAlignment="1">
      <alignment horizontal="center" vertical="center" wrapText="1"/>
    </xf>
    <xf numFmtId="0" fontId="46" fillId="0" borderId="175" xfId="42" applyFont="1" applyBorder="1" applyAlignment="1">
      <alignment horizontal="center" vertical="center" wrapText="1"/>
    </xf>
    <xf numFmtId="0" fontId="46" fillId="0" borderId="175" xfId="42" applyFont="1" applyBorder="1" applyAlignment="1">
      <alignment horizontal="center" vertical="center"/>
    </xf>
    <xf numFmtId="164" fontId="46" fillId="0" borderId="16" xfId="0" quotePrefix="1" applyNumberFormat="1" applyFont="1" applyBorder="1" applyAlignment="1">
      <alignment horizontal="center" vertical="center"/>
    </xf>
    <xf numFmtId="0" fontId="45" fillId="0" borderId="155" xfId="42" applyFont="1" applyBorder="1" applyAlignment="1">
      <alignment horizontal="center" wrapText="1"/>
    </xf>
    <xf numFmtId="0" fontId="45" fillId="0" borderId="156" xfId="42" applyFont="1" applyBorder="1" applyAlignment="1">
      <alignment horizontal="center" wrapText="1"/>
    </xf>
    <xf numFmtId="0" fontId="46" fillId="0" borderId="19" xfId="42" applyFont="1" applyBorder="1" applyAlignment="1">
      <alignment horizontal="center" vertical="center" wrapText="1"/>
    </xf>
    <xf numFmtId="164" fontId="46" fillId="0" borderId="12" xfId="0" quotePrefix="1" applyNumberFormat="1" applyFont="1" applyBorder="1" applyAlignment="1">
      <alignment horizontal="center" vertical="center"/>
    </xf>
    <xf numFmtId="0" fontId="45" fillId="0" borderId="0" xfId="42" applyFont="1" applyAlignment="1">
      <alignment horizontal="center" wrapText="1"/>
    </xf>
    <xf numFmtId="0" fontId="118" fillId="0" borderId="155" xfId="42" applyFont="1" applyBorder="1" applyAlignment="1">
      <alignment horizontal="center" wrapText="1"/>
    </xf>
    <xf numFmtId="0" fontId="118" fillId="0" borderId="156" xfId="42" applyFont="1" applyBorder="1" applyAlignment="1">
      <alignment horizontal="center" wrapText="1"/>
    </xf>
    <xf numFmtId="0" fontId="130" fillId="0" borderId="63" xfId="42" applyFont="1" applyBorder="1" applyAlignment="1" applyProtection="1">
      <alignment horizontal="left" vertical="center" wrapText="1"/>
      <protection locked="0"/>
    </xf>
    <xf numFmtId="0" fontId="130" fillId="0" borderId="15" xfId="42" applyFont="1" applyBorder="1" applyAlignment="1" applyProtection="1">
      <alignment horizontal="left" vertical="center" wrapText="1"/>
      <protection locked="0"/>
    </xf>
    <xf numFmtId="2" fontId="46" fillId="0" borderId="12" xfId="0" quotePrefix="1" applyNumberFormat="1" applyFont="1" applyBorder="1" applyAlignment="1">
      <alignment horizontal="center" vertical="center"/>
    </xf>
    <xf numFmtId="164" fontId="46" fillId="0" borderId="65" xfId="0" quotePrefix="1" applyNumberFormat="1" applyFont="1" applyBorder="1" applyAlignment="1">
      <alignment horizontal="center" vertical="center"/>
    </xf>
    <xf numFmtId="0" fontId="125" fillId="0" borderId="16" xfId="42" applyFont="1" applyBorder="1" applyAlignment="1" applyProtection="1">
      <alignment horizontal="center" vertical="center" wrapText="1"/>
      <protection locked="0"/>
    </xf>
    <xf numFmtId="2" fontId="46" fillId="0" borderId="84" xfId="0" quotePrefix="1" applyNumberFormat="1" applyFont="1" applyBorder="1" applyAlignment="1">
      <alignment horizontal="center" vertical="center"/>
    </xf>
    <xf numFmtId="0" fontId="46" fillId="0" borderId="44" xfId="0" applyFont="1" applyBorder="1" applyAlignment="1">
      <alignment horizontal="left" vertical="center" wrapText="1"/>
    </xf>
    <xf numFmtId="0" fontId="117" fillId="32" borderId="44" xfId="42" applyFont="1" applyFill="1" applyBorder="1" applyAlignment="1">
      <alignment horizontal="center" vertical="center" wrapText="1"/>
    </xf>
    <xf numFmtId="0" fontId="46" fillId="0" borderId="176" xfId="42" applyFont="1" applyBorder="1" applyAlignment="1">
      <alignment horizontal="center" vertical="center" wrapText="1"/>
    </xf>
    <xf numFmtId="0" fontId="46" fillId="0" borderId="177" xfId="42" applyFont="1" applyBorder="1" applyAlignment="1">
      <alignment horizontal="center" vertical="center" wrapText="1"/>
    </xf>
    <xf numFmtId="0" fontId="46" fillId="0" borderId="178" xfId="42" applyFont="1" applyBorder="1" applyAlignment="1">
      <alignment horizontal="center" vertical="center"/>
    </xf>
    <xf numFmtId="0" fontId="46" fillId="0" borderId="179" xfId="42" applyFont="1" applyBorder="1" applyAlignment="1">
      <alignment horizontal="center" vertical="center" wrapText="1"/>
    </xf>
    <xf numFmtId="0" fontId="46" fillId="0" borderId="178" xfId="42" applyFont="1" applyBorder="1" applyAlignment="1">
      <alignment horizontal="center" vertical="center" wrapText="1"/>
    </xf>
    <xf numFmtId="0" fontId="45" fillId="0" borderId="177" xfId="42" applyFont="1" applyBorder="1" applyAlignment="1">
      <alignment horizontal="center" wrapText="1"/>
    </xf>
    <xf numFmtId="0" fontId="45" fillId="0" borderId="178" xfId="42" applyFont="1" applyBorder="1" applyAlignment="1">
      <alignment horizontal="center" wrapText="1"/>
    </xf>
    <xf numFmtId="0" fontId="46" fillId="0" borderId="66" xfId="42" applyFont="1" applyBorder="1" applyAlignment="1">
      <alignment horizontal="center" vertical="center" wrapText="1"/>
    </xf>
    <xf numFmtId="2" fontId="46" fillId="0" borderId="12" xfId="42" applyNumberFormat="1" applyFont="1" applyBorder="1" applyAlignment="1">
      <alignment horizontal="center" vertical="center" wrapText="1"/>
    </xf>
    <xf numFmtId="0" fontId="46" fillId="0" borderId="18" xfId="0" applyFont="1" applyBorder="1" applyAlignment="1">
      <alignment vertical="center" wrapText="1"/>
    </xf>
    <xf numFmtId="0" fontId="125" fillId="0" borderId="43" xfId="42" applyFont="1" applyBorder="1" applyAlignment="1" applyProtection="1">
      <alignment horizontal="center" vertical="center" wrapText="1"/>
      <protection locked="0"/>
    </xf>
    <xf numFmtId="2" fontId="117" fillId="0" borderId="12" xfId="42" applyNumberFormat="1" applyFont="1" applyBorder="1" applyAlignment="1" applyProtection="1">
      <alignment horizontal="center" vertical="center" wrapText="1"/>
      <protection locked="0"/>
    </xf>
    <xf numFmtId="164" fontId="46" fillId="0" borderId="84" xfId="0" quotePrefix="1" applyNumberFormat="1" applyFont="1" applyBorder="1" applyAlignment="1">
      <alignment horizontal="center" vertical="center"/>
    </xf>
    <xf numFmtId="0" fontId="46" fillId="32" borderId="44" xfId="42" applyFont="1" applyFill="1" applyBorder="1" applyAlignment="1">
      <alignment horizontal="center" vertical="center" wrapText="1"/>
    </xf>
    <xf numFmtId="0" fontId="15" fillId="26" borderId="68" xfId="42" applyFont="1" applyFill="1" applyBorder="1" applyAlignment="1">
      <alignment horizontal="center" vertical="center"/>
    </xf>
    <xf numFmtId="0" fontId="46" fillId="0" borderId="20" xfId="42" applyFont="1" applyBorder="1" applyAlignment="1">
      <alignment horizontal="center" vertical="center" wrapText="1"/>
    </xf>
    <xf numFmtId="0" fontId="46" fillId="0" borderId="21" xfId="42" applyFont="1" applyBorder="1" applyAlignment="1">
      <alignment horizontal="center" vertical="center" wrapText="1"/>
    </xf>
    <xf numFmtId="0" fontId="6" fillId="0" borderId="0" xfId="0" applyFont="1" applyAlignment="1" applyProtection="1">
      <alignment wrapText="1"/>
      <protection locked="0"/>
    </xf>
    <xf numFmtId="2" fontId="6" fillId="0" borderId="12" xfId="0" applyNumberFormat="1" applyFont="1" applyBorder="1" applyAlignment="1" applyProtection="1">
      <alignment horizontal="center"/>
      <protection locked="0"/>
    </xf>
    <xf numFmtId="0" fontId="6" fillId="0" borderId="0" xfId="0" applyFont="1" applyAlignment="1" applyProtection="1">
      <alignment horizontal="center" wrapText="1"/>
      <protection locked="0"/>
    </xf>
    <xf numFmtId="0" fontId="6" fillId="0" borderId="0" xfId="0" applyFont="1" applyAlignment="1" applyProtection="1">
      <alignment horizontal="center"/>
      <protection locked="0"/>
    </xf>
    <xf numFmtId="0" fontId="6" fillId="0" borderId="19" xfId="0" applyFont="1" applyBorder="1" applyAlignment="1" applyProtection="1">
      <alignment horizontal="center" wrapText="1"/>
      <protection locked="0"/>
    </xf>
    <xf numFmtId="0" fontId="6" fillId="0" borderId="12" xfId="0" applyFont="1" applyBorder="1" applyAlignment="1" applyProtection="1">
      <alignment horizontal="center"/>
      <protection locked="0"/>
    </xf>
    <xf numFmtId="0" fontId="6" fillId="0" borderId="12" xfId="0" quotePrefix="1" applyFont="1" applyBorder="1" applyAlignment="1" applyProtection="1">
      <alignment horizontal="center"/>
      <protection locked="0"/>
    </xf>
    <xf numFmtId="0" fontId="34" fillId="0" borderId="153" xfId="0" applyFont="1" applyBorder="1" applyAlignment="1" applyProtection="1">
      <alignment horizontal="center" vertical="center" wrapText="1"/>
      <protection locked="0"/>
    </xf>
    <xf numFmtId="0" fontId="20" fillId="0" borderId="124" xfId="0" quotePrefix="1" applyFont="1" applyBorder="1" applyAlignment="1" applyProtection="1">
      <alignment horizontal="center" vertical="center"/>
      <protection locked="0"/>
    </xf>
    <xf numFmtId="0" fontId="20" fillId="0" borderId="118" xfId="0" quotePrefix="1" applyFont="1" applyBorder="1" applyAlignment="1" applyProtection="1">
      <alignment horizontal="center" vertical="center"/>
      <protection locked="0"/>
    </xf>
    <xf numFmtId="0" fontId="20" fillId="0" borderId="117" xfId="0" applyFont="1" applyBorder="1" applyAlignment="1" applyProtection="1">
      <alignment horizontal="center" vertical="center"/>
      <protection locked="0"/>
    </xf>
    <xf numFmtId="0" fontId="34" fillId="0" borderId="140" xfId="0" applyFont="1" applyBorder="1" applyAlignment="1" applyProtection="1">
      <alignment horizontal="center" vertical="center"/>
      <protection locked="0"/>
    </xf>
    <xf numFmtId="0" fontId="6" fillId="0" borderId="77"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0" xfId="0" applyFont="1" applyAlignment="1" applyProtection="1">
      <alignment vertical="center"/>
      <protection locked="0"/>
    </xf>
    <xf numFmtId="1" fontId="6" fillId="0" borderId="12" xfId="0" applyNumberFormat="1" applyFont="1" applyBorder="1" applyAlignment="1" applyProtection="1">
      <alignment horizontal="center" vertical="center"/>
      <protection locked="0"/>
    </xf>
    <xf numFmtId="0" fontId="6" fillId="0" borderId="0" xfId="0" applyFont="1" applyAlignment="1" applyProtection="1">
      <alignment horizontal="center" vertical="center" wrapText="1"/>
      <protection locked="0"/>
    </xf>
    <xf numFmtId="2" fontId="6" fillId="0" borderId="0" xfId="0" applyNumberFormat="1" applyFont="1" applyProtection="1">
      <protection locked="0"/>
    </xf>
    <xf numFmtId="0" fontId="6" fillId="0" borderId="16" xfId="0" applyFont="1" applyBorder="1" applyAlignment="1" applyProtection="1">
      <alignment horizontal="center"/>
      <protection locked="0"/>
    </xf>
    <xf numFmtId="0" fontId="6" fillId="0" borderId="16" xfId="0" quotePrefix="1" applyFont="1" applyBorder="1" applyAlignment="1" applyProtection="1">
      <alignment horizontal="center"/>
      <protection locked="0"/>
    </xf>
    <xf numFmtId="0" fontId="34" fillId="0" borderId="153" xfId="0" applyFont="1" applyBorder="1" applyAlignment="1" applyProtection="1">
      <alignment horizontal="center"/>
      <protection locked="0"/>
    </xf>
    <xf numFmtId="0" fontId="20" fillId="0" borderId="153" xfId="0" applyFont="1" applyBorder="1" applyAlignment="1" applyProtection="1">
      <alignment horizontal="center" wrapText="1"/>
      <protection locked="0"/>
    </xf>
    <xf numFmtId="0" fontId="20" fillId="0" borderId="133" xfId="0" applyFont="1" applyBorder="1" applyAlignment="1" applyProtection="1">
      <alignment horizontal="center"/>
      <protection locked="0"/>
    </xf>
    <xf numFmtId="0" fontId="20" fillId="0" borderId="118" xfId="0" applyFont="1" applyBorder="1" applyAlignment="1" applyProtection="1">
      <alignment horizontal="center" wrapText="1"/>
      <protection locked="0"/>
    </xf>
    <xf numFmtId="0" fontId="34" fillId="0" borderId="153" xfId="0" applyFont="1" applyBorder="1" applyAlignment="1" applyProtection="1">
      <alignment horizontal="center" wrapText="1"/>
      <protection locked="0"/>
    </xf>
    <xf numFmtId="0" fontId="46" fillId="0" borderId="176" xfId="42" applyFont="1" applyBorder="1" applyAlignment="1">
      <alignment horizontal="center" vertical="center"/>
    </xf>
    <xf numFmtId="0" fontId="45" fillId="0" borderId="180" xfId="42" applyFont="1" applyBorder="1" applyAlignment="1">
      <alignment horizontal="center" wrapText="1"/>
    </xf>
    <xf numFmtId="0" fontId="45" fillId="0" borderId="181" xfId="42" applyFont="1" applyBorder="1" applyAlignment="1">
      <alignment horizontal="center" wrapText="1"/>
    </xf>
    <xf numFmtId="0" fontId="46" fillId="0" borderId="180" xfId="42" applyFont="1" applyBorder="1" applyAlignment="1">
      <alignment horizontal="center" vertical="center" wrapText="1"/>
    </xf>
    <xf numFmtId="0" fontId="118" fillId="0" borderId="180" xfId="42" applyFont="1" applyBorder="1" applyAlignment="1">
      <alignment horizontal="center" wrapText="1"/>
    </xf>
    <xf numFmtId="0" fontId="46" fillId="0" borderId="181" xfId="42" applyFont="1" applyBorder="1" applyAlignment="1">
      <alignment horizontal="center" vertical="center" wrapText="1"/>
    </xf>
    <xf numFmtId="0" fontId="46" fillId="0" borderId="19" xfId="42" applyFont="1" applyBorder="1" applyProtection="1">
      <protection locked="0"/>
    </xf>
    <xf numFmtId="0" fontId="46" fillId="0" borderId="160" xfId="42" applyFont="1" applyBorder="1" applyAlignment="1">
      <alignment horizontal="center" vertical="center"/>
    </xf>
    <xf numFmtId="0" fontId="46" fillId="0" borderId="167" xfId="42" applyFont="1" applyBorder="1" applyAlignment="1">
      <alignment horizontal="center" vertical="center"/>
    </xf>
    <xf numFmtId="0" fontId="46" fillId="0" borderId="170" xfId="42" applyFont="1" applyBorder="1" applyAlignment="1">
      <alignment horizontal="center" vertical="center"/>
    </xf>
    <xf numFmtId="0" fontId="46" fillId="0" borderId="68" xfId="42" applyFont="1" applyBorder="1" applyProtection="1">
      <protection locked="0"/>
    </xf>
    <xf numFmtId="0" fontId="46" fillId="0" borderId="162" xfId="42" applyFont="1" applyBorder="1" applyProtection="1">
      <protection locked="0"/>
    </xf>
    <xf numFmtId="0" fontId="46" fillId="0" borderId="182" xfId="42" applyFont="1" applyBorder="1" applyAlignment="1">
      <alignment horizontal="center" vertical="center" wrapText="1"/>
    </xf>
    <xf numFmtId="0" fontId="46" fillId="0" borderId="183" xfId="42" applyFont="1" applyBorder="1" applyAlignment="1">
      <alignment horizontal="center" vertical="center" wrapText="1"/>
    </xf>
    <xf numFmtId="0" fontId="46" fillId="0" borderId="182" xfId="42" applyFont="1" applyBorder="1" applyAlignment="1">
      <alignment horizontal="center" vertical="center"/>
    </xf>
    <xf numFmtId="0" fontId="46" fillId="0" borderId="184" xfId="42" applyFont="1" applyBorder="1" applyAlignment="1">
      <alignment horizontal="center" vertical="center"/>
    </xf>
    <xf numFmtId="0" fontId="46" fillId="0" borderId="185" xfId="42" applyFont="1" applyBorder="1" applyAlignment="1">
      <alignment horizontal="center" vertical="center" wrapText="1"/>
    </xf>
    <xf numFmtId="0" fontId="46" fillId="0" borderId="19" xfId="42" applyFont="1" applyBorder="1" applyAlignment="1">
      <alignment horizontal="center" vertical="center"/>
    </xf>
    <xf numFmtId="0" fontId="46" fillId="0" borderId="68" xfId="42" applyFont="1" applyBorder="1" applyAlignment="1">
      <alignment horizontal="center" vertical="center"/>
    </xf>
    <xf numFmtId="0" fontId="46" fillId="0" borderId="165" xfId="42" applyFont="1" applyBorder="1" applyAlignment="1">
      <alignment horizontal="center" vertical="center" wrapText="1"/>
    </xf>
    <xf numFmtId="0" fontId="46" fillId="0" borderId="161" xfId="42" applyFont="1" applyBorder="1" applyAlignment="1">
      <alignment horizontal="center" vertical="center" wrapText="1"/>
    </xf>
    <xf numFmtId="0" fontId="46" fillId="0" borderId="165" xfId="42" applyFont="1" applyBorder="1" applyAlignment="1">
      <alignment horizontal="center" vertical="center"/>
    </xf>
    <xf numFmtId="0" fontId="46" fillId="0" borderId="168" xfId="42" applyFont="1" applyBorder="1" applyAlignment="1">
      <alignment horizontal="center" vertical="center"/>
    </xf>
    <xf numFmtId="0" fontId="46" fillId="0" borderId="172" xfId="42" applyFont="1" applyBorder="1" applyAlignment="1">
      <alignment horizontal="center" vertical="center" wrapText="1"/>
    </xf>
    <xf numFmtId="0" fontId="46" fillId="0" borderId="180" xfId="42" applyFont="1" applyBorder="1" applyAlignment="1">
      <alignment horizontal="center" vertical="center"/>
    </xf>
    <xf numFmtId="0" fontId="46" fillId="0" borderId="181" xfId="42" applyFont="1" applyBorder="1" applyAlignment="1">
      <alignment horizontal="center" vertical="center"/>
    </xf>
    <xf numFmtId="0" fontId="46" fillId="0" borderId="186" xfId="42" applyFont="1" applyBorder="1" applyAlignment="1">
      <alignment horizontal="center" vertical="center" wrapText="1"/>
    </xf>
    <xf numFmtId="0" fontId="46" fillId="0" borderId="187" xfId="42" applyFont="1" applyBorder="1" applyAlignment="1">
      <alignment horizontal="center" vertical="center" wrapText="1"/>
    </xf>
    <xf numFmtId="0" fontId="46" fillId="0" borderId="186" xfId="42" applyFont="1" applyBorder="1" applyAlignment="1">
      <alignment horizontal="center" vertical="center"/>
    </xf>
    <xf numFmtId="0" fontId="46" fillId="0" borderId="188" xfId="42" applyFont="1" applyBorder="1" applyAlignment="1">
      <alignment horizontal="center" vertical="center"/>
    </xf>
    <xf numFmtId="0" fontId="46" fillId="0" borderId="189" xfId="42" applyFont="1" applyBorder="1" applyAlignment="1">
      <alignment horizontal="center" vertical="center" wrapText="1"/>
    </xf>
    <xf numFmtId="0" fontId="46" fillId="0" borderId="21" xfId="42" applyFont="1" applyBorder="1" applyAlignment="1">
      <alignment horizontal="center" vertical="center"/>
    </xf>
    <xf numFmtId="0" fontId="46" fillId="0" borderId="163" xfId="42" applyFont="1" applyBorder="1" applyAlignment="1">
      <alignment horizontal="center" vertical="center"/>
    </xf>
    <xf numFmtId="0" fontId="46" fillId="0" borderId="177" xfId="42" applyFont="1" applyBorder="1" applyAlignment="1">
      <alignment horizontal="center" vertical="center"/>
    </xf>
    <xf numFmtId="0" fontId="46" fillId="0" borderId="157" xfId="42" applyFont="1" applyBorder="1" applyProtection="1">
      <protection locked="0"/>
    </xf>
    <xf numFmtId="0" fontId="46" fillId="0" borderId="10" xfId="42" applyFont="1" applyBorder="1" applyAlignment="1">
      <alignment horizontal="center" vertical="center"/>
    </xf>
    <xf numFmtId="0" fontId="46" fillId="0" borderId="17" xfId="42" applyFont="1" applyBorder="1" applyAlignment="1">
      <alignment horizontal="left" vertical="center" wrapText="1"/>
    </xf>
    <xf numFmtId="0" fontId="15" fillId="26" borderId="77" xfId="42" applyFont="1" applyFill="1" applyBorder="1" applyAlignment="1">
      <alignment horizontal="center" vertical="center"/>
    </xf>
    <xf numFmtId="0" fontId="15" fillId="26" borderId="103" xfId="42" applyFont="1" applyFill="1" applyBorder="1" applyAlignment="1">
      <alignment horizontal="center" vertical="center"/>
    </xf>
    <xf numFmtId="0" fontId="96" fillId="0" borderId="64" xfId="42" applyFont="1" applyBorder="1" applyAlignment="1" applyProtection="1">
      <alignment horizontal="left" vertical="center" wrapText="1"/>
      <protection locked="0"/>
    </xf>
    <xf numFmtId="164" fontId="46" fillId="0" borderId="154" xfId="0" quotePrefix="1" applyNumberFormat="1" applyFont="1" applyBorder="1" applyAlignment="1">
      <alignment horizontal="center" vertical="center"/>
    </xf>
    <xf numFmtId="164" fontId="46" fillId="0" borderId="190" xfId="0" quotePrefix="1" applyNumberFormat="1" applyFont="1" applyBorder="1" applyAlignment="1">
      <alignment horizontal="center" vertical="center"/>
    </xf>
    <xf numFmtId="2" fontId="46" fillId="0" borderId="154" xfId="42" applyNumberFormat="1" applyFont="1" applyBorder="1" applyAlignment="1">
      <alignment horizontal="center" vertical="center" wrapText="1"/>
    </xf>
    <xf numFmtId="0" fontId="46" fillId="0" borderId="192" xfId="42" applyFont="1" applyBorder="1" applyAlignment="1">
      <alignment horizontal="center" vertical="center" wrapText="1"/>
    </xf>
    <xf numFmtId="0" fontId="46" fillId="0" borderId="193" xfId="42" applyFont="1" applyBorder="1" applyAlignment="1">
      <alignment horizontal="center" vertical="center" wrapText="1"/>
    </xf>
    <xf numFmtId="0" fontId="46" fillId="0" borderId="173" xfId="42" applyFont="1" applyBorder="1" applyAlignment="1">
      <alignment horizontal="center" vertical="center" wrapText="1"/>
    </xf>
    <xf numFmtId="0" fontId="46" fillId="0" borderId="194" xfId="42" applyFont="1" applyBorder="1" applyAlignment="1">
      <alignment horizontal="center" vertical="center" wrapText="1"/>
    </xf>
    <xf numFmtId="0" fontId="13" fillId="0" borderId="154" xfId="42" applyFont="1" applyBorder="1" applyAlignment="1">
      <alignment horizontal="center" vertical="center" wrapText="1"/>
    </xf>
    <xf numFmtId="0" fontId="13" fillId="0" borderId="191" xfId="42" applyFont="1" applyBorder="1" applyAlignment="1">
      <alignment horizontal="center" vertical="center" wrapText="1"/>
    </xf>
    <xf numFmtId="0" fontId="13" fillId="0" borderId="176" xfId="42" applyFont="1" applyBorder="1" applyAlignment="1">
      <alignment horizontal="center" vertical="center" wrapText="1"/>
    </xf>
    <xf numFmtId="0" fontId="13" fillId="0" borderId="169" xfId="42" applyFont="1" applyBorder="1" applyAlignment="1">
      <alignment horizontal="center" vertical="center" wrapText="1"/>
    </xf>
    <xf numFmtId="0" fontId="13" fillId="0" borderId="157" xfId="42" applyFont="1" applyBorder="1" applyAlignment="1">
      <alignment horizontal="center" vertical="center" wrapText="1"/>
    </xf>
    <xf numFmtId="0" fontId="13" fillId="0" borderId="162" xfId="42" applyFont="1" applyBorder="1" applyAlignment="1">
      <alignment horizontal="center" vertical="center" wrapText="1"/>
    </xf>
    <xf numFmtId="0" fontId="13" fillId="0" borderId="166" xfId="42" applyFont="1" applyBorder="1" applyAlignment="1">
      <alignment horizontal="center" vertical="center" wrapText="1"/>
    </xf>
    <xf numFmtId="0" fontId="46" fillId="0" borderId="195" xfId="42" applyFont="1" applyBorder="1" applyAlignment="1">
      <alignment horizontal="center" vertical="center"/>
    </xf>
    <xf numFmtId="0" fontId="46" fillId="0" borderId="196" xfId="42" applyFont="1" applyBorder="1" applyAlignment="1">
      <alignment horizontal="center" vertical="center" wrapText="1"/>
    </xf>
    <xf numFmtId="0" fontId="46" fillId="0" borderId="159" xfId="42" applyFont="1" applyBorder="1" applyAlignment="1">
      <alignment horizontal="center" vertical="center" wrapText="1"/>
    </xf>
    <xf numFmtId="9" fontId="46" fillId="0" borderId="75" xfId="42" applyNumberFormat="1" applyFont="1" applyBorder="1" applyAlignment="1">
      <alignment horizontal="center" vertical="center" wrapText="1"/>
    </xf>
    <xf numFmtId="0" fontId="46" fillId="32" borderId="18" xfId="42" applyFont="1" applyFill="1" applyBorder="1" applyAlignment="1">
      <alignment horizontal="center" vertical="center" wrapText="1"/>
    </xf>
    <xf numFmtId="0" fontId="46" fillId="0" borderId="156" xfId="42" applyFont="1" applyBorder="1" applyAlignment="1" applyProtection="1">
      <alignment horizontal="center" vertical="center"/>
      <protection locked="0"/>
    </xf>
    <xf numFmtId="0" fontId="45" fillId="0" borderId="158" xfId="42" applyFont="1" applyBorder="1" applyAlignment="1">
      <alignment horizontal="center" wrapText="1"/>
    </xf>
    <xf numFmtId="0" fontId="45" fillId="0" borderId="165" xfId="42" applyFont="1" applyBorder="1" applyAlignment="1">
      <alignment horizontal="center" wrapText="1"/>
    </xf>
    <xf numFmtId="0" fontId="46" fillId="0" borderId="178" xfId="42" applyFont="1" applyBorder="1" applyProtection="1">
      <protection locked="0"/>
    </xf>
    <xf numFmtId="0" fontId="46" fillId="0" borderId="156" xfId="42" applyFont="1" applyBorder="1" applyProtection="1">
      <protection locked="0"/>
    </xf>
    <xf numFmtId="0" fontId="46" fillId="0" borderId="156" xfId="42" applyFont="1" applyBorder="1" applyAlignment="1" applyProtection="1">
      <alignment horizontal="center" vertical="center" wrapText="1"/>
      <protection locked="0"/>
    </xf>
    <xf numFmtId="0" fontId="118" fillId="0" borderId="156" xfId="42" applyFont="1" applyBorder="1" applyAlignment="1" applyProtection="1">
      <alignment wrapText="1"/>
      <protection locked="0"/>
    </xf>
    <xf numFmtId="0" fontId="45" fillId="0" borderId="102" xfId="42" applyFont="1" applyBorder="1" applyAlignment="1">
      <alignment horizontal="center" wrapText="1"/>
    </xf>
    <xf numFmtId="0" fontId="83" fillId="0" borderId="0" xfId="42" applyFont="1" applyAlignment="1">
      <alignment horizontal="center" vertical="center"/>
    </xf>
    <xf numFmtId="164" fontId="46" fillId="0" borderId="19" xfId="0" quotePrefix="1" applyNumberFormat="1" applyFont="1" applyBorder="1" applyAlignment="1">
      <alignment horizontal="center" vertical="center"/>
    </xf>
    <xf numFmtId="164" fontId="46" fillId="0" borderId="77" xfId="0" quotePrefix="1" applyNumberFormat="1" applyFont="1" applyBorder="1" applyAlignment="1">
      <alignment horizontal="center" vertical="center"/>
    </xf>
    <xf numFmtId="164" fontId="46" fillId="0" borderId="68" xfId="0" quotePrefix="1" applyNumberFormat="1" applyFont="1" applyBorder="1" applyAlignment="1">
      <alignment horizontal="center" vertical="center"/>
    </xf>
    <xf numFmtId="164" fontId="46" fillId="0" borderId="66" xfId="0" quotePrefix="1" applyNumberFormat="1" applyFont="1" applyBorder="1" applyAlignment="1">
      <alignment horizontal="center" vertical="center"/>
    </xf>
    <xf numFmtId="164" fontId="46" fillId="0" borderId="14" xfId="0" quotePrefix="1" applyNumberFormat="1" applyFont="1" applyBorder="1" applyAlignment="1">
      <alignment horizontal="center" vertical="center"/>
    </xf>
    <xf numFmtId="2" fontId="46" fillId="0" borderId="154" xfId="0" quotePrefix="1" applyNumberFormat="1" applyFont="1" applyBorder="1" applyAlignment="1">
      <alignment horizontal="center" vertical="center"/>
    </xf>
    <xf numFmtId="2" fontId="13" fillId="0" borderId="154" xfId="42" applyNumberFormat="1" applyFont="1" applyBorder="1" applyAlignment="1">
      <alignment horizontal="center" vertical="center" wrapText="1"/>
    </xf>
    <xf numFmtId="0" fontId="46" fillId="0" borderId="177" xfId="42" applyFont="1" applyBorder="1" applyAlignment="1">
      <alignment horizontal="center" wrapText="1"/>
    </xf>
    <xf numFmtId="0" fontId="46" fillId="0" borderId="178" xfId="42" applyFont="1" applyBorder="1" applyAlignment="1">
      <alignment horizontal="center" wrapText="1"/>
    </xf>
    <xf numFmtId="0" fontId="46" fillId="0" borderId="181" xfId="42" applyFont="1" applyBorder="1" applyAlignment="1">
      <alignment horizontal="center" wrapText="1"/>
    </xf>
    <xf numFmtId="0" fontId="103" fillId="0" borderId="155" xfId="42" applyFont="1" applyBorder="1" applyAlignment="1">
      <alignment horizontal="center" vertical="center" wrapText="1"/>
    </xf>
    <xf numFmtId="0" fontId="103" fillId="0" borderId="180" xfId="42" applyFont="1" applyBorder="1" applyAlignment="1">
      <alignment horizontal="center" vertical="center" wrapText="1"/>
    </xf>
    <xf numFmtId="0" fontId="103" fillId="0" borderId="154" xfId="42" applyFont="1" applyBorder="1" applyAlignment="1">
      <alignment horizontal="center" vertical="center" wrapText="1"/>
    </xf>
    <xf numFmtId="0" fontId="103" fillId="0" borderId="156" xfId="42" applyFont="1" applyBorder="1" applyAlignment="1">
      <alignment horizontal="center" vertical="center" wrapText="1"/>
    </xf>
    <xf numFmtId="0" fontId="46" fillId="0" borderId="0" xfId="42" applyFont="1" applyAlignment="1">
      <alignment horizontal="center" vertical="center" wrapText="1"/>
    </xf>
    <xf numFmtId="0" fontId="4" fillId="0" borderId="0" xfId="42" applyAlignment="1" applyProtection="1">
      <alignment horizontal="center" vertical="center" wrapText="1"/>
      <protection locked="0"/>
    </xf>
    <xf numFmtId="0" fontId="117" fillId="32" borderId="12" xfId="42" applyFont="1" applyFill="1" applyBorder="1" applyAlignment="1">
      <alignment vertical="center" wrapText="1"/>
    </xf>
    <xf numFmtId="0" fontId="46" fillId="32" borderId="12" xfId="42" applyFont="1" applyFill="1" applyBorder="1" applyAlignment="1">
      <alignment horizontal="center" vertical="center" wrapText="1"/>
    </xf>
    <xf numFmtId="0" fontId="46" fillId="0" borderId="163" xfId="42" applyFont="1" applyBorder="1" applyAlignment="1">
      <alignment horizontal="center" wrapText="1"/>
    </xf>
    <xf numFmtId="0" fontId="46" fillId="0" borderId="165" xfId="42" applyFont="1" applyBorder="1" applyAlignment="1">
      <alignment horizontal="center" wrapText="1"/>
    </xf>
    <xf numFmtId="0" fontId="46" fillId="0" borderId="164" xfId="42" applyFont="1" applyBorder="1" applyAlignment="1">
      <alignment horizontal="center" wrapText="1"/>
    </xf>
    <xf numFmtId="0" fontId="46" fillId="0" borderId="179" xfId="42" applyFont="1" applyBorder="1" applyAlignment="1">
      <alignment horizontal="center" vertical="center"/>
    </xf>
    <xf numFmtId="0" fontId="46" fillId="0" borderId="173" xfId="42" applyFont="1" applyBorder="1" applyAlignment="1">
      <alignment horizontal="center" vertical="center"/>
    </xf>
    <xf numFmtId="0" fontId="46" fillId="0" borderId="164" xfId="42" applyFont="1" applyBorder="1" applyAlignment="1">
      <alignment horizontal="center" vertical="center"/>
    </xf>
    <xf numFmtId="0" fontId="46" fillId="0" borderId="190" xfId="42" applyFont="1" applyBorder="1" applyAlignment="1">
      <alignment horizontal="center" vertical="center" wrapText="1"/>
    </xf>
    <xf numFmtId="0" fontId="46" fillId="0" borderId="197" xfId="42" applyFont="1" applyBorder="1" applyAlignment="1">
      <alignment horizontal="center" vertical="center" wrapText="1"/>
    </xf>
    <xf numFmtId="0" fontId="46" fillId="0" borderId="198" xfId="42" applyFont="1" applyBorder="1" applyAlignment="1">
      <alignment horizontal="center" vertical="center" wrapText="1"/>
    </xf>
    <xf numFmtId="0" fontId="46" fillId="0" borderId="199" xfId="42" applyFont="1" applyBorder="1" applyAlignment="1">
      <alignment horizontal="center" vertical="center" wrapText="1"/>
    </xf>
    <xf numFmtId="0" fontId="46" fillId="0" borderId="200" xfId="42" applyFont="1" applyBorder="1" applyAlignment="1">
      <alignment horizontal="center" vertical="center" wrapText="1"/>
    </xf>
    <xf numFmtId="0" fontId="46" fillId="0" borderId="197" xfId="42" applyFont="1" applyBorder="1" applyAlignment="1">
      <alignment horizontal="center" vertical="center"/>
    </xf>
    <xf numFmtId="0" fontId="46" fillId="0" borderId="200" xfId="42" applyFont="1" applyBorder="1" applyAlignment="1">
      <alignment horizontal="center" vertical="center"/>
    </xf>
    <xf numFmtId="0" fontId="46" fillId="0" borderId="166" xfId="42" applyFont="1" applyBorder="1" applyAlignment="1">
      <alignment horizontal="center" vertical="center" wrapText="1"/>
    </xf>
    <xf numFmtId="0" fontId="46" fillId="0" borderId="201" xfId="42" applyFont="1" applyBorder="1" applyAlignment="1">
      <alignment horizontal="center" vertical="center" wrapText="1"/>
    </xf>
    <xf numFmtId="0" fontId="46" fillId="0" borderId="194" xfId="42" applyFont="1" applyBorder="1" applyAlignment="1">
      <alignment horizontal="center" vertical="center"/>
    </xf>
    <xf numFmtId="0" fontId="46" fillId="0" borderId="201" xfId="42" applyFont="1" applyBorder="1" applyAlignment="1">
      <alignment horizontal="center" vertical="center"/>
    </xf>
    <xf numFmtId="0" fontId="103" fillId="0" borderId="181" xfId="42" applyFont="1" applyBorder="1" applyAlignment="1">
      <alignment horizontal="center" vertical="center" wrapText="1"/>
    </xf>
    <xf numFmtId="0" fontId="103" fillId="0" borderId="176" xfId="42" applyFont="1" applyBorder="1" applyAlignment="1">
      <alignment horizontal="center" vertical="center" wrapText="1"/>
    </xf>
    <xf numFmtId="0" fontId="103" fillId="0" borderId="177" xfId="42" applyFont="1" applyBorder="1" applyAlignment="1">
      <alignment horizontal="center" vertical="center" wrapText="1"/>
    </xf>
    <xf numFmtId="0" fontId="103" fillId="0" borderId="178" xfId="42" applyFont="1" applyBorder="1" applyAlignment="1">
      <alignment horizontal="center" vertical="center" wrapText="1"/>
    </xf>
    <xf numFmtId="0" fontId="45" fillId="0" borderId="199" xfId="42" applyFont="1" applyBorder="1" applyAlignment="1">
      <alignment horizontal="center" wrapText="1"/>
    </xf>
    <xf numFmtId="0" fontId="45" fillId="0" borderId="200" xfId="42" applyFont="1" applyBorder="1" applyAlignment="1">
      <alignment horizontal="center" wrapText="1"/>
    </xf>
    <xf numFmtId="164" fontId="46" fillId="0" borderId="176" xfId="0" quotePrefix="1" applyNumberFormat="1" applyFont="1" applyBorder="1" applyAlignment="1">
      <alignment horizontal="center" vertical="center"/>
    </xf>
    <xf numFmtId="164" fontId="46" fillId="0" borderId="166" xfId="0" quotePrefix="1" applyNumberFormat="1" applyFont="1" applyBorder="1" applyAlignment="1">
      <alignment horizontal="center" vertical="center"/>
    </xf>
    <xf numFmtId="0" fontId="45" fillId="0" borderId="167" xfId="42" applyFont="1" applyBorder="1" applyAlignment="1">
      <alignment horizontal="center" wrapText="1"/>
    </xf>
    <xf numFmtId="0" fontId="45" fillId="0" borderId="168" xfId="42" applyFont="1" applyBorder="1" applyAlignment="1">
      <alignment horizontal="center" wrapText="1"/>
    </xf>
    <xf numFmtId="0" fontId="45" fillId="0" borderId="201" xfId="42" applyFont="1" applyBorder="1" applyAlignment="1">
      <alignment horizontal="center" wrapText="1"/>
    </xf>
    <xf numFmtId="0" fontId="45" fillId="0" borderId="198" xfId="42" applyFont="1" applyBorder="1" applyAlignment="1">
      <alignment horizontal="center" wrapText="1"/>
    </xf>
    <xf numFmtId="0" fontId="46" fillId="0" borderId="77" xfId="42" applyFont="1" applyBorder="1" applyAlignment="1">
      <alignment horizontal="center" vertical="center" wrapText="1"/>
    </xf>
    <xf numFmtId="0" fontId="118" fillId="0" borderId="177" xfId="42" applyFont="1" applyBorder="1" applyAlignment="1">
      <alignment horizontal="center" wrapText="1"/>
    </xf>
    <xf numFmtId="0" fontId="118" fillId="0" borderId="181" xfId="42" applyFont="1" applyBorder="1" applyAlignment="1">
      <alignment horizontal="center" wrapText="1"/>
    </xf>
    <xf numFmtId="0" fontId="118" fillId="0" borderId="178" xfId="42" applyFont="1" applyBorder="1" applyAlignment="1">
      <alignment horizontal="center" wrapText="1"/>
    </xf>
    <xf numFmtId="0" fontId="46" fillId="0" borderId="166" xfId="42" applyFont="1" applyBorder="1" applyAlignment="1">
      <alignment horizontal="center" vertical="center"/>
    </xf>
    <xf numFmtId="164" fontId="46" fillId="0" borderId="184" xfId="0" quotePrefix="1" applyNumberFormat="1" applyFont="1" applyBorder="1" applyAlignment="1">
      <alignment horizontal="center" vertical="center"/>
    </xf>
    <xf numFmtId="164" fontId="46" fillId="0" borderId="182" xfId="0" quotePrefix="1" applyNumberFormat="1" applyFont="1" applyBorder="1" applyAlignment="1">
      <alignment horizontal="center" vertical="center"/>
    </xf>
    <xf numFmtId="0" fontId="46" fillId="0" borderId="191" xfId="42" applyFont="1" applyBorder="1" applyAlignment="1">
      <alignment horizontal="center" vertical="center" wrapText="1"/>
    </xf>
    <xf numFmtId="0" fontId="46" fillId="0" borderId="202" xfId="42" applyFont="1" applyBorder="1" applyAlignment="1">
      <alignment horizontal="center" vertical="center" wrapText="1"/>
    </xf>
    <xf numFmtId="0" fontId="46" fillId="0" borderId="203" xfId="42" applyFont="1" applyBorder="1" applyAlignment="1">
      <alignment horizontal="center" vertical="center"/>
    </xf>
    <xf numFmtId="0" fontId="46" fillId="0" borderId="196" xfId="42" applyFont="1" applyBorder="1" applyAlignment="1">
      <alignment horizontal="center" vertical="center"/>
    </xf>
    <xf numFmtId="0" fontId="46" fillId="0" borderId="184" xfId="42" applyFont="1" applyBorder="1" applyAlignment="1">
      <alignment horizontal="center" vertical="center" wrapText="1"/>
    </xf>
    <xf numFmtId="0" fontId="46" fillId="0" borderId="204" xfId="42" applyFont="1" applyBorder="1" applyAlignment="1">
      <alignment horizontal="center" vertical="center" wrapText="1"/>
    </xf>
    <xf numFmtId="0" fontId="46" fillId="0" borderId="103" xfId="42" applyFont="1" applyBorder="1" applyAlignment="1">
      <alignment horizontal="center" vertical="center" wrapText="1"/>
    </xf>
    <xf numFmtId="0" fontId="46" fillId="0" borderId="188" xfId="42" applyFont="1" applyBorder="1" applyAlignment="1">
      <alignment horizontal="center" vertical="center" wrapText="1"/>
    </xf>
    <xf numFmtId="0" fontId="46" fillId="0" borderId="102" xfId="42" applyFont="1" applyBorder="1" applyAlignment="1">
      <alignment horizontal="center" vertical="center" wrapText="1"/>
    </xf>
    <xf numFmtId="0" fontId="46" fillId="0" borderId="14" xfId="42" applyFont="1" applyBorder="1" applyAlignment="1">
      <alignment horizontal="center" vertical="center" wrapText="1"/>
    </xf>
    <xf numFmtId="0" fontId="46" fillId="0" borderId="205" xfId="42" applyFont="1" applyBorder="1" applyAlignment="1">
      <alignment horizontal="center" vertical="center" wrapText="1"/>
    </xf>
    <xf numFmtId="0" fontId="46" fillId="0" borderId="174" xfId="42" applyFont="1" applyBorder="1" applyAlignment="1">
      <alignment horizontal="center" vertical="center"/>
    </xf>
    <xf numFmtId="0" fontId="117" fillId="33" borderId="12" xfId="42" applyFont="1" applyFill="1" applyBorder="1" applyAlignment="1" applyProtection="1">
      <alignment horizontal="center" vertical="center" wrapText="1"/>
      <protection locked="0"/>
    </xf>
    <xf numFmtId="0" fontId="46" fillId="0" borderId="65" xfId="42" applyFont="1" applyBorder="1" applyAlignment="1">
      <alignment horizontal="center" vertical="center" wrapText="1"/>
    </xf>
    <xf numFmtId="0" fontId="46" fillId="0" borderId="16" xfId="42" applyFont="1" applyBorder="1" applyAlignment="1">
      <alignment vertical="center" wrapText="1"/>
    </xf>
    <xf numFmtId="0" fontId="46" fillId="32" borderId="16" xfId="42" applyFont="1" applyFill="1" applyBorder="1" applyAlignment="1">
      <alignment vertical="center" wrapText="1"/>
    </xf>
    <xf numFmtId="0" fontId="125" fillId="33" borderId="16" xfId="42" applyFont="1" applyFill="1" applyBorder="1" applyAlignment="1" applyProtection="1">
      <alignment horizontal="center" vertical="center" wrapText="1"/>
      <protection locked="0"/>
    </xf>
    <xf numFmtId="0" fontId="58" fillId="31" borderId="106" xfId="42" applyFont="1" applyFill="1" applyBorder="1" applyAlignment="1">
      <alignment horizontal="left" vertical="center" wrapText="1"/>
    </xf>
    <xf numFmtId="165" fontId="117" fillId="19" borderId="53" xfId="48" applyNumberFormat="1" applyFont="1" applyFill="1" applyBorder="1" applyAlignment="1">
      <alignment horizontal="center"/>
    </xf>
    <xf numFmtId="0" fontId="45" fillId="19" borderId="52" xfId="48" applyFont="1" applyFill="1" applyBorder="1" applyAlignment="1">
      <alignment horizontal="center"/>
    </xf>
    <xf numFmtId="0" fontId="45" fillId="19" borderId="53" xfId="48" applyFont="1" applyFill="1" applyBorder="1" applyAlignment="1">
      <alignment horizontal="center"/>
    </xf>
    <xf numFmtId="5" fontId="46" fillId="0" borderId="146" xfId="48" applyNumberFormat="1" applyFont="1" applyBorder="1" applyAlignment="1">
      <alignment horizontal="center"/>
    </xf>
    <xf numFmtId="3" fontId="46" fillId="0" borderId="206" xfId="48" applyNumberFormat="1" applyFont="1" applyBorder="1" applyAlignment="1">
      <alignment horizontal="center"/>
    </xf>
    <xf numFmtId="5" fontId="46" fillId="0" borderId="206" xfId="48" applyNumberFormat="1" applyFont="1" applyBorder="1" applyAlignment="1">
      <alignment horizontal="center"/>
    </xf>
    <xf numFmtId="0" fontId="13" fillId="0" borderId="0" xfId="48" applyFont="1" applyAlignment="1">
      <alignment horizontal="right"/>
    </xf>
    <xf numFmtId="0" fontId="58" fillId="0" borderId="0" xfId="48" applyFont="1" applyAlignment="1">
      <alignment horizontal="left"/>
    </xf>
    <xf numFmtId="0" fontId="58" fillId="0" borderId="0" xfId="48" applyFont="1"/>
    <xf numFmtId="0" fontId="116" fillId="0" borderId="0" xfId="48" applyFont="1"/>
    <xf numFmtId="0" fontId="13" fillId="0" borderId="0" xfId="48" quotePrefix="1" applyFont="1" applyAlignment="1">
      <alignment horizontal="left"/>
    </xf>
    <xf numFmtId="14" fontId="13" fillId="0" borderId="0" xfId="48" applyNumberFormat="1" applyFont="1" applyAlignment="1">
      <alignment horizontal="left"/>
    </xf>
    <xf numFmtId="14" fontId="13" fillId="0" borderId="0" xfId="48" quotePrefix="1" applyNumberFormat="1" applyFont="1" applyAlignment="1">
      <alignment horizontal="left"/>
    </xf>
    <xf numFmtId="0" fontId="13" fillId="0" borderId="0" xfId="48" quotePrefix="1" applyFont="1" applyAlignment="1">
      <alignment horizontal="right"/>
    </xf>
    <xf numFmtId="0" fontId="116" fillId="0" borderId="0" xfId="48" applyFont="1" applyAlignment="1">
      <alignment horizontal="left"/>
    </xf>
    <xf numFmtId="0" fontId="52" fillId="0" borderId="0" xfId="48" applyFont="1" applyAlignment="1">
      <alignment horizontal="left"/>
    </xf>
    <xf numFmtId="0" fontId="46" fillId="0" borderId="0" xfId="48" quotePrefix="1" applyFont="1"/>
    <xf numFmtId="3" fontId="46" fillId="0" borderId="207" xfId="48" applyNumberFormat="1" applyFont="1" applyBorder="1" applyAlignment="1">
      <alignment horizontal="center"/>
    </xf>
    <xf numFmtId="7" fontId="46" fillId="0" borderId="207" xfId="48" applyNumberFormat="1" applyFont="1" applyBorder="1"/>
    <xf numFmtId="0" fontId="56" fillId="0" borderId="208" xfId="48" applyFont="1" applyBorder="1" applyAlignment="1">
      <alignment horizontal="centerContinuous"/>
    </xf>
    <xf numFmtId="0" fontId="34" fillId="0" borderId="209" xfId="48" applyFont="1" applyBorder="1" applyAlignment="1">
      <alignment horizontal="centerContinuous"/>
    </xf>
    <xf numFmtId="0" fontId="33" fillId="0" borderId="209" xfId="48" applyFont="1" applyBorder="1" applyAlignment="1">
      <alignment horizontal="centerContinuous"/>
    </xf>
    <xf numFmtId="0" fontId="33" fillId="0" borderId="210" xfId="48" applyFont="1" applyBorder="1" applyAlignment="1">
      <alignment horizontal="centerContinuous"/>
    </xf>
    <xf numFmtId="0" fontId="13" fillId="0" borderId="211" xfId="48" applyFont="1" applyBorder="1" applyAlignment="1">
      <alignment horizontal="left"/>
    </xf>
    <xf numFmtId="0" fontId="13" fillId="0" borderId="212" xfId="48" applyFont="1" applyBorder="1" applyAlignment="1">
      <alignment horizontal="centerContinuous"/>
    </xf>
    <xf numFmtId="0" fontId="13" fillId="0" borderId="211" xfId="48" applyFont="1" applyBorder="1"/>
    <xf numFmtId="0" fontId="13" fillId="0" borderId="212" xfId="48" applyFont="1" applyBorder="1"/>
    <xf numFmtId="0" fontId="13" fillId="0" borderId="211" xfId="48" quotePrefix="1" applyFont="1" applyBorder="1" applyAlignment="1">
      <alignment horizontal="left"/>
    </xf>
    <xf numFmtId="0" fontId="45" fillId="19" borderId="214" xfId="48" applyFont="1" applyFill="1" applyBorder="1" applyAlignment="1">
      <alignment horizontal="center"/>
    </xf>
    <xf numFmtId="0" fontId="45" fillId="19" borderId="212" xfId="48" applyFont="1" applyFill="1" applyBorder="1" applyAlignment="1">
      <alignment horizontal="center"/>
    </xf>
    <xf numFmtId="0" fontId="45" fillId="19" borderId="215" xfId="48" applyFont="1" applyFill="1" applyBorder="1" applyAlignment="1">
      <alignment horizontal="right"/>
    </xf>
    <xf numFmtId="0" fontId="45" fillId="19" borderId="216" xfId="48" applyFont="1" applyFill="1" applyBorder="1" applyAlignment="1">
      <alignment horizontal="center"/>
    </xf>
    <xf numFmtId="0" fontId="46" fillId="0" borderId="217" xfId="48" quotePrefix="1" applyFont="1" applyBorder="1"/>
    <xf numFmtId="7" fontId="46" fillId="0" borderId="218" xfId="48" applyNumberFormat="1" applyFont="1" applyBorder="1" applyAlignment="1">
      <alignment horizontal="center"/>
    </xf>
    <xf numFmtId="0" fontId="46" fillId="0" borderId="219" xfId="48" quotePrefix="1" applyFont="1" applyBorder="1"/>
    <xf numFmtId="7" fontId="46" fillId="0" borderId="220" xfId="48" applyNumberFormat="1" applyFont="1" applyBorder="1" applyAlignment="1">
      <alignment horizontal="center"/>
    </xf>
    <xf numFmtId="0" fontId="45" fillId="0" borderId="221" xfId="48" applyFont="1" applyBorder="1" applyAlignment="1">
      <alignment horizontal="center"/>
    </xf>
    <xf numFmtId="7" fontId="46" fillId="0" borderId="222" xfId="48" applyNumberFormat="1" applyFont="1" applyBorder="1"/>
    <xf numFmtId="0" fontId="55" fillId="0" borderId="211" xfId="49" applyFont="1" applyFill="1" applyBorder="1"/>
    <xf numFmtId="0" fontId="46" fillId="0" borderId="211" xfId="48" applyFont="1" applyBorder="1"/>
    <xf numFmtId="7" fontId="45" fillId="0" borderId="220" xfId="48" applyNumberFormat="1" applyFont="1" applyBorder="1" applyAlignment="1">
      <alignment horizontal="center"/>
    </xf>
    <xf numFmtId="7" fontId="117" fillId="0" borderId="220" xfId="48" applyNumberFormat="1" applyFont="1" applyBorder="1" applyAlignment="1">
      <alignment horizontal="center"/>
    </xf>
    <xf numFmtId="165" fontId="117" fillId="0" borderId="220" xfId="48" applyNumberFormat="1" applyFont="1" applyBorder="1" applyAlignment="1">
      <alignment horizontal="center"/>
    </xf>
    <xf numFmtId="0" fontId="46" fillId="0" borderId="223" xfId="48" applyFont="1" applyBorder="1"/>
    <xf numFmtId="0" fontId="46" fillId="0" borderId="224" xfId="48" applyFont="1" applyBorder="1"/>
    <xf numFmtId="0" fontId="46" fillId="0" borderId="225" xfId="48" applyFont="1" applyBorder="1"/>
    <xf numFmtId="165" fontId="45" fillId="0" borderId="226" xfId="48" applyNumberFormat="1" applyFont="1" applyBorder="1" applyAlignment="1">
      <alignment horizontal="center"/>
    </xf>
    <xf numFmtId="0" fontId="56" fillId="0" borderId="209" xfId="48" applyFont="1" applyBorder="1" applyAlignment="1">
      <alignment horizontal="centerContinuous"/>
    </xf>
    <xf numFmtId="0" fontId="13" fillId="0" borderId="209" xfId="48" applyFont="1" applyBorder="1" applyAlignment="1">
      <alignment horizontal="centerContinuous"/>
    </xf>
    <xf numFmtId="0" fontId="13" fillId="0" borderId="210" xfId="48" applyFont="1" applyBorder="1" applyAlignment="1">
      <alignment horizontal="centerContinuous"/>
    </xf>
    <xf numFmtId="0" fontId="32" fillId="0" borderId="211" xfId="48" applyBorder="1"/>
    <xf numFmtId="0" fontId="15" fillId="19" borderId="230" xfId="48" applyFont="1" applyFill="1" applyBorder="1" applyAlignment="1">
      <alignment horizontal="center"/>
    </xf>
    <xf numFmtId="0" fontId="15" fillId="19" borderId="231" xfId="48" applyFont="1" applyFill="1" applyBorder="1" applyAlignment="1">
      <alignment horizontal="center"/>
    </xf>
    <xf numFmtId="0" fontId="15" fillId="19" borderId="212" xfId="48" applyFont="1" applyFill="1" applyBorder="1" applyAlignment="1">
      <alignment horizontal="center"/>
    </xf>
    <xf numFmtId="0" fontId="51" fillId="0" borderId="211" xfId="48" applyFont="1" applyBorder="1"/>
    <xf numFmtId="0" fontId="51" fillId="0" borderId="0" xfId="48" applyFont="1"/>
    <xf numFmtId="0" fontId="13" fillId="0" borderId="232" xfId="48" applyFont="1" applyBorder="1"/>
    <xf numFmtId="0" fontId="51" fillId="0" borderId="0" xfId="48" applyFont="1" applyAlignment="1">
      <alignment horizontal="right"/>
    </xf>
    <xf numFmtId="165" fontId="51" fillId="0" borderId="0" xfId="48" applyNumberFormat="1" applyFont="1"/>
    <xf numFmtId="7" fontId="13" fillId="0" borderId="233" xfId="48" applyNumberFormat="1" applyFont="1" applyBorder="1" applyAlignment="1">
      <alignment horizontal="center"/>
    </xf>
    <xf numFmtId="0" fontId="13" fillId="0" borderId="0" xfId="48" quotePrefix="1" applyFont="1"/>
    <xf numFmtId="7" fontId="59" fillId="0" borderId="233" xfId="48" applyNumberFormat="1" applyFont="1" applyBorder="1" applyAlignment="1">
      <alignment horizontal="center"/>
    </xf>
    <xf numFmtId="7" fontId="58" fillId="0" borderId="233" xfId="48" applyNumberFormat="1" applyFont="1" applyBorder="1" applyAlignment="1">
      <alignment horizontal="center"/>
    </xf>
    <xf numFmtId="165" fontId="116" fillId="0" borderId="233" xfId="48" applyNumberFormat="1" applyFont="1" applyBorder="1" applyAlignment="1">
      <alignment horizontal="center"/>
    </xf>
    <xf numFmtId="7" fontId="15" fillId="0" borderId="233" xfId="48" applyNumberFormat="1" applyFont="1" applyBorder="1" applyAlignment="1">
      <alignment horizontal="center"/>
    </xf>
    <xf numFmtId="0" fontId="51" fillId="0" borderId="223" xfId="48" applyFont="1" applyBorder="1"/>
    <xf numFmtId="0" fontId="51" fillId="0" borderId="224" xfId="48" applyFont="1" applyBorder="1"/>
    <xf numFmtId="0" fontId="13" fillId="0" borderId="234" xfId="48" applyFont="1" applyBorder="1"/>
    <xf numFmtId="0" fontId="55" fillId="0" borderId="234" xfId="48" applyFont="1" applyBorder="1"/>
    <xf numFmtId="0" fontId="51" fillId="0" borderId="225" xfId="48" applyFont="1" applyBorder="1"/>
    <xf numFmtId="165" fontId="15" fillId="0" borderId="235" xfId="48" applyNumberFormat="1" applyFont="1" applyBorder="1" applyAlignment="1">
      <alignment horizontal="center"/>
    </xf>
    <xf numFmtId="0" fontId="15" fillId="19" borderId="215" xfId="48" applyFont="1" applyFill="1" applyBorder="1" applyAlignment="1">
      <alignment horizontal="right"/>
    </xf>
    <xf numFmtId="165" fontId="113" fillId="19" borderId="53" xfId="48" applyNumberFormat="1" applyFont="1" applyFill="1" applyBorder="1" applyAlignment="1">
      <alignment horizontal="center"/>
    </xf>
    <xf numFmtId="0" fontId="15" fillId="19" borderId="52" xfId="48" applyFont="1" applyFill="1" applyBorder="1" applyAlignment="1">
      <alignment horizontal="center"/>
    </xf>
    <xf numFmtId="0" fontId="15" fillId="19" borderId="53" xfId="48" applyFont="1" applyFill="1" applyBorder="1" applyAlignment="1">
      <alignment horizontal="center"/>
    </xf>
    <xf numFmtId="0" fontId="15" fillId="19" borderId="216" xfId="48" applyFont="1" applyFill="1" applyBorder="1" applyAlignment="1">
      <alignment horizontal="center"/>
    </xf>
    <xf numFmtId="3" fontId="11" fillId="0" borderId="146" xfId="48" applyNumberFormat="1" applyFont="1" applyBorder="1" applyAlignment="1">
      <alignment horizontal="center"/>
    </xf>
    <xf numFmtId="5" fontId="11" fillId="0" borderId="146" xfId="48" applyNumberFormat="1" applyFont="1" applyBorder="1" applyAlignment="1">
      <alignment horizontal="center"/>
    </xf>
    <xf numFmtId="3" fontId="4" fillId="0" borderId="146" xfId="48" applyNumberFormat="1" applyFont="1" applyBorder="1" applyAlignment="1">
      <alignment horizontal="center"/>
    </xf>
    <xf numFmtId="5" fontId="4" fillId="0" borderId="146" xfId="48" applyNumberFormat="1" applyFont="1" applyBorder="1" applyAlignment="1">
      <alignment horizontal="center"/>
    </xf>
    <xf numFmtId="3" fontId="11" fillId="0" borderId="206" xfId="48" applyNumberFormat="1" applyFont="1" applyBorder="1" applyAlignment="1">
      <alignment horizontal="center"/>
    </xf>
    <xf numFmtId="5" fontId="11" fillId="0" borderId="206" xfId="48" applyNumberFormat="1" applyFont="1" applyBorder="1" applyAlignment="1">
      <alignment horizontal="center"/>
    </xf>
    <xf numFmtId="7" fontId="11" fillId="0" borderId="218" xfId="48" applyNumberFormat="1" applyFont="1" applyBorder="1" applyAlignment="1">
      <alignment horizontal="center"/>
    </xf>
    <xf numFmtId="7" fontId="11" fillId="0" borderId="220" xfId="48" applyNumberFormat="1" applyFont="1" applyBorder="1" applyAlignment="1">
      <alignment horizontal="center"/>
    </xf>
    <xf numFmtId="7" fontId="4" fillId="0" borderId="220" xfId="48" applyNumberFormat="1" applyFont="1" applyBorder="1" applyAlignment="1">
      <alignment horizontal="center"/>
    </xf>
    <xf numFmtId="0" fontId="15" fillId="0" borderId="215" xfId="48" applyFont="1" applyBorder="1" applyAlignment="1">
      <alignment horizontal="center"/>
    </xf>
    <xf numFmtId="3" fontId="11" fillId="0" borderId="52" xfId="48" applyNumberFormat="1" applyFont="1" applyBorder="1" applyAlignment="1">
      <alignment horizontal="center"/>
    </xf>
    <xf numFmtId="7" fontId="11" fillId="0" borderId="53" xfId="48" applyNumberFormat="1" applyFont="1" applyBorder="1"/>
    <xf numFmtId="7" fontId="11" fillId="0" borderId="216" xfId="48" applyNumberFormat="1" applyFont="1" applyBorder="1"/>
    <xf numFmtId="0" fontId="15" fillId="19" borderId="236" xfId="48" applyFont="1" applyFill="1" applyBorder="1" applyAlignment="1">
      <alignment horizontal="center"/>
    </xf>
    <xf numFmtId="3" fontId="7" fillId="19" borderId="237" xfId="48" applyNumberFormat="1" applyFont="1" applyFill="1" applyBorder="1" applyAlignment="1">
      <alignment horizontal="center"/>
    </xf>
    <xf numFmtId="165" fontId="11" fillId="19" borderId="238" xfId="48" applyNumberFormat="1" applyFont="1" applyFill="1" applyBorder="1" applyAlignment="1">
      <alignment horizontal="center"/>
    </xf>
    <xf numFmtId="3" fontId="7" fillId="19" borderId="238" xfId="48" applyNumberFormat="1" applyFont="1" applyFill="1" applyBorder="1" applyAlignment="1">
      <alignment horizontal="center"/>
    </xf>
    <xf numFmtId="7" fontId="7" fillId="19" borderId="238" xfId="48" applyNumberFormat="1" applyFont="1" applyFill="1" applyBorder="1"/>
    <xf numFmtId="7" fontId="7" fillId="19" borderId="239" xfId="48" applyNumberFormat="1" applyFont="1" applyFill="1" applyBorder="1" applyAlignment="1">
      <alignment horizontal="center"/>
    </xf>
    <xf numFmtId="0" fontId="33" fillId="0" borderId="211" xfId="48" applyFont="1" applyBorder="1"/>
    <xf numFmtId="0" fontId="33" fillId="0" borderId="212" xfId="48" applyFont="1" applyBorder="1"/>
    <xf numFmtId="0" fontId="13" fillId="0" borderId="240" xfId="48" applyFont="1" applyBorder="1"/>
    <xf numFmtId="0" fontId="13" fillId="0" borderId="241" xfId="48" applyFont="1" applyBorder="1"/>
    <xf numFmtId="0" fontId="55" fillId="0" borderId="242" xfId="48" applyFont="1" applyBorder="1"/>
    <xf numFmtId="0" fontId="13" fillId="0" borderId="243" xfId="48" applyFont="1" applyBorder="1"/>
    <xf numFmtId="0" fontId="15" fillId="0" borderId="243" xfId="48" applyFont="1" applyBorder="1"/>
    <xf numFmtId="7" fontId="13" fillId="0" borderId="244" xfId="48" applyNumberFormat="1" applyFont="1" applyBorder="1" applyAlignment="1">
      <alignment horizontal="center"/>
    </xf>
    <xf numFmtId="0" fontId="13" fillId="0" borderId="245" xfId="48" applyFont="1" applyBorder="1"/>
    <xf numFmtId="0" fontId="13" fillId="0" borderId="246" xfId="48" applyFont="1" applyBorder="1"/>
    <xf numFmtId="0" fontId="13" fillId="0" borderId="247" xfId="48" applyFont="1" applyBorder="1"/>
    <xf numFmtId="0" fontId="46" fillId="0" borderId="0" xfId="48" applyFont="1" applyAlignment="1">
      <alignment horizontal="right"/>
    </xf>
    <xf numFmtId="165" fontId="46" fillId="0" borderId="0" xfId="48" applyNumberFormat="1" applyFont="1" applyAlignment="1">
      <alignment horizontal="center"/>
    </xf>
    <xf numFmtId="0" fontId="46" fillId="0" borderId="212" xfId="48" applyFont="1" applyBorder="1"/>
    <xf numFmtId="0" fontId="45" fillId="19" borderId="248" xfId="48" applyFont="1" applyFill="1" applyBorder="1" applyAlignment="1">
      <alignment horizontal="center"/>
    </xf>
    <xf numFmtId="3" fontId="45" fillId="19" borderId="249" xfId="48" applyNumberFormat="1" applyFont="1" applyFill="1" applyBorder="1" applyAlignment="1">
      <alignment horizontal="center"/>
    </xf>
    <xf numFmtId="165" fontId="46" fillId="19" borderId="250" xfId="48" applyNumberFormat="1" applyFont="1" applyFill="1" applyBorder="1" applyAlignment="1">
      <alignment horizontal="center"/>
    </xf>
    <xf numFmtId="3" fontId="45" fillId="19" borderId="250" xfId="48" applyNumberFormat="1" applyFont="1" applyFill="1" applyBorder="1" applyAlignment="1">
      <alignment horizontal="center"/>
    </xf>
    <xf numFmtId="7" fontId="45" fillId="19" borderId="250" xfId="48" applyNumberFormat="1" applyFont="1" applyFill="1" applyBorder="1" applyAlignment="1">
      <alignment horizontal="center"/>
    </xf>
    <xf numFmtId="7" fontId="45" fillId="19" borderId="251" xfId="48" applyNumberFormat="1" applyFont="1" applyFill="1" applyBorder="1" applyAlignment="1">
      <alignment horizontal="center"/>
    </xf>
    <xf numFmtId="0" fontId="46" fillId="0" borderId="252" xfId="48" applyFont="1" applyBorder="1"/>
    <xf numFmtId="0" fontId="46" fillId="0" borderId="243" xfId="48" applyFont="1" applyBorder="1"/>
    <xf numFmtId="0" fontId="45" fillId="0" borderId="243" xfId="48" applyFont="1" applyBorder="1"/>
    <xf numFmtId="7" fontId="46" fillId="0" borderId="253" xfId="48" applyNumberFormat="1" applyFont="1" applyBorder="1" applyAlignment="1">
      <alignment horizontal="center"/>
    </xf>
    <xf numFmtId="0" fontId="46" fillId="0" borderId="219" xfId="48" applyFont="1" applyBorder="1"/>
    <xf numFmtId="0" fontId="45" fillId="0" borderId="219" xfId="48" applyFont="1" applyBorder="1"/>
    <xf numFmtId="0" fontId="13" fillId="0" borderId="219" xfId="48" applyFont="1" applyBorder="1"/>
    <xf numFmtId="0" fontId="45" fillId="0" borderId="254" xfId="48" applyFont="1" applyBorder="1"/>
    <xf numFmtId="0" fontId="6" fillId="0" borderId="12" xfId="0" applyFont="1" applyBorder="1" applyAlignment="1" applyProtection="1">
      <alignment horizontal="center" wrapText="1"/>
      <protection locked="0"/>
    </xf>
    <xf numFmtId="0" fontId="46" fillId="0" borderId="11" xfId="42" applyFont="1" applyBorder="1" applyAlignment="1">
      <alignment horizontal="center" vertical="center" wrapText="1"/>
    </xf>
    <xf numFmtId="0" fontId="96" fillId="0" borderId="12" xfId="0" applyFont="1" applyBorder="1" applyAlignment="1" applyProtection="1">
      <alignment horizontal="left" vertical="center"/>
      <protection locked="0"/>
    </xf>
    <xf numFmtId="0" fontId="117" fillId="32" borderId="75" xfId="42" applyFont="1" applyFill="1" applyBorder="1" applyAlignment="1">
      <alignment vertical="center" wrapText="1"/>
    </xf>
    <xf numFmtId="0" fontId="46" fillId="32" borderId="75" xfId="42" applyFont="1" applyFill="1" applyBorder="1" applyAlignment="1">
      <alignment horizontal="center" vertical="center" wrapText="1"/>
    </xf>
    <xf numFmtId="0" fontId="46" fillId="32" borderId="75" xfId="42" applyFont="1" applyFill="1" applyBorder="1" applyAlignment="1">
      <alignment horizontal="center" vertical="center"/>
    </xf>
    <xf numFmtId="0" fontId="46" fillId="0" borderId="43" xfId="42" applyFont="1" applyBorder="1" applyAlignment="1">
      <alignment horizontal="center" vertical="center" wrapText="1"/>
    </xf>
    <xf numFmtId="9" fontId="46" fillId="0" borderId="44" xfId="42" applyNumberFormat="1" applyFont="1" applyBorder="1" applyAlignment="1">
      <alignment horizontal="center" vertical="center" wrapText="1"/>
    </xf>
    <xf numFmtId="0" fontId="132" fillId="0" borderId="0" xfId="0" applyFont="1" applyAlignment="1" applyProtection="1">
      <alignment horizontal="center"/>
      <protection locked="0"/>
    </xf>
    <xf numFmtId="0" fontId="117" fillId="0" borderId="16" xfId="42" applyFont="1" applyBorder="1" applyAlignment="1" applyProtection="1">
      <alignment horizontal="center" vertical="center" wrapText="1"/>
      <protection locked="0"/>
    </xf>
    <xf numFmtId="0" fontId="133" fillId="0" borderId="18" xfId="0" applyFont="1" applyBorder="1" applyAlignment="1">
      <alignment horizontal="center" vertical="center"/>
    </xf>
    <xf numFmtId="0" fontId="46" fillId="0" borderId="17" xfId="0" applyFont="1" applyBorder="1" applyAlignment="1">
      <alignment horizontal="center" vertical="center" wrapText="1"/>
    </xf>
    <xf numFmtId="0" fontId="15" fillId="0" borderId="64" xfId="0" applyFont="1" applyBorder="1" applyAlignment="1" applyProtection="1">
      <alignment horizontal="center" vertical="center"/>
      <protection locked="0"/>
    </xf>
    <xf numFmtId="164" fontId="46" fillId="0" borderId="65" xfId="0" applyNumberFormat="1" applyFont="1" applyBorder="1" applyAlignment="1" applyProtection="1">
      <alignment horizontal="center" vertical="center"/>
      <protection locked="0"/>
    </xf>
    <xf numFmtId="0" fontId="95" fillId="0" borderId="73" xfId="0" applyFont="1" applyBorder="1" applyAlignment="1" applyProtection="1">
      <alignment vertical="center"/>
      <protection locked="0"/>
    </xf>
    <xf numFmtId="0" fontId="96" fillId="0" borderId="97" xfId="0" applyFont="1" applyBorder="1" applyAlignment="1" applyProtection="1">
      <alignment horizontal="right" vertical="center"/>
      <protection locked="0"/>
    </xf>
    <xf numFmtId="164" fontId="46" fillId="0" borderId="13" xfId="0" applyNumberFormat="1" applyFont="1" applyBorder="1" applyAlignment="1" applyProtection="1">
      <alignment vertical="center"/>
      <protection locked="0"/>
    </xf>
    <xf numFmtId="0" fontId="95" fillId="0" borderId="0" xfId="0" applyFont="1" applyAlignment="1" applyProtection="1">
      <alignment vertical="center" wrapText="1"/>
      <protection locked="0"/>
    </xf>
    <xf numFmtId="0" fontId="96" fillId="0" borderId="82" xfId="0" applyFont="1" applyBorder="1" applyAlignment="1" applyProtection="1">
      <alignment horizontal="right" vertical="center"/>
      <protection locked="0"/>
    </xf>
    <xf numFmtId="164" fontId="95" fillId="0" borderId="13" xfId="0" applyNumberFormat="1" applyFont="1" applyBorder="1" applyProtection="1">
      <protection locked="0"/>
    </xf>
    <xf numFmtId="0" fontId="95" fillId="0" borderId="82" xfId="0" applyFont="1" applyBorder="1" applyProtection="1">
      <protection locked="0"/>
    </xf>
    <xf numFmtId="164" fontId="110" fillId="0" borderId="13" xfId="0" applyNumberFormat="1" applyFont="1" applyBorder="1" applyAlignment="1" applyProtection="1">
      <alignment vertical="center"/>
      <protection locked="0"/>
    </xf>
    <xf numFmtId="164" fontId="15" fillId="0" borderId="13" xfId="0" applyNumberFormat="1" applyFont="1" applyBorder="1" applyProtection="1">
      <protection locked="0"/>
    </xf>
    <xf numFmtId="0" fontId="15" fillId="26" borderId="107" xfId="0" applyFont="1" applyFill="1" applyBorder="1" applyAlignment="1" applyProtection="1">
      <alignment horizontal="center" vertical="center" wrapText="1"/>
      <protection locked="0"/>
    </xf>
    <xf numFmtId="0" fontId="15" fillId="26" borderId="123" xfId="0" applyFont="1" applyFill="1" applyBorder="1" applyAlignment="1" applyProtection="1">
      <alignment horizontal="center" vertical="center"/>
      <protection locked="0"/>
    </xf>
    <xf numFmtId="0" fontId="46" fillId="0" borderId="75" xfId="42" applyFont="1" applyBorder="1" applyAlignment="1">
      <alignment horizontal="center" vertical="center"/>
    </xf>
    <xf numFmtId="0" fontId="31" fillId="26" borderId="17" xfId="0" applyFont="1" applyFill="1" applyBorder="1" applyAlignment="1">
      <alignment horizontal="center" vertical="center"/>
    </xf>
    <xf numFmtId="0" fontId="134" fillId="31" borderId="153" xfId="57" applyFont="1" applyFill="1" applyBorder="1" applyAlignment="1" applyProtection="1">
      <alignment horizontal="center" vertical="center" wrapText="1"/>
    </xf>
    <xf numFmtId="0" fontId="46" fillId="0" borderId="0" xfId="42" applyFont="1" applyAlignment="1">
      <alignment vertical="center"/>
    </xf>
    <xf numFmtId="0" fontId="46" fillId="29" borderId="0" xfId="42" applyFont="1" applyFill="1" applyAlignment="1">
      <alignment vertical="center"/>
    </xf>
    <xf numFmtId="0" fontId="135" fillId="25" borderId="98" xfId="42" applyFont="1" applyFill="1" applyBorder="1" applyAlignment="1">
      <alignment horizontal="center" vertical="center"/>
    </xf>
    <xf numFmtId="0" fontId="135" fillId="25" borderId="73" xfId="42" applyFont="1" applyFill="1" applyBorder="1" applyAlignment="1">
      <alignment horizontal="center" vertical="center"/>
    </xf>
    <xf numFmtId="0" fontId="46" fillId="26" borderId="19" xfId="42" applyFont="1" applyFill="1" applyBorder="1" applyAlignment="1">
      <alignment horizontal="right" vertical="center" wrapText="1"/>
    </xf>
    <xf numFmtId="0" fontId="46" fillId="26" borderId="21" xfId="42" applyFont="1" applyFill="1" applyBorder="1" applyAlignment="1">
      <alignment horizontal="left" vertical="center"/>
    </xf>
    <xf numFmtId="0" fontId="46" fillId="26" borderId="21" xfId="42" applyFont="1" applyFill="1" applyBorder="1" applyAlignment="1">
      <alignment horizontal="left" vertical="center" wrapText="1"/>
    </xf>
    <xf numFmtId="0" fontId="46" fillId="29" borderId="19" xfId="42" applyFont="1" applyFill="1" applyBorder="1" applyAlignment="1">
      <alignment horizontal="right" vertical="center" wrapText="1"/>
    </xf>
    <xf numFmtId="0" fontId="46" fillId="29" borderId="21" xfId="42" applyFont="1" applyFill="1" applyBorder="1" applyAlignment="1">
      <alignment horizontal="left" vertical="center"/>
    </xf>
    <xf numFmtId="0" fontId="45" fillId="29" borderId="94" xfId="42" applyFont="1" applyFill="1" applyBorder="1" applyAlignment="1">
      <alignment horizontal="right" vertical="center"/>
    </xf>
    <xf numFmtId="0" fontId="45" fillId="29" borderId="87" xfId="42" applyFont="1" applyFill="1" applyBorder="1" applyAlignment="1">
      <alignment horizontal="center" vertical="center"/>
    </xf>
    <xf numFmtId="0" fontId="45" fillId="29" borderId="120" xfId="42" applyFont="1" applyFill="1" applyBorder="1" applyAlignment="1">
      <alignment horizontal="center" vertical="center"/>
    </xf>
    <xf numFmtId="0" fontId="46" fillId="29" borderId="103" xfId="42" applyFont="1" applyFill="1" applyBorder="1" applyAlignment="1">
      <alignment vertical="center"/>
    </xf>
    <xf numFmtId="0" fontId="46" fillId="29" borderId="102" xfId="42" applyFont="1" applyFill="1" applyBorder="1" applyAlignment="1">
      <alignment vertical="center"/>
    </xf>
    <xf numFmtId="0" fontId="46" fillId="29" borderId="259" xfId="42" applyFont="1" applyFill="1" applyBorder="1" applyAlignment="1">
      <alignment vertical="center"/>
    </xf>
    <xf numFmtId="0" fontId="4" fillId="0" borderId="0" xfId="47" applyAlignment="1">
      <alignment horizontal="left" vertical="center" wrapText="1"/>
    </xf>
    <xf numFmtId="2" fontId="46" fillId="0" borderId="67" xfId="42" quotePrefix="1" applyNumberFormat="1" applyFont="1" applyBorder="1" applyAlignment="1">
      <alignment horizontal="center" vertical="center" wrapText="1"/>
    </xf>
    <xf numFmtId="0" fontId="46" fillId="0" borderId="16" xfId="42" applyFont="1" applyBorder="1" applyAlignment="1">
      <alignment horizontal="left" vertical="center" wrapText="1"/>
    </xf>
    <xf numFmtId="0" fontId="13" fillId="0" borderId="143" xfId="42" applyFont="1" applyBorder="1" applyAlignment="1">
      <alignment horizontal="left" vertical="top" wrapText="1"/>
    </xf>
    <xf numFmtId="164" fontId="46" fillId="0" borderId="65" xfId="42" quotePrefix="1" applyNumberFormat="1" applyFont="1" applyBorder="1" applyAlignment="1">
      <alignment horizontal="center" vertical="center" wrapText="1"/>
    </xf>
    <xf numFmtId="164" fontId="46" fillId="0" borderId="67" xfId="42" quotePrefix="1" applyNumberFormat="1" applyFont="1" applyBorder="1" applyAlignment="1">
      <alignment horizontal="center" vertical="center" wrapText="1"/>
    </xf>
    <xf numFmtId="0" fontId="125" fillId="33" borderId="256" xfId="42" applyFont="1" applyFill="1" applyBorder="1" applyAlignment="1" applyProtection="1">
      <alignment horizontal="center" vertical="center"/>
      <protection locked="0"/>
    </xf>
    <xf numFmtId="0" fontId="46" fillId="0" borderId="67" xfId="42" applyFont="1" applyBorder="1" applyAlignment="1">
      <alignment horizontal="center" vertical="center" wrapText="1"/>
    </xf>
    <xf numFmtId="0" fontId="15" fillId="26" borderId="16" xfId="42" applyFont="1" applyFill="1" applyBorder="1" applyAlignment="1">
      <alignment horizontal="center" vertical="center"/>
    </xf>
    <xf numFmtId="0" fontId="15" fillId="26" borderId="21" xfId="42" applyFont="1" applyFill="1" applyBorder="1" applyAlignment="1">
      <alignment horizontal="center" vertical="center"/>
    </xf>
    <xf numFmtId="0" fontId="15" fillId="26" borderId="257" xfId="42" applyFont="1" applyFill="1" applyBorder="1" applyAlignment="1">
      <alignment horizontal="center" vertical="center"/>
    </xf>
    <xf numFmtId="0" fontId="15" fillId="26" borderId="255" xfId="42" applyFont="1" applyFill="1" applyBorder="1" applyAlignment="1">
      <alignment horizontal="center" vertical="center"/>
    </xf>
    <xf numFmtId="0" fontId="15" fillId="26" borderId="259" xfId="42" applyFont="1" applyFill="1" applyBorder="1" applyAlignment="1">
      <alignment horizontal="center" vertical="center"/>
    </xf>
    <xf numFmtId="164" fontId="46" fillId="0" borderId="151" xfId="42" quotePrefix="1" applyNumberFormat="1" applyFont="1" applyBorder="1" applyAlignment="1">
      <alignment horizontal="center" vertical="center" wrapText="1"/>
    </xf>
    <xf numFmtId="0" fontId="46" fillId="0" borderId="152" xfId="42" applyFont="1" applyBorder="1" applyAlignment="1">
      <alignment horizontal="left" vertical="center" wrapText="1"/>
    </xf>
    <xf numFmtId="1" fontId="46" fillId="0" borderId="256" xfId="42" applyNumberFormat="1" applyFont="1" applyBorder="1" applyAlignment="1">
      <alignment horizontal="center" vertical="center"/>
    </xf>
    <xf numFmtId="0" fontId="46" fillId="0" borderId="259" xfId="42" applyFont="1" applyBorder="1" applyAlignment="1">
      <alignment horizontal="center" vertical="center" wrapText="1"/>
    </xf>
    <xf numFmtId="0" fontId="46" fillId="0" borderId="256" xfId="42" applyFont="1" applyBorder="1" applyAlignment="1">
      <alignment horizontal="left" vertical="center" wrapText="1"/>
    </xf>
    <xf numFmtId="0" fontId="46" fillId="35" borderId="12" xfId="42" applyFont="1" applyFill="1" applyBorder="1" applyAlignment="1">
      <alignment horizontal="center" vertical="center" wrapText="1"/>
    </xf>
    <xf numFmtId="0" fontId="46" fillId="0" borderId="256" xfId="42" applyFont="1" applyBorder="1" applyAlignment="1">
      <alignment horizontal="center" vertical="center" wrapText="1"/>
    </xf>
    <xf numFmtId="2" fontId="125" fillId="0" borderId="256" xfId="42" applyNumberFormat="1" applyFont="1" applyBorder="1" applyAlignment="1" applyProtection="1">
      <alignment horizontal="center" vertical="center" wrapText="1"/>
      <protection locked="0"/>
    </xf>
    <xf numFmtId="0" fontId="125" fillId="0" borderId="256" xfId="42" applyFont="1" applyBorder="1" applyAlignment="1" applyProtection="1">
      <alignment horizontal="center" vertical="center"/>
      <protection locked="0"/>
    </xf>
    <xf numFmtId="0" fontId="46" fillId="0" borderId="154" xfId="42" applyFont="1" applyBorder="1" applyAlignment="1" applyProtection="1">
      <alignment horizontal="center" vertical="center" wrapText="1"/>
      <protection locked="0"/>
    </xf>
    <xf numFmtId="0" fontId="46" fillId="0" borderId="155" xfId="42" applyFont="1" applyBorder="1" applyAlignment="1" applyProtection="1">
      <alignment horizontal="center" vertical="center" wrapText="1"/>
      <protection locked="0"/>
    </xf>
    <xf numFmtId="0" fontId="46" fillId="0" borderId="256" xfId="42" applyFont="1" applyBorder="1" applyAlignment="1">
      <alignment horizontal="center" vertical="center"/>
    </xf>
    <xf numFmtId="0" fontId="46" fillId="0" borderId="175" xfId="42" applyFont="1" applyBorder="1" applyAlignment="1" applyProtection="1">
      <alignment horizontal="center" vertical="center" wrapText="1"/>
      <protection locked="0"/>
    </xf>
    <xf numFmtId="0" fontId="118" fillId="0" borderId="199" xfId="42" applyFont="1" applyBorder="1" applyAlignment="1">
      <alignment horizontal="center" wrapText="1"/>
    </xf>
    <xf numFmtId="0" fontId="118" fillId="0" borderId="198" xfId="42" applyFont="1" applyBorder="1" applyAlignment="1">
      <alignment horizontal="center" wrapText="1"/>
    </xf>
    <xf numFmtId="164" fontId="46" fillId="0" borderId="79" xfId="42" quotePrefix="1" applyNumberFormat="1" applyFont="1" applyBorder="1" applyAlignment="1">
      <alignment horizontal="center" vertical="center" wrapText="1"/>
    </xf>
    <xf numFmtId="0" fontId="46" fillId="0" borderId="17" xfId="42" applyFont="1" applyBorder="1" applyAlignment="1">
      <alignment vertical="center" wrapText="1"/>
    </xf>
    <xf numFmtId="1" fontId="15" fillId="31" borderId="118" xfId="42" applyNumberFormat="1" applyFont="1" applyFill="1" applyBorder="1" applyAlignment="1">
      <alignment horizontal="center" vertical="center" wrapText="1"/>
    </xf>
    <xf numFmtId="0" fontId="5" fillId="0" borderId="37" xfId="42" applyFont="1" applyBorder="1"/>
    <xf numFmtId="2" fontId="46" fillId="0" borderId="83" xfId="42" quotePrefix="1" applyNumberFormat="1" applyFont="1" applyBorder="1" applyAlignment="1">
      <alignment horizontal="center" vertical="center" wrapText="1"/>
    </xf>
    <xf numFmtId="0" fontId="125" fillId="0" borderId="256" xfId="42" applyFont="1" applyBorder="1" applyAlignment="1" applyProtection="1">
      <alignment horizontal="center" vertical="center" wrapText="1"/>
      <protection locked="0"/>
    </xf>
    <xf numFmtId="2" fontId="46" fillId="0" borderId="12" xfId="42" quotePrefix="1" applyNumberFormat="1" applyFont="1" applyBorder="1" applyAlignment="1">
      <alignment horizontal="center" vertical="center" wrapText="1"/>
    </xf>
    <xf numFmtId="0" fontId="46" fillId="0" borderId="257" xfId="42" applyFont="1" applyBorder="1" applyAlignment="1">
      <alignment horizontal="center" vertical="center"/>
    </xf>
    <xf numFmtId="0" fontId="46" fillId="0" borderId="255" xfId="42" applyFont="1" applyBorder="1" applyAlignment="1">
      <alignment horizontal="center" vertical="center"/>
    </xf>
    <xf numFmtId="2" fontId="46" fillId="0" borderId="42" xfId="42" quotePrefix="1" applyNumberFormat="1" applyFont="1" applyBorder="1" applyAlignment="1">
      <alignment horizontal="center" vertical="center" wrapText="1"/>
    </xf>
    <xf numFmtId="0" fontId="46" fillId="0" borderId="43" xfId="42" applyFont="1" applyBorder="1" applyAlignment="1">
      <alignment horizontal="left" vertical="center" wrapText="1"/>
    </xf>
    <xf numFmtId="0" fontId="5" fillId="0" borderId="255" xfId="42" applyFont="1" applyBorder="1"/>
    <xf numFmtId="9" fontId="46" fillId="0" borderId="12" xfId="42" applyNumberFormat="1" applyFont="1" applyBorder="1" applyAlignment="1">
      <alignment horizontal="center" vertical="center" wrapText="1"/>
    </xf>
    <xf numFmtId="0" fontId="5" fillId="0" borderId="0" xfId="42" applyFont="1" applyAlignment="1" applyProtection="1">
      <alignment vertical="center"/>
      <protection locked="0"/>
    </xf>
    <xf numFmtId="0" fontId="135" fillId="25" borderId="73" xfId="42" applyFont="1" applyFill="1" applyBorder="1" applyAlignment="1">
      <alignment horizontal="center" vertical="center" wrapText="1"/>
    </xf>
    <xf numFmtId="0" fontId="46" fillId="29" borderId="93" xfId="42" applyFont="1" applyFill="1" applyBorder="1" applyAlignment="1">
      <alignment horizontal="right" vertical="center" wrapText="1"/>
    </xf>
    <xf numFmtId="0" fontId="46" fillId="29" borderId="87" xfId="42" applyFont="1" applyFill="1" applyBorder="1" applyAlignment="1">
      <alignment horizontal="left" vertical="center"/>
    </xf>
    <xf numFmtId="0" fontId="45" fillId="29" borderId="88" xfId="42" applyFont="1" applyFill="1" applyBorder="1" applyAlignment="1">
      <alignment horizontal="right" vertical="center"/>
    </xf>
    <xf numFmtId="0" fontId="45" fillId="29" borderId="104" xfId="42" applyFont="1" applyFill="1" applyBorder="1" applyAlignment="1">
      <alignment horizontal="center" vertical="center"/>
    </xf>
    <xf numFmtId="0" fontId="45" fillId="29" borderId="96" xfId="42" applyFont="1" applyFill="1" applyBorder="1" applyAlignment="1">
      <alignment horizontal="center" vertical="center"/>
    </xf>
    <xf numFmtId="0" fontId="46" fillId="29" borderId="77" xfId="42" applyFont="1" applyFill="1" applyBorder="1" applyAlignment="1">
      <alignment horizontal="right" vertical="center"/>
    </xf>
    <xf numFmtId="0" fontId="46" fillId="29" borderId="14" xfId="42" applyFont="1" applyFill="1" applyBorder="1" applyAlignment="1">
      <alignment horizontal="right" vertical="center"/>
    </xf>
    <xf numFmtId="0" fontId="46" fillId="29" borderId="257" xfId="42" applyFont="1" applyFill="1" applyBorder="1" applyAlignment="1">
      <alignment horizontal="right" vertical="center"/>
    </xf>
    <xf numFmtId="0" fontId="15" fillId="26" borderId="12" xfId="42" applyFont="1" applyFill="1" applyBorder="1" applyAlignment="1">
      <alignment horizontal="center" vertical="center"/>
    </xf>
    <xf numFmtId="0" fontId="15" fillId="26" borderId="19" xfId="42" applyFont="1" applyFill="1" applyBorder="1" applyAlignment="1">
      <alignment horizontal="center" vertical="center"/>
    </xf>
    <xf numFmtId="0" fontId="15" fillId="26" borderId="66" xfId="42" applyFont="1" applyFill="1" applyBorder="1" applyAlignment="1">
      <alignment horizontal="center" vertical="center"/>
    </xf>
    <xf numFmtId="1" fontId="125" fillId="0" borderId="75" xfId="42" applyNumberFormat="1" applyFont="1" applyBorder="1" applyAlignment="1" applyProtection="1">
      <alignment horizontal="center" vertical="center" wrapText="1"/>
      <protection locked="0"/>
    </xf>
    <xf numFmtId="164" fontId="46" fillId="0" borderId="12" xfId="42" quotePrefix="1" applyNumberFormat="1" applyFont="1" applyBorder="1" applyAlignment="1">
      <alignment horizontal="center" vertical="center" wrapText="1"/>
    </xf>
    <xf numFmtId="0" fontId="46" fillId="0" borderId="64" xfId="42" applyFont="1" applyBorder="1" applyAlignment="1" applyProtection="1">
      <alignment horizontal="left" vertical="center" wrapText="1"/>
      <protection locked="0"/>
    </xf>
    <xf numFmtId="0" fontId="13" fillId="0" borderId="12" xfId="42" applyFont="1" applyBorder="1" applyAlignment="1" applyProtection="1">
      <alignment horizontal="center" vertical="center"/>
      <protection locked="0"/>
    </xf>
    <xf numFmtId="0" fontId="13" fillId="0" borderId="12" xfId="42" applyFont="1" applyBorder="1" applyAlignment="1">
      <alignment horizontal="center" vertical="center"/>
    </xf>
    <xf numFmtId="0" fontId="46" fillId="0" borderId="16" xfId="42" applyFont="1" applyBorder="1" applyAlignment="1" applyProtection="1">
      <alignment horizontal="left" vertical="center" wrapText="1"/>
      <protection locked="0"/>
    </xf>
    <xf numFmtId="0" fontId="13" fillId="0" borderId="0" xfId="42" applyFont="1" applyAlignment="1">
      <alignment horizontal="center" vertical="center"/>
    </xf>
    <xf numFmtId="0" fontId="46" fillId="0" borderId="152" xfId="42" applyFont="1" applyBorder="1" applyAlignment="1">
      <alignment horizontal="center" vertical="center"/>
    </xf>
    <xf numFmtId="2" fontId="46" fillId="0" borderId="67" xfId="42" applyNumberFormat="1" applyFont="1" applyBorder="1" applyAlignment="1">
      <alignment horizontal="center" vertical="center" wrapText="1"/>
    </xf>
    <xf numFmtId="0" fontId="46" fillId="32" borderId="16" xfId="42" applyFont="1" applyFill="1" applyBorder="1" applyAlignment="1">
      <alignment horizontal="center" vertical="center"/>
    </xf>
    <xf numFmtId="0" fontId="46" fillId="0" borderId="63" xfId="42" applyFont="1" applyBorder="1" applyAlignment="1" applyProtection="1">
      <alignment horizontal="left" vertical="center" wrapText="1"/>
      <protection locked="0"/>
    </xf>
    <xf numFmtId="1" fontId="46" fillId="0" borderId="43" xfId="42" applyNumberFormat="1" applyFont="1" applyBorder="1" applyAlignment="1">
      <alignment horizontal="center" vertical="center"/>
    </xf>
    <xf numFmtId="0" fontId="13" fillId="0" borderId="37" xfId="42" applyFont="1" applyBorder="1" applyAlignment="1">
      <alignment horizontal="center" vertical="center"/>
    </xf>
    <xf numFmtId="0" fontId="13" fillId="0" borderId="37" xfId="42" applyFont="1" applyBorder="1" applyAlignment="1">
      <alignment horizontal="center" vertical="center" wrapText="1"/>
    </xf>
    <xf numFmtId="0" fontId="83" fillId="0" borderId="0" xfId="42" applyFont="1" applyAlignment="1" applyProtection="1">
      <alignment horizontal="center" vertical="center"/>
      <protection locked="0"/>
    </xf>
    <xf numFmtId="2" fontId="46" fillId="0" borderId="117" xfId="42" applyNumberFormat="1" applyFont="1" applyBorder="1" applyAlignment="1">
      <alignment horizontal="center" vertical="center" wrapText="1"/>
    </xf>
    <xf numFmtId="0" fontId="46" fillId="0" borderId="118" xfId="42" applyFont="1" applyBorder="1" applyAlignment="1">
      <alignment horizontal="left" vertical="center" wrapText="1"/>
    </xf>
    <xf numFmtId="0" fontId="46" fillId="0" borderId="118" xfId="42" applyFont="1" applyBorder="1" applyAlignment="1">
      <alignment horizontal="center" vertical="center" wrapText="1"/>
    </xf>
    <xf numFmtId="1" fontId="125" fillId="0" borderId="118" xfId="42" applyNumberFormat="1" applyFont="1" applyBorder="1" applyAlignment="1" applyProtection="1">
      <alignment horizontal="center" vertical="center" wrapText="1"/>
      <protection locked="0"/>
    </xf>
    <xf numFmtId="9" fontId="46" fillId="0" borderId="118" xfId="42" applyNumberFormat="1" applyFont="1" applyBorder="1" applyAlignment="1">
      <alignment horizontal="center" vertical="center" wrapText="1"/>
    </xf>
    <xf numFmtId="0" fontId="46" fillId="0" borderId="118" xfId="42" applyFont="1" applyBorder="1" applyAlignment="1">
      <alignment horizontal="center" vertical="center"/>
    </xf>
    <xf numFmtId="0" fontId="46" fillId="0" borderId="106" xfId="42" applyFont="1" applyBorder="1" applyAlignment="1" applyProtection="1">
      <alignment horizontal="left" vertical="center" wrapText="1"/>
      <protection locked="0"/>
    </xf>
    <xf numFmtId="0" fontId="15" fillId="31" borderId="104" xfId="42" applyFont="1" applyFill="1" applyBorder="1" applyAlignment="1">
      <alignment horizontal="center" vertical="center" wrapText="1"/>
    </xf>
    <xf numFmtId="0" fontId="13" fillId="31" borderId="121" xfId="42" applyFont="1" applyFill="1" applyBorder="1" applyAlignment="1">
      <alignment horizontal="right" vertical="center" wrapText="1"/>
    </xf>
    <xf numFmtId="0" fontId="60" fillId="0" borderId="0" xfId="42" applyFont="1" applyProtection="1">
      <protection locked="0"/>
    </xf>
    <xf numFmtId="0" fontId="15" fillId="0" borderId="0" xfId="42" applyFont="1" applyAlignment="1" applyProtection="1">
      <alignment vertical="center"/>
      <protection locked="0"/>
    </xf>
    <xf numFmtId="0" fontId="15" fillId="0" borderId="82" xfId="42" applyFont="1" applyBorder="1" applyAlignment="1" applyProtection="1">
      <alignment vertical="center"/>
      <protection locked="0"/>
    </xf>
    <xf numFmtId="0" fontId="15" fillId="26" borderId="117" xfId="42" applyFont="1" applyFill="1" applyBorder="1" applyAlignment="1" applyProtection="1">
      <alignment horizontal="center" vertical="center" wrapText="1"/>
      <protection locked="0"/>
    </xf>
    <xf numFmtId="0" fontId="15" fillId="26" borderId="118" xfId="42" applyFont="1" applyFill="1" applyBorder="1" applyAlignment="1" applyProtection="1">
      <alignment horizontal="center" vertical="center" wrapText="1"/>
      <protection locked="0"/>
    </xf>
    <xf numFmtId="0" fontId="15" fillId="26" borderId="124" xfId="42" applyFont="1" applyFill="1" applyBorder="1" applyAlignment="1" applyProtection="1">
      <alignment horizontal="center" vertical="center" wrapText="1"/>
      <protection locked="0"/>
    </xf>
    <xf numFmtId="0" fontId="15" fillId="26" borderId="106" xfId="42" applyFont="1" applyFill="1" applyBorder="1" applyAlignment="1" applyProtection="1">
      <alignment horizontal="center" vertical="center" wrapText="1"/>
      <protection locked="0"/>
    </xf>
    <xf numFmtId="0" fontId="46" fillId="0" borderId="0" xfId="42" applyFont="1" applyAlignment="1" applyProtection="1">
      <alignment vertical="center" wrapText="1"/>
      <protection locked="0"/>
    </xf>
    <xf numFmtId="0" fontId="46" fillId="0" borderId="82" xfId="42" applyFont="1" applyBorder="1" applyAlignment="1" applyProtection="1">
      <alignment vertical="center" wrapText="1"/>
      <protection locked="0"/>
    </xf>
    <xf numFmtId="0" fontId="46" fillId="0" borderId="67" xfId="42" applyFont="1" applyBorder="1" applyAlignment="1" applyProtection="1">
      <alignment horizontal="left" vertical="center"/>
      <protection locked="0"/>
    </xf>
    <xf numFmtId="0" fontId="117" fillId="0" borderId="256" xfId="42" applyFont="1" applyBorder="1" applyAlignment="1" applyProtection="1">
      <alignment horizontal="center" vertical="center"/>
      <protection locked="0"/>
    </xf>
    <xf numFmtId="0" fontId="46" fillId="0" borderId="42" xfId="42" applyFont="1" applyBorder="1" applyAlignment="1" applyProtection="1">
      <alignment horizontal="left" vertical="center"/>
      <protection locked="0"/>
    </xf>
    <xf numFmtId="0" fontId="117" fillId="0" borderId="43" xfId="42" applyFont="1" applyBorder="1" applyAlignment="1" applyProtection="1">
      <alignment horizontal="center" vertical="center"/>
      <protection locked="0"/>
    </xf>
    <xf numFmtId="0" fontId="15" fillId="0" borderId="82" xfId="42" applyFont="1" applyBorder="1" applyAlignment="1" applyProtection="1">
      <alignment vertical="center" wrapText="1"/>
      <protection locked="0"/>
    </xf>
    <xf numFmtId="0" fontId="15" fillId="26" borderId="117" xfId="42" applyFont="1" applyFill="1" applyBorder="1" applyAlignment="1" applyProtection="1">
      <alignment horizontal="right" vertical="center"/>
      <protection locked="0"/>
    </xf>
    <xf numFmtId="0" fontId="15" fillId="26" borderId="118" xfId="42" applyFont="1" applyFill="1" applyBorder="1" applyAlignment="1" applyProtection="1">
      <alignment horizontal="center" vertical="center"/>
      <protection locked="0"/>
    </xf>
    <xf numFmtId="0" fontId="15" fillId="26" borderId="106" xfId="42" applyFont="1" applyFill="1" applyBorder="1" applyAlignment="1" applyProtection="1">
      <alignment horizontal="center" vertical="center"/>
      <protection locked="0"/>
    </xf>
    <xf numFmtId="0" fontId="15" fillId="0" borderId="13" xfId="42" applyFont="1" applyBorder="1" applyAlignment="1" applyProtection="1">
      <alignment horizontal="center" vertical="center"/>
      <protection locked="0"/>
    </xf>
    <xf numFmtId="0" fontId="46" fillId="0" borderId="83" xfId="42" applyFont="1" applyBorder="1" applyAlignment="1" applyProtection="1">
      <alignment horizontal="left" vertical="center"/>
      <protection locked="0"/>
    </xf>
    <xf numFmtId="0" fontId="117" fillId="0" borderId="76" xfId="42" applyFont="1" applyBorder="1" applyAlignment="1" applyProtection="1">
      <alignment horizontal="center" vertical="center"/>
      <protection locked="0"/>
    </xf>
    <xf numFmtId="0" fontId="83" fillId="0" borderId="0" xfId="42" applyFont="1" applyAlignment="1" applyProtection="1">
      <alignment vertical="center"/>
      <protection locked="0"/>
    </xf>
    <xf numFmtId="0" fontId="46" fillId="0" borderId="108" xfId="42" applyFont="1" applyBorder="1" applyAlignment="1" applyProtection="1">
      <alignment horizontal="left" vertical="center"/>
      <protection locked="0"/>
    </xf>
    <xf numFmtId="0" fontId="117" fillId="0" borderId="64" xfId="42" applyFont="1" applyBorder="1" applyAlignment="1" applyProtection="1">
      <alignment horizontal="center" vertical="center"/>
      <protection locked="0"/>
    </xf>
    <xf numFmtId="0" fontId="15" fillId="26" borderId="119" xfId="42" applyFont="1" applyFill="1" applyBorder="1" applyAlignment="1" applyProtection="1">
      <alignment horizontal="right" vertical="center"/>
      <protection locked="0"/>
    </xf>
    <xf numFmtId="0" fontId="15" fillId="26" borderId="123" xfId="42" applyFont="1" applyFill="1" applyBorder="1" applyAlignment="1" applyProtection="1">
      <alignment horizontal="center" vertical="center"/>
      <protection locked="0"/>
    </xf>
    <xf numFmtId="0" fontId="96" fillId="0" borderId="0" xfId="42" applyFont="1" applyAlignment="1" applyProtection="1">
      <alignment horizontal="right" vertical="center"/>
      <protection locked="0"/>
    </xf>
    <xf numFmtId="0" fontId="15" fillId="0" borderId="0" xfId="42" applyFont="1" applyAlignment="1" applyProtection="1">
      <alignment horizontal="center" vertical="center"/>
      <protection locked="0"/>
    </xf>
    <xf numFmtId="0" fontId="15" fillId="26" borderId="77" xfId="42" applyFont="1" applyFill="1" applyBorder="1" applyAlignment="1" applyProtection="1">
      <alignment horizontal="center" vertical="center"/>
      <protection locked="0"/>
    </xf>
    <xf numFmtId="0" fontId="15" fillId="26" borderId="37" xfId="42" applyFont="1" applyFill="1" applyBorder="1" applyAlignment="1" applyProtection="1">
      <alignment horizontal="center" vertical="center"/>
      <protection locked="0"/>
    </xf>
    <xf numFmtId="0" fontId="15" fillId="26" borderId="259" xfId="42" applyFont="1" applyFill="1" applyBorder="1" applyAlignment="1" applyProtection="1">
      <alignment horizontal="center" vertical="center"/>
      <protection locked="0"/>
    </xf>
    <xf numFmtId="0" fontId="15" fillId="26" borderId="255" xfId="42" applyFont="1" applyFill="1" applyBorder="1" applyAlignment="1" applyProtection="1">
      <alignment horizontal="center" vertical="center"/>
      <protection locked="0"/>
    </xf>
    <xf numFmtId="0" fontId="46" fillId="0" borderId="192" xfId="42" applyFont="1" applyBorder="1" applyAlignment="1" applyProtection="1">
      <alignment horizontal="center" vertical="center" wrapText="1"/>
      <protection locked="0"/>
    </xf>
    <xf numFmtId="0" fontId="46" fillId="0" borderId="158" xfId="42" applyFont="1" applyBorder="1" applyAlignment="1" applyProtection="1">
      <alignment horizontal="center" vertical="center" wrapText="1"/>
      <protection locked="0"/>
    </xf>
    <xf numFmtId="0" fontId="46" fillId="0" borderId="195" xfId="42" applyFont="1" applyBorder="1" applyAlignment="1" applyProtection="1">
      <alignment horizontal="center" vertical="center" wrapText="1"/>
      <protection locked="0"/>
    </xf>
    <xf numFmtId="0" fontId="46" fillId="0" borderId="192" xfId="42" applyFont="1" applyBorder="1" applyAlignment="1" applyProtection="1">
      <alignment vertical="center" wrapText="1"/>
      <protection locked="0"/>
    </xf>
    <xf numFmtId="0" fontId="46" fillId="0" borderId="159" xfId="42" applyFont="1" applyBorder="1" applyAlignment="1" applyProtection="1">
      <alignment vertical="center" wrapText="1"/>
      <protection locked="0"/>
    </xf>
    <xf numFmtId="0" fontId="46" fillId="0" borderId="162" xfId="42" applyFont="1" applyBorder="1" applyAlignment="1" applyProtection="1">
      <alignment horizontal="center" vertical="center" wrapText="1"/>
      <protection locked="0"/>
    </xf>
    <xf numFmtId="0" fontId="46" fillId="0" borderId="163" xfId="42" applyFont="1" applyBorder="1" applyAlignment="1" applyProtection="1">
      <alignment horizontal="center" vertical="center" wrapText="1"/>
      <protection locked="0"/>
    </xf>
    <xf numFmtId="0" fontId="46" fillId="0" borderId="165" xfId="42" applyFont="1" applyBorder="1" applyAlignment="1" applyProtection="1">
      <alignment horizontal="center" vertical="center" wrapText="1"/>
      <protection locked="0"/>
    </xf>
    <xf numFmtId="0" fontId="46" fillId="0" borderId="164" xfId="42" applyFont="1" applyBorder="1" applyAlignment="1" applyProtection="1">
      <alignment horizontal="center" vertical="center" wrapText="1"/>
      <protection locked="0"/>
    </xf>
    <xf numFmtId="0" fontId="46" fillId="0" borderId="174" xfId="42" applyFont="1" applyBorder="1" applyAlignment="1" applyProtection="1">
      <alignment horizontal="center" vertical="center" wrapText="1"/>
      <protection locked="0"/>
    </xf>
    <xf numFmtId="0" fontId="46" fillId="0" borderId="170" xfId="42" applyFont="1" applyBorder="1" applyAlignment="1" applyProtection="1">
      <alignment horizontal="center" vertical="center" wrapText="1"/>
      <protection locked="0"/>
    </xf>
    <xf numFmtId="0" fontId="46" fillId="0" borderId="172" xfId="42" applyFont="1" applyBorder="1" applyAlignment="1" applyProtection="1">
      <alignment horizontal="center" vertical="center"/>
      <protection locked="0"/>
    </xf>
    <xf numFmtId="0" fontId="46" fillId="0" borderId="171" xfId="42" applyFont="1" applyBorder="1" applyAlignment="1" applyProtection="1">
      <alignment horizontal="center" vertical="center" wrapText="1"/>
      <protection locked="0"/>
    </xf>
    <xf numFmtId="0" fontId="46" fillId="0" borderId="169" xfId="42" applyFont="1" applyBorder="1" applyAlignment="1" applyProtection="1">
      <alignment horizontal="center" vertical="center" wrapText="1"/>
      <protection locked="0"/>
    </xf>
    <xf numFmtId="0" fontId="46" fillId="0" borderId="172" xfId="42" applyFont="1" applyBorder="1" applyAlignment="1" applyProtection="1">
      <alignment horizontal="center" vertical="center" wrapText="1"/>
      <protection locked="0"/>
    </xf>
    <xf numFmtId="164" fontId="46" fillId="0" borderId="190" xfId="42" quotePrefix="1" applyNumberFormat="1" applyFont="1" applyBorder="1" applyAlignment="1">
      <alignment horizontal="center" vertical="center"/>
    </xf>
    <xf numFmtId="0" fontId="46" fillId="0" borderId="203" xfId="42" applyFont="1" applyBorder="1" applyAlignment="1" applyProtection="1">
      <alignment horizontal="center" vertical="center" wrapText="1"/>
      <protection locked="0"/>
    </xf>
    <xf numFmtId="0" fontId="46" fillId="0" borderId="202" xfId="42" applyFont="1" applyBorder="1" applyAlignment="1" applyProtection="1">
      <alignment horizontal="center" vertical="center" wrapText="1"/>
      <protection locked="0"/>
    </xf>
    <xf numFmtId="0" fontId="46" fillId="0" borderId="204" xfId="42" applyFont="1" applyBorder="1" applyAlignment="1" applyProtection="1">
      <alignment horizontal="center" vertical="center"/>
      <protection locked="0"/>
    </xf>
    <xf numFmtId="0" fontId="46" fillId="0" borderId="190" xfId="42" applyFont="1" applyBorder="1" applyAlignment="1">
      <alignment horizontal="center" vertical="center"/>
    </xf>
    <xf numFmtId="0" fontId="46" fillId="0" borderId="196" xfId="42" applyFont="1" applyBorder="1" applyAlignment="1" applyProtection="1">
      <alignment horizontal="center" vertical="center" wrapText="1"/>
      <protection locked="0"/>
    </xf>
    <xf numFmtId="0" fontId="46" fillId="0" borderId="191" xfId="42" applyFont="1" applyBorder="1" applyAlignment="1" applyProtection="1">
      <alignment horizontal="center" vertical="center" wrapText="1"/>
      <protection locked="0"/>
    </xf>
    <xf numFmtId="0" fontId="46" fillId="0" borderId="204" xfId="42" applyFont="1" applyBorder="1" applyAlignment="1" applyProtection="1">
      <alignment horizontal="center" vertical="center" wrapText="1"/>
      <protection locked="0"/>
    </xf>
    <xf numFmtId="164" fontId="46" fillId="0" borderId="166" xfId="42" quotePrefix="1" applyNumberFormat="1" applyFont="1" applyBorder="1" applyAlignment="1">
      <alignment horizontal="center" vertical="center"/>
    </xf>
    <xf numFmtId="0" fontId="46" fillId="0" borderId="194" xfId="42" applyFont="1" applyBorder="1" applyAlignment="1" applyProtection="1">
      <alignment horizontal="center" vertical="center" wrapText="1"/>
      <protection locked="0"/>
    </xf>
    <xf numFmtId="0" fontId="46" fillId="0" borderId="167" xfId="42" applyFont="1" applyBorder="1" applyAlignment="1" applyProtection="1">
      <alignment horizontal="center" vertical="center" wrapText="1"/>
      <protection locked="0"/>
    </xf>
    <xf numFmtId="0" fontId="46" fillId="0" borderId="168" xfId="42" applyFont="1" applyBorder="1" applyAlignment="1" applyProtection="1">
      <alignment horizontal="center" vertical="center"/>
      <protection locked="0"/>
    </xf>
    <xf numFmtId="0" fontId="46" fillId="0" borderId="201" xfId="42" applyFont="1" applyBorder="1" applyAlignment="1" applyProtection="1">
      <alignment horizontal="center" vertical="center" wrapText="1"/>
      <protection locked="0"/>
    </xf>
    <xf numFmtId="0" fontId="46" fillId="0" borderId="166" xfId="42" applyFont="1" applyBorder="1" applyAlignment="1" applyProtection="1">
      <alignment horizontal="center" vertical="center" wrapText="1"/>
      <protection locked="0"/>
    </xf>
    <xf numFmtId="0" fontId="46" fillId="0" borderId="168" xfId="42" applyFont="1" applyBorder="1" applyAlignment="1" applyProtection="1">
      <alignment horizontal="center" vertical="center" wrapText="1"/>
      <protection locked="0"/>
    </xf>
    <xf numFmtId="164" fontId="46" fillId="0" borderId="176" xfId="42" quotePrefix="1" applyNumberFormat="1" applyFont="1" applyBorder="1" applyAlignment="1">
      <alignment horizontal="center" vertical="center"/>
    </xf>
    <xf numFmtId="0" fontId="46" fillId="0" borderId="179" xfId="42" applyFont="1" applyBorder="1" applyAlignment="1" applyProtection="1">
      <alignment horizontal="center" vertical="center" wrapText="1"/>
      <protection locked="0"/>
    </xf>
    <xf numFmtId="0" fontId="46" fillId="0" borderId="177" xfId="42" applyFont="1" applyBorder="1" applyAlignment="1" applyProtection="1">
      <alignment horizontal="center" vertical="center" wrapText="1"/>
      <protection locked="0"/>
    </xf>
    <xf numFmtId="0" fontId="46" fillId="0" borderId="181" xfId="42" applyFont="1" applyBorder="1" applyAlignment="1" applyProtection="1">
      <alignment horizontal="center" vertical="center"/>
      <protection locked="0"/>
    </xf>
    <xf numFmtId="0" fontId="46" fillId="0" borderId="178" xfId="42" applyFont="1" applyBorder="1" applyAlignment="1" applyProtection="1">
      <alignment horizontal="center" vertical="center" wrapText="1"/>
      <protection locked="0"/>
    </xf>
    <xf numFmtId="0" fontId="46" fillId="0" borderId="176" xfId="42" applyFont="1" applyBorder="1" applyAlignment="1" applyProtection="1">
      <alignment horizontal="center" vertical="center" wrapText="1"/>
      <protection locked="0"/>
    </xf>
    <xf numFmtId="0" fontId="46" fillId="0" borderId="181" xfId="42" applyFont="1" applyBorder="1" applyAlignment="1" applyProtection="1">
      <alignment horizontal="center" vertical="center" wrapText="1"/>
      <protection locked="0"/>
    </xf>
    <xf numFmtId="0" fontId="46" fillId="0" borderId="180" xfId="42" applyFont="1" applyBorder="1" applyAlignment="1" applyProtection="1">
      <alignment horizontal="center" vertical="center"/>
      <protection locked="0"/>
    </xf>
    <xf numFmtId="0" fontId="46" fillId="0" borderId="180" xfId="42" applyFont="1" applyBorder="1" applyAlignment="1" applyProtection="1">
      <alignment horizontal="center" vertical="center" wrapText="1"/>
      <protection locked="0"/>
    </xf>
    <xf numFmtId="164" fontId="46" fillId="0" borderId="154" xfId="42" quotePrefix="1" applyNumberFormat="1" applyFont="1" applyBorder="1" applyAlignment="1">
      <alignment horizontal="center" vertical="center"/>
    </xf>
    <xf numFmtId="0" fontId="46" fillId="0" borderId="175" xfId="42" applyFont="1" applyBorder="1" applyAlignment="1" applyProtection="1">
      <alignment horizontal="center" vertical="center"/>
      <protection locked="0"/>
    </xf>
    <xf numFmtId="0" fontId="46" fillId="0" borderId="197" xfId="42" applyFont="1" applyBorder="1" applyAlignment="1" applyProtection="1">
      <alignment horizontal="center" vertical="center" wrapText="1"/>
      <protection locked="0"/>
    </xf>
    <xf numFmtId="0" fontId="46" fillId="0" borderId="198" xfId="42" applyFont="1" applyBorder="1" applyAlignment="1" applyProtection="1">
      <alignment horizontal="center" vertical="center" wrapText="1"/>
      <protection locked="0"/>
    </xf>
    <xf numFmtId="0" fontId="46" fillId="0" borderId="199" xfId="42" applyFont="1" applyBorder="1" applyAlignment="1" applyProtection="1">
      <alignment horizontal="center" vertical="center" wrapText="1"/>
      <protection locked="0"/>
    </xf>
    <xf numFmtId="0" fontId="46" fillId="0" borderId="197" xfId="42" applyFont="1" applyBorder="1" applyAlignment="1" applyProtection="1">
      <alignment horizontal="center" vertical="center"/>
      <protection locked="0"/>
    </xf>
    <xf numFmtId="0" fontId="46" fillId="0" borderId="200" xfId="42" applyFont="1" applyBorder="1" applyAlignment="1" applyProtection="1">
      <alignment horizontal="center" vertical="center"/>
      <protection locked="0"/>
    </xf>
    <xf numFmtId="0" fontId="46" fillId="0" borderId="190" xfId="42" applyFont="1" applyBorder="1" applyAlignment="1" applyProtection="1">
      <alignment horizontal="center" vertical="center" wrapText="1"/>
      <protection locked="0"/>
    </xf>
    <xf numFmtId="0" fontId="46" fillId="0" borderId="200" xfId="42" applyFont="1" applyBorder="1" applyAlignment="1" applyProtection="1">
      <alignment horizontal="center" vertical="center" wrapText="1"/>
      <protection locked="0"/>
    </xf>
    <xf numFmtId="0" fontId="46" fillId="0" borderId="203" xfId="42" applyFont="1" applyBorder="1" applyAlignment="1" applyProtection="1">
      <alignment horizontal="center" vertical="center"/>
      <protection locked="0"/>
    </xf>
    <xf numFmtId="0" fontId="46" fillId="0" borderId="196" xfId="42" applyFont="1" applyBorder="1" applyAlignment="1" applyProtection="1">
      <alignment horizontal="center" vertical="center"/>
      <protection locked="0"/>
    </xf>
    <xf numFmtId="0" fontId="46" fillId="0" borderId="174" xfId="42" applyFont="1" applyBorder="1" applyAlignment="1" applyProtection="1">
      <alignment horizontal="center" vertical="center"/>
      <protection locked="0"/>
    </xf>
    <xf numFmtId="0" fontId="46" fillId="0" borderId="171" xfId="42" applyFont="1" applyBorder="1" applyAlignment="1" applyProtection="1">
      <alignment horizontal="center" vertical="center"/>
      <protection locked="0"/>
    </xf>
    <xf numFmtId="164" fontId="46" fillId="0" borderId="65" xfId="42" quotePrefix="1" applyNumberFormat="1" applyFont="1" applyBorder="1" applyAlignment="1" applyProtection="1">
      <alignment horizontal="center" vertical="center"/>
      <protection locked="0"/>
    </xf>
    <xf numFmtId="0" fontId="46" fillId="0" borderId="173" xfId="42" applyFont="1" applyBorder="1" applyAlignment="1" applyProtection="1">
      <alignment horizontal="center" vertical="center" wrapText="1"/>
      <protection locked="0"/>
    </xf>
    <xf numFmtId="0" fontId="46" fillId="0" borderId="173" xfId="42" applyFont="1" applyBorder="1" applyAlignment="1" applyProtection="1">
      <alignment horizontal="center" vertical="center"/>
      <protection locked="0"/>
    </xf>
    <xf numFmtId="0" fontId="46" fillId="0" borderId="164" xfId="42" applyFont="1" applyBorder="1" applyAlignment="1" applyProtection="1">
      <alignment horizontal="center" vertical="center"/>
      <protection locked="0"/>
    </xf>
    <xf numFmtId="0" fontId="46" fillId="0" borderId="179" xfId="42" applyFont="1" applyBorder="1" applyAlignment="1" applyProtection="1">
      <alignment horizontal="center" vertical="center"/>
      <protection locked="0"/>
    </xf>
    <xf numFmtId="0" fontId="46" fillId="0" borderId="178" xfId="42" applyFont="1" applyBorder="1" applyAlignment="1" applyProtection="1">
      <alignment horizontal="center" vertical="center"/>
      <protection locked="0"/>
    </xf>
    <xf numFmtId="2" fontId="46" fillId="0" borderId="65" xfId="42" quotePrefix="1" applyNumberFormat="1" applyFont="1" applyBorder="1" applyAlignment="1" applyProtection="1">
      <alignment horizontal="center" vertical="center"/>
      <protection locked="0"/>
    </xf>
    <xf numFmtId="2" fontId="46" fillId="0" borderId="169" xfId="42" quotePrefix="1" applyNumberFormat="1" applyFont="1" applyBorder="1" applyAlignment="1">
      <alignment horizontal="center" vertical="center"/>
    </xf>
    <xf numFmtId="2" fontId="46" fillId="0" borderId="12" xfId="42" quotePrefix="1" applyNumberFormat="1" applyFont="1" applyBorder="1" applyAlignment="1" applyProtection="1">
      <alignment horizontal="center" vertical="center"/>
      <protection locked="0"/>
    </xf>
    <xf numFmtId="2" fontId="46" fillId="0" borderId="176" xfId="42" quotePrefix="1" applyNumberFormat="1" applyFont="1" applyBorder="1" applyAlignment="1">
      <alignment horizontal="center" vertical="center"/>
    </xf>
    <xf numFmtId="0" fontId="46" fillId="0" borderId="0" xfId="42" applyFont="1" applyAlignment="1" applyProtection="1">
      <alignment horizontal="left" vertical="center" wrapText="1"/>
      <protection locked="0"/>
    </xf>
    <xf numFmtId="0" fontId="5" fillId="0" borderId="154" xfId="42" applyFont="1" applyBorder="1"/>
    <xf numFmtId="0" fontId="46" fillId="0" borderId="156" xfId="42" applyFont="1" applyBorder="1" applyAlignment="1">
      <alignment horizontal="left" vertical="center" wrapText="1"/>
    </xf>
    <xf numFmtId="0" fontId="46" fillId="0" borderId="154" xfId="42" applyFont="1" applyBorder="1" applyAlignment="1">
      <alignment horizontal="left" vertical="center" wrapText="1"/>
    </xf>
    <xf numFmtId="2" fontId="46" fillId="0" borderId="16" xfId="42" quotePrefix="1" applyNumberFormat="1" applyFont="1" applyBorder="1" applyAlignment="1" applyProtection="1">
      <alignment horizontal="center" vertical="center"/>
      <protection locked="0"/>
    </xf>
    <xf numFmtId="0" fontId="5" fillId="0" borderId="166" xfId="42" applyFont="1" applyBorder="1"/>
    <xf numFmtId="0" fontId="5" fillId="0" borderId="201" xfId="42" applyFont="1" applyBorder="1"/>
    <xf numFmtId="0" fontId="46" fillId="0" borderId="194" xfId="42" applyFont="1" applyBorder="1" applyAlignment="1" applyProtection="1">
      <alignment horizontal="center" vertical="center"/>
      <protection locked="0"/>
    </xf>
    <xf numFmtId="0" fontId="46" fillId="0" borderId="201" xfId="42" applyFont="1" applyBorder="1" applyAlignment="1" applyProtection="1">
      <alignment horizontal="center" vertical="center"/>
      <protection locked="0"/>
    </xf>
    <xf numFmtId="0" fontId="5" fillId="0" borderId="166" xfId="42" applyFont="1" applyBorder="1" applyProtection="1">
      <protection locked="0"/>
    </xf>
    <xf numFmtId="0" fontId="5" fillId="0" borderId="201" xfId="42" applyFont="1" applyBorder="1" applyProtection="1">
      <protection locked="0"/>
    </xf>
    <xf numFmtId="0" fontId="5" fillId="0" borderId="260" xfId="42" applyFont="1" applyBorder="1" applyProtection="1">
      <protection locked="0"/>
    </xf>
    <xf numFmtId="0" fontId="5" fillId="0" borderId="190" xfId="42" applyFont="1" applyBorder="1" applyProtection="1">
      <protection locked="0"/>
    </xf>
    <xf numFmtId="0" fontId="5" fillId="0" borderId="200" xfId="42" applyFont="1" applyBorder="1" applyProtection="1">
      <protection locked="0"/>
    </xf>
    <xf numFmtId="0" fontId="5" fillId="0" borderId="154" xfId="42" applyFont="1" applyBorder="1" applyProtection="1">
      <protection locked="0"/>
    </xf>
    <xf numFmtId="0" fontId="5" fillId="0" borderId="156" xfId="42" applyFont="1" applyBorder="1" applyProtection="1">
      <protection locked="0"/>
    </xf>
    <xf numFmtId="0" fontId="46" fillId="0" borderId="155" xfId="42" applyFont="1" applyBorder="1" applyAlignment="1" applyProtection="1">
      <alignment horizontal="center" vertical="center"/>
      <protection locked="0"/>
    </xf>
    <xf numFmtId="0" fontId="103" fillId="0" borderId="155" xfId="42" applyFont="1" applyBorder="1" applyAlignment="1" applyProtection="1">
      <alignment horizontal="center" vertical="center" wrapText="1"/>
      <protection locked="0"/>
    </xf>
    <xf numFmtId="0" fontId="103" fillId="0" borderId="180" xfId="42" applyFont="1" applyBorder="1" applyAlignment="1" applyProtection="1">
      <alignment horizontal="center" vertical="center" wrapText="1"/>
      <protection locked="0"/>
    </xf>
    <xf numFmtId="0" fontId="103" fillId="0" borderId="156" xfId="42" applyFont="1" applyBorder="1" applyAlignment="1" applyProtection="1">
      <alignment horizontal="center" vertical="center" wrapText="1"/>
      <protection locked="0"/>
    </xf>
    <xf numFmtId="2" fontId="5" fillId="0" borderId="0" xfId="42" applyNumberFormat="1" applyFont="1" applyProtection="1">
      <protection locked="0"/>
    </xf>
    <xf numFmtId="0" fontId="46" fillId="0" borderId="0" xfId="42" applyFont="1" applyAlignment="1" applyProtection="1">
      <alignment vertical="center"/>
      <protection locked="0"/>
    </xf>
    <xf numFmtId="0" fontId="103" fillId="0" borderId="154" xfId="42" applyFont="1" applyBorder="1" applyAlignment="1" applyProtection="1">
      <alignment horizontal="center" vertical="center" wrapText="1"/>
      <protection locked="0"/>
    </xf>
    <xf numFmtId="0" fontId="46" fillId="0" borderId="204" xfId="42" applyFont="1" applyBorder="1" applyAlignment="1">
      <alignment horizontal="center" vertical="center"/>
    </xf>
    <xf numFmtId="2" fontId="46" fillId="0" borderId="256" xfId="42" quotePrefix="1" applyNumberFormat="1" applyFont="1" applyBorder="1" applyAlignment="1">
      <alignment horizontal="center" vertical="center" wrapText="1"/>
    </xf>
    <xf numFmtId="0" fontId="46" fillId="0" borderId="37" xfId="42" applyFont="1" applyBorder="1" applyAlignment="1">
      <alignment horizontal="center" vertical="center" wrapText="1"/>
    </xf>
    <xf numFmtId="0" fontId="13" fillId="0" borderId="19" xfId="42" applyFont="1" applyBorder="1" applyAlignment="1">
      <alignment horizontal="center" vertical="center" wrapText="1"/>
    </xf>
    <xf numFmtId="0" fontId="13" fillId="0" borderId="257" xfId="42" applyFont="1" applyBorder="1" applyAlignment="1">
      <alignment horizontal="center" vertical="center" wrapText="1"/>
    </xf>
    <xf numFmtId="1" fontId="125" fillId="0" borderId="16" xfId="42" applyNumberFormat="1" applyFont="1" applyBorder="1" applyAlignment="1" applyProtection="1">
      <alignment horizontal="center" vertical="center" wrapText="1"/>
      <protection locked="0"/>
    </xf>
    <xf numFmtId="0" fontId="46" fillId="0" borderId="78" xfId="42" applyFont="1" applyBorder="1" applyAlignment="1" applyProtection="1">
      <alignment horizontal="left" vertical="center" wrapText="1"/>
      <protection locked="0"/>
    </xf>
    <xf numFmtId="164" fontId="46" fillId="0" borderId="84" xfId="42" quotePrefix="1" applyNumberFormat="1" applyFont="1" applyBorder="1" applyAlignment="1">
      <alignment horizontal="center" vertical="center" wrapText="1"/>
    </xf>
    <xf numFmtId="0" fontId="46" fillId="0" borderId="44" xfId="42" applyFont="1" applyBorder="1" applyAlignment="1">
      <alignment horizontal="center" vertical="center"/>
    </xf>
    <xf numFmtId="1" fontId="15" fillId="31" borderId="17" xfId="42" applyNumberFormat="1" applyFont="1" applyFill="1" applyBorder="1" applyAlignment="1">
      <alignment horizontal="center" vertical="center" wrapText="1"/>
    </xf>
    <xf numFmtId="0" fontId="15" fillId="31" borderId="17" xfId="42" applyFont="1" applyFill="1" applyBorder="1" applyAlignment="1">
      <alignment horizontal="center" vertical="center" wrapText="1"/>
    </xf>
    <xf numFmtId="0" fontId="13" fillId="31" borderId="78" xfId="42" applyFont="1" applyFill="1" applyBorder="1" applyAlignment="1">
      <alignment horizontal="left" vertical="center" wrapText="1"/>
    </xf>
    <xf numFmtId="9" fontId="46" fillId="0" borderId="19" xfId="59" applyFont="1" applyFill="1" applyBorder="1" applyAlignment="1">
      <alignment horizontal="center" vertical="center"/>
    </xf>
    <xf numFmtId="9" fontId="46" fillId="0" borderId="257" xfId="59" applyFont="1" applyFill="1" applyBorder="1" applyAlignment="1">
      <alignment horizontal="center" vertical="center"/>
    </xf>
    <xf numFmtId="0" fontId="13" fillId="0" borderId="155" xfId="42" applyFont="1" applyBorder="1" applyAlignment="1">
      <alignment horizontal="center" vertical="center"/>
    </xf>
    <xf numFmtId="0" fontId="13" fillId="0" borderId="21" xfId="42" applyFont="1" applyBorder="1" applyAlignment="1">
      <alignment horizontal="center" vertical="center"/>
    </xf>
    <xf numFmtId="0" fontId="13" fillId="0" borderId="19" xfId="42" applyFont="1" applyBorder="1" applyAlignment="1">
      <alignment horizontal="center" vertical="center"/>
    </xf>
    <xf numFmtId="0" fontId="46" fillId="0" borderId="16" xfId="42" applyFont="1" applyBorder="1" applyAlignment="1">
      <alignment horizontal="center" vertical="center"/>
    </xf>
    <xf numFmtId="0" fontId="13" fillId="31" borderId="78" xfId="42" applyFont="1" applyFill="1" applyBorder="1" applyAlignment="1">
      <alignment horizontal="right" vertical="center" wrapText="1"/>
    </xf>
    <xf numFmtId="0" fontId="13" fillId="0" borderId="155" xfId="42" applyFont="1" applyBorder="1" applyAlignment="1">
      <alignment horizontal="center" vertical="center" wrapText="1"/>
    </xf>
    <xf numFmtId="0" fontId="13" fillId="0" borderId="66" xfId="42" applyFont="1" applyBorder="1" applyAlignment="1">
      <alignment horizontal="center" vertical="center"/>
    </xf>
    <xf numFmtId="9" fontId="13" fillId="0" borderId="19" xfId="59" applyFont="1" applyFill="1" applyBorder="1" applyAlignment="1">
      <alignment horizontal="center" vertical="center"/>
    </xf>
    <xf numFmtId="0" fontId="15" fillId="0" borderId="0" xfId="42" applyFont="1" applyAlignment="1">
      <alignment horizontal="right" vertical="center" wrapText="1"/>
    </xf>
    <xf numFmtId="0" fontId="13" fillId="0" borderId="0" xfId="42" applyFont="1" applyAlignment="1">
      <alignment horizontal="right" vertical="center" wrapText="1"/>
    </xf>
    <xf numFmtId="0" fontId="13" fillId="0" borderId="0" xfId="42" applyFont="1" applyAlignment="1">
      <alignment vertical="top" wrapText="1"/>
    </xf>
    <xf numFmtId="0" fontId="117" fillId="0" borderId="75" xfId="42" applyFont="1" applyBorder="1" applyAlignment="1" applyProtection="1">
      <alignment horizontal="center" vertical="center"/>
      <protection locked="0"/>
    </xf>
    <xf numFmtId="0" fontId="46" fillId="0" borderId="19" xfId="42" applyFont="1" applyBorder="1" applyAlignment="1" applyProtection="1">
      <alignment horizontal="center" vertical="center"/>
      <protection locked="0"/>
    </xf>
    <xf numFmtId="0" fontId="117" fillId="0" borderId="0" xfId="42" applyFont="1" applyAlignment="1" applyProtection="1">
      <alignment horizontal="center" vertical="center"/>
      <protection locked="0"/>
    </xf>
    <xf numFmtId="0" fontId="15" fillId="26" borderId="45" xfId="42" applyFont="1" applyFill="1" applyBorder="1" applyAlignment="1" applyProtection="1">
      <alignment horizontal="center" vertical="center"/>
      <protection locked="0"/>
    </xf>
    <xf numFmtId="0" fontId="46" fillId="0" borderId="0" xfId="42" applyFont="1" applyAlignment="1" applyProtection="1">
      <alignment horizontal="left" vertical="center"/>
      <protection locked="0"/>
    </xf>
    <xf numFmtId="0" fontId="15" fillId="0" borderId="0" xfId="42" applyFont="1" applyAlignment="1" applyProtection="1">
      <alignment horizontal="right" vertical="center"/>
      <protection locked="0"/>
    </xf>
    <xf numFmtId="0" fontId="122" fillId="30" borderId="142" xfId="42" applyFont="1" applyFill="1" applyBorder="1"/>
    <xf numFmtId="0" fontId="122" fillId="30" borderId="121" xfId="42" applyFont="1" applyFill="1" applyBorder="1"/>
    <xf numFmtId="0" fontId="125" fillId="0" borderId="86" xfId="42" applyFont="1" applyBorder="1" applyAlignment="1" applyProtection="1">
      <alignment horizontal="center" vertical="center"/>
      <protection locked="0"/>
    </xf>
    <xf numFmtId="0" fontId="46" fillId="0" borderId="162" xfId="42" applyFont="1" applyBorder="1" applyAlignment="1">
      <alignment horizontal="center" vertical="center"/>
    </xf>
    <xf numFmtId="0" fontId="125" fillId="0" borderId="19" xfId="42" applyFont="1" applyBorder="1" applyAlignment="1" applyProtection="1">
      <alignment horizontal="center" vertical="center"/>
      <protection locked="0"/>
    </xf>
    <xf numFmtId="0" fontId="46" fillId="0" borderId="257" xfId="42" applyFont="1" applyBorder="1" applyAlignment="1">
      <alignment horizontal="center" vertical="center" wrapText="1"/>
    </xf>
    <xf numFmtId="0" fontId="125" fillId="0" borderId="257" xfId="42" applyFont="1" applyBorder="1" applyAlignment="1" applyProtection="1">
      <alignment horizontal="center" vertical="center"/>
      <protection locked="0"/>
    </xf>
    <xf numFmtId="0" fontId="46" fillId="0" borderId="199" xfId="42" applyFont="1" applyBorder="1" applyAlignment="1">
      <alignment horizontal="center" vertical="center"/>
    </xf>
    <xf numFmtId="0" fontId="118" fillId="0" borderId="200" xfId="42" applyFont="1" applyBorder="1" applyAlignment="1">
      <alignment horizontal="center" wrapText="1"/>
    </xf>
    <xf numFmtId="0" fontId="118" fillId="0" borderId="167" xfId="42" applyFont="1" applyBorder="1" applyAlignment="1">
      <alignment horizontal="center" wrapText="1"/>
    </xf>
    <xf numFmtId="0" fontId="118" fillId="0" borderId="168" xfId="42" applyFont="1" applyBorder="1" applyAlignment="1">
      <alignment horizontal="center" wrapText="1"/>
    </xf>
    <xf numFmtId="0" fontId="118" fillId="0" borderId="201" xfId="42" applyFont="1" applyBorder="1" applyAlignment="1">
      <alignment horizontal="center" wrapText="1"/>
    </xf>
    <xf numFmtId="0" fontId="118" fillId="0" borderId="178" xfId="42" applyFont="1" applyBorder="1" applyAlignment="1" applyProtection="1">
      <alignment wrapText="1"/>
      <protection locked="0"/>
    </xf>
    <xf numFmtId="0" fontId="15" fillId="31" borderId="124" xfId="42" applyFont="1" applyFill="1" applyBorder="1" applyAlignment="1">
      <alignment horizontal="center" vertical="center" wrapText="1"/>
    </xf>
    <xf numFmtId="0" fontId="125" fillId="0" borderId="93" xfId="42" applyFont="1" applyBorder="1" applyAlignment="1" applyProtection="1">
      <alignment horizontal="center" vertical="center"/>
      <protection locked="0"/>
    </xf>
    <xf numFmtId="0" fontId="46" fillId="0" borderId="121" xfId="42" applyFont="1" applyBorder="1" applyAlignment="1" applyProtection="1">
      <alignment horizontal="left" vertical="center" wrapText="1"/>
      <protection locked="0"/>
    </xf>
    <xf numFmtId="0" fontId="125" fillId="33" borderId="256" xfId="42" applyFont="1" applyFill="1" applyBorder="1" applyAlignment="1" applyProtection="1">
      <alignment horizontal="center" vertical="center" wrapText="1"/>
      <protection locked="0"/>
    </xf>
    <xf numFmtId="0" fontId="46" fillId="0" borderId="203" xfId="42" applyFont="1" applyBorder="1" applyAlignment="1">
      <alignment horizontal="center" vertical="center" wrapText="1"/>
    </xf>
    <xf numFmtId="1" fontId="15" fillId="31" borderId="43" xfId="42" applyNumberFormat="1" applyFont="1" applyFill="1" applyBorder="1" applyAlignment="1">
      <alignment horizontal="center" vertical="center" wrapText="1"/>
    </xf>
    <xf numFmtId="0" fontId="15" fillId="31" borderId="127" xfId="42" applyFont="1" applyFill="1" applyBorder="1" applyAlignment="1">
      <alignment vertical="center" wrapText="1"/>
    </xf>
    <xf numFmtId="9" fontId="46" fillId="0" borderId="154" xfId="42" applyNumberFormat="1" applyFont="1" applyBorder="1" applyAlignment="1">
      <alignment horizontal="center" vertical="center" wrapText="1"/>
    </xf>
    <xf numFmtId="0" fontId="46" fillId="0" borderId="17" xfId="42" applyFont="1" applyBorder="1" applyAlignment="1">
      <alignment horizontal="center" vertical="center"/>
    </xf>
    <xf numFmtId="0" fontId="96" fillId="0" borderId="78" xfId="42" applyFont="1" applyBorder="1" applyAlignment="1" applyProtection="1">
      <alignment horizontal="left" vertical="center" wrapText="1"/>
      <protection locked="0"/>
    </xf>
    <xf numFmtId="0" fontId="46" fillId="0" borderId="84" xfId="42" applyFont="1" applyBorder="1" applyAlignment="1" applyProtection="1">
      <alignment horizontal="left" vertical="center"/>
      <protection locked="0"/>
    </xf>
    <xf numFmtId="0" fontId="117" fillId="0" borderId="121" xfId="42" applyFont="1" applyBorder="1" applyAlignment="1" applyProtection="1">
      <alignment horizontal="center" vertical="center"/>
      <protection locked="0"/>
    </xf>
    <xf numFmtId="0" fontId="15" fillId="0" borderId="88" xfId="42" applyFont="1" applyBorder="1" applyAlignment="1" applyProtection="1">
      <alignment horizontal="center" vertical="center"/>
      <protection locked="0"/>
    </xf>
    <xf numFmtId="0" fontId="15" fillId="31" borderId="16" xfId="42" applyFont="1" applyFill="1" applyBorder="1" applyAlignment="1">
      <alignment horizontal="center" vertical="center" wrapText="1"/>
    </xf>
    <xf numFmtId="0" fontId="15" fillId="31" borderId="103" xfId="42" applyFont="1" applyFill="1" applyBorder="1" applyAlignment="1">
      <alignment horizontal="center" vertical="center" wrapText="1"/>
    </xf>
    <xf numFmtId="0" fontId="15" fillId="31" borderId="77" xfId="42" applyFont="1" applyFill="1" applyBorder="1" applyAlignment="1">
      <alignment horizontal="center" vertical="center" wrapText="1"/>
    </xf>
    <xf numFmtId="0" fontId="13" fillId="31" borderId="63" xfId="42" applyFont="1" applyFill="1" applyBorder="1" applyAlignment="1">
      <alignment horizontal="center" vertical="center" wrapText="1"/>
    </xf>
    <xf numFmtId="0" fontId="15" fillId="26" borderId="153" xfId="42" applyFont="1" applyFill="1" applyBorder="1" applyAlignment="1" applyProtection="1">
      <alignment horizontal="right" vertical="center"/>
      <protection locked="0"/>
    </xf>
    <xf numFmtId="0" fontId="15" fillId="26" borderId="104" xfId="42" applyFont="1" applyFill="1" applyBorder="1" applyAlignment="1" applyProtection="1">
      <alignment horizontal="center" vertical="center"/>
      <protection locked="0"/>
    </xf>
    <xf numFmtId="0" fontId="15" fillId="26" borderId="43" xfId="42" applyFont="1" applyFill="1" applyBorder="1" applyAlignment="1" applyProtection="1">
      <alignment horizontal="center" vertical="center"/>
      <protection locked="0"/>
    </xf>
    <xf numFmtId="0" fontId="15" fillId="0" borderId="0" xfId="42" applyFont="1" applyAlignment="1">
      <alignment vertical="center"/>
    </xf>
    <xf numFmtId="0" fontId="117" fillId="32" borderId="256" xfId="42" applyFont="1" applyFill="1" applyBorder="1" applyAlignment="1">
      <alignment vertical="center" wrapText="1"/>
    </xf>
    <xf numFmtId="0" fontId="46" fillId="32" borderId="256" xfId="42" applyFont="1" applyFill="1" applyBorder="1" applyAlignment="1">
      <alignment horizontal="center" vertical="center" wrapText="1"/>
    </xf>
    <xf numFmtId="164" fontId="46" fillId="0" borderId="16" xfId="42" quotePrefix="1" applyNumberFormat="1" applyFont="1" applyBorder="1" applyAlignment="1">
      <alignment horizontal="center" vertical="center"/>
    </xf>
    <xf numFmtId="2" fontId="46" fillId="0" borderId="190" xfId="42" quotePrefix="1" applyNumberFormat="1" applyFont="1" applyBorder="1" applyAlignment="1">
      <alignment horizontal="center" vertical="center"/>
    </xf>
    <xf numFmtId="2" fontId="46" fillId="0" borderId="17" xfId="42" quotePrefix="1" applyNumberFormat="1" applyFont="1" applyBorder="1" applyAlignment="1">
      <alignment horizontal="center" vertical="center"/>
    </xf>
    <xf numFmtId="2" fontId="46" fillId="0" borderId="166" xfId="42" quotePrefix="1" applyNumberFormat="1" applyFont="1" applyBorder="1" applyAlignment="1">
      <alignment horizontal="center" vertical="center"/>
    </xf>
    <xf numFmtId="2" fontId="46" fillId="0" borderId="191" xfId="42" quotePrefix="1" applyNumberFormat="1" applyFont="1" applyBorder="1" applyAlignment="1">
      <alignment horizontal="center" vertical="center"/>
    </xf>
    <xf numFmtId="2" fontId="46" fillId="0" borderId="12" xfId="42" quotePrefix="1" applyNumberFormat="1" applyFont="1" applyBorder="1" applyAlignment="1">
      <alignment horizontal="center" vertical="center"/>
    </xf>
    <xf numFmtId="0" fontId="117" fillId="32" borderId="16" xfId="42" applyFont="1" applyFill="1" applyBorder="1" applyAlignment="1">
      <alignment horizontal="center" vertical="center" wrapText="1"/>
    </xf>
    <xf numFmtId="2" fontId="46" fillId="0" borderId="154" xfId="42" quotePrefix="1" applyNumberFormat="1" applyFont="1" applyBorder="1" applyAlignment="1">
      <alignment horizontal="center" vertical="center"/>
    </xf>
    <xf numFmtId="0" fontId="15" fillId="36" borderId="124" xfId="42" applyFont="1" applyFill="1" applyBorder="1" applyAlignment="1">
      <alignment horizontal="center" vertical="center" wrapText="1"/>
    </xf>
    <xf numFmtId="0" fontId="15" fillId="36" borderId="43" xfId="42" applyFont="1" applyFill="1" applyBorder="1" applyAlignment="1">
      <alignment horizontal="center" vertical="center" wrapText="1"/>
    </xf>
    <xf numFmtId="0" fontId="15" fillId="36" borderId="118" xfId="42" applyFont="1" applyFill="1" applyBorder="1" applyAlignment="1">
      <alignment horizontal="center" vertical="center" wrapText="1"/>
    </xf>
    <xf numFmtId="0" fontId="15" fillId="26" borderId="121" xfId="42" applyFont="1" applyFill="1" applyBorder="1" applyAlignment="1" applyProtection="1">
      <alignment horizontal="center" vertical="center"/>
      <protection locked="0"/>
    </xf>
    <xf numFmtId="0" fontId="15" fillId="26" borderId="124" xfId="42" applyFont="1" applyFill="1" applyBorder="1" applyAlignment="1" applyProtection="1">
      <alignment horizontal="center" vertical="center"/>
      <protection locked="0"/>
    </xf>
    <xf numFmtId="49" fontId="46" fillId="0" borderId="256" xfId="0" applyNumberFormat="1" applyFont="1" applyBorder="1" applyAlignment="1">
      <alignment horizontal="center" vertical="center" wrapText="1"/>
    </xf>
    <xf numFmtId="0" fontId="46" fillId="0" borderId="256" xfId="0" applyFont="1" applyBorder="1" applyAlignment="1" applyProtection="1">
      <alignment horizontal="left" vertical="center" wrapText="1"/>
      <protection locked="0"/>
    </xf>
    <xf numFmtId="49" fontId="46" fillId="0" borderId="256" xfId="0" applyNumberFormat="1" applyFont="1" applyBorder="1" applyAlignment="1">
      <alignment horizontal="center" vertical="center"/>
    </xf>
    <xf numFmtId="0" fontId="46" fillId="0" borderId="256" xfId="0" applyFont="1" applyBorder="1" applyAlignment="1">
      <alignment horizontal="center" vertical="center" wrapText="1"/>
    </xf>
    <xf numFmtId="0" fontId="117" fillId="0" borderId="256" xfId="0" applyFont="1" applyBorder="1" applyAlignment="1">
      <alignment horizontal="center" vertical="center" wrapText="1"/>
    </xf>
    <xf numFmtId="0" fontId="96" fillId="0" borderId="256" xfId="0" applyFont="1" applyBorder="1" applyAlignment="1">
      <alignment horizontal="center" vertical="center" wrapText="1"/>
    </xf>
    <xf numFmtId="49" fontId="4" fillId="0" borderId="256" xfId="0" applyNumberFormat="1" applyFont="1" applyBorder="1" applyAlignment="1">
      <alignment horizontal="center" vertical="center"/>
    </xf>
    <xf numFmtId="0" fontId="4" fillId="0" borderId="256" xfId="0" applyFont="1" applyBorder="1" applyAlignment="1">
      <alignment horizontal="center" vertical="center" wrapText="1"/>
    </xf>
    <xf numFmtId="0" fontId="113" fillId="0" borderId="256" xfId="0" applyFont="1" applyBorder="1" applyAlignment="1">
      <alignment horizontal="center" vertical="center" wrapText="1"/>
    </xf>
    <xf numFmtId="0" fontId="15" fillId="31" borderId="12" xfId="42" applyFont="1" applyFill="1" applyBorder="1" applyAlignment="1">
      <alignment horizontal="center" vertical="center" wrapText="1"/>
    </xf>
    <xf numFmtId="0" fontId="15" fillId="31" borderId="21" xfId="42" applyFont="1" applyFill="1" applyBorder="1" applyAlignment="1">
      <alignment horizontal="center" vertical="center" wrapText="1"/>
    </xf>
    <xf numFmtId="0" fontId="125" fillId="33" borderId="17" xfId="42" applyFont="1" applyFill="1" applyBorder="1" applyAlignment="1" applyProtection="1">
      <alignment horizontal="center" vertical="center" wrapText="1"/>
      <protection locked="0"/>
    </xf>
    <xf numFmtId="0" fontId="15" fillId="26" borderId="14" xfId="42" applyFont="1" applyFill="1" applyBorder="1" applyAlignment="1">
      <alignment horizontal="center" vertical="center"/>
    </xf>
    <xf numFmtId="0" fontId="15" fillId="26" borderId="0" xfId="42" applyFont="1" applyFill="1" applyAlignment="1">
      <alignment horizontal="center" vertical="center"/>
    </xf>
    <xf numFmtId="0" fontId="15" fillId="26" borderId="102" xfId="42" applyFont="1" applyFill="1" applyBorder="1" applyAlignment="1">
      <alignment horizontal="center" vertical="center"/>
    </xf>
    <xf numFmtId="0" fontId="15" fillId="26" borderId="66" xfId="42" applyFont="1" applyFill="1" applyBorder="1" applyAlignment="1" applyProtection="1">
      <alignment horizontal="center" vertical="center"/>
      <protection locked="0"/>
    </xf>
    <xf numFmtId="0" fontId="15" fillId="26" borderId="21" xfId="42" applyFont="1" applyFill="1" applyBorder="1" applyAlignment="1" applyProtection="1">
      <alignment horizontal="center" vertical="center"/>
      <protection locked="0"/>
    </xf>
    <xf numFmtId="0" fontId="125" fillId="33" borderId="43" xfId="42" applyFont="1" applyFill="1" applyBorder="1" applyAlignment="1" applyProtection="1">
      <alignment horizontal="center" vertical="center" wrapText="1"/>
      <protection locked="0"/>
    </xf>
    <xf numFmtId="0" fontId="3" fillId="0" borderId="82" xfId="42" applyFont="1" applyBorder="1" applyAlignment="1" applyProtection="1">
      <alignment wrapText="1"/>
      <protection locked="0"/>
    </xf>
    <xf numFmtId="1" fontId="46" fillId="0" borderId="44" xfId="42" applyNumberFormat="1" applyFont="1" applyBorder="1" applyAlignment="1">
      <alignment horizontal="center" vertical="center"/>
    </xf>
    <xf numFmtId="0" fontId="46" fillId="0" borderId="195" xfId="42" applyFont="1" applyBorder="1" applyAlignment="1">
      <alignment horizontal="center" vertical="center" wrapText="1"/>
    </xf>
    <xf numFmtId="0" fontId="46" fillId="0" borderId="157" xfId="42" applyFont="1" applyBorder="1" applyAlignment="1">
      <alignment vertical="center" wrapText="1"/>
    </xf>
    <xf numFmtId="0" fontId="46" fillId="0" borderId="195" xfId="42" applyFont="1" applyBorder="1" applyAlignment="1">
      <alignment vertical="center" wrapText="1"/>
    </xf>
    <xf numFmtId="0" fontId="46" fillId="0" borderId="159" xfId="42" applyFont="1" applyBorder="1" applyProtection="1">
      <protection locked="0"/>
    </xf>
    <xf numFmtId="0" fontId="45" fillId="0" borderId="195" xfId="42" applyFont="1" applyBorder="1" applyAlignment="1">
      <alignment horizontal="center" wrapText="1"/>
    </xf>
    <xf numFmtId="0" fontId="45" fillId="0" borderId="159" xfId="42" applyFont="1" applyBorder="1" applyAlignment="1">
      <alignment horizontal="center" wrapText="1"/>
    </xf>
    <xf numFmtId="2" fontId="46" fillId="0" borderId="65" xfId="42" quotePrefix="1" applyNumberFormat="1" applyFont="1" applyBorder="1" applyAlignment="1">
      <alignment horizontal="center" vertical="center" wrapText="1"/>
    </xf>
    <xf numFmtId="2" fontId="46" fillId="0" borderId="79" xfId="42" quotePrefix="1" applyNumberFormat="1" applyFont="1" applyBorder="1" applyAlignment="1">
      <alignment horizontal="center" vertical="center" wrapText="1"/>
    </xf>
    <xf numFmtId="0" fontId="46" fillId="0" borderId="64" xfId="42" applyFont="1" applyBorder="1" applyAlignment="1" applyProtection="1">
      <alignment horizontal="center" vertical="center"/>
      <protection locked="0"/>
    </xf>
    <xf numFmtId="0" fontId="46" fillId="0" borderId="76" xfId="42" applyFont="1" applyBorder="1" applyAlignment="1" applyProtection="1">
      <alignment horizontal="center" vertical="center"/>
      <protection locked="0"/>
    </xf>
    <xf numFmtId="0" fontId="125" fillId="0" borderId="152" xfId="42" applyFont="1" applyBorder="1" applyAlignment="1" applyProtection="1">
      <alignment horizontal="center" vertical="center"/>
      <protection locked="0"/>
    </xf>
    <xf numFmtId="1" fontId="46" fillId="0" borderId="12" xfId="42" applyNumberFormat="1" applyFont="1" applyBorder="1" applyAlignment="1">
      <alignment horizontal="center" vertical="center" wrapText="1"/>
    </xf>
    <xf numFmtId="0" fontId="125" fillId="0" borderId="118" xfId="42" applyFont="1" applyBorder="1" applyAlignment="1" applyProtection="1">
      <alignment horizontal="center" vertical="center"/>
      <protection locked="0"/>
    </xf>
    <xf numFmtId="0" fontId="46" fillId="0" borderId="256" xfId="42" applyFont="1" applyBorder="1" applyAlignment="1">
      <alignment vertical="center" wrapText="1"/>
    </xf>
    <xf numFmtId="164" fontId="46" fillId="0" borderId="11" xfId="42" quotePrefix="1" applyNumberFormat="1" applyFont="1" applyBorder="1" applyAlignment="1">
      <alignment horizontal="center" vertical="center"/>
    </xf>
    <xf numFmtId="164" fontId="46" fillId="0" borderId="65" xfId="42" quotePrefix="1" applyNumberFormat="1" applyFont="1" applyBorder="1" applyAlignment="1">
      <alignment horizontal="center" vertical="center"/>
    </xf>
    <xf numFmtId="2" fontId="46" fillId="0" borderId="65" xfId="42" quotePrefix="1" applyNumberFormat="1" applyFont="1" applyBorder="1" applyAlignment="1">
      <alignment horizontal="center" vertical="center"/>
    </xf>
    <xf numFmtId="2" fontId="46" fillId="0" borderId="79" xfId="42" quotePrefix="1" applyNumberFormat="1" applyFont="1" applyBorder="1" applyAlignment="1">
      <alignment horizontal="center" vertical="center"/>
    </xf>
    <xf numFmtId="2" fontId="46" fillId="0" borderId="11" xfId="42" quotePrefix="1" applyNumberFormat="1" applyFont="1" applyBorder="1" applyAlignment="1">
      <alignment horizontal="center" vertical="center"/>
    </xf>
    <xf numFmtId="2" fontId="46" fillId="0" borderId="84" xfId="42" quotePrefix="1" applyNumberFormat="1" applyFont="1" applyBorder="1" applyAlignment="1">
      <alignment horizontal="center" vertical="center"/>
    </xf>
    <xf numFmtId="0" fontId="117" fillId="32" borderId="16" xfId="42" applyFont="1" applyFill="1" applyBorder="1" applyAlignment="1">
      <alignment vertical="center" wrapText="1"/>
    </xf>
    <xf numFmtId="0" fontId="125" fillId="0" borderId="16" xfId="42" applyFont="1" applyBorder="1" applyAlignment="1" applyProtection="1">
      <alignment horizontal="center" vertical="center"/>
      <protection locked="0"/>
    </xf>
    <xf numFmtId="0" fontId="117" fillId="0" borderId="86" xfId="42" applyFont="1" applyBorder="1" applyAlignment="1" applyProtection="1">
      <alignment horizontal="center" vertical="center"/>
      <protection locked="0"/>
    </xf>
    <xf numFmtId="0" fontId="117" fillId="0" borderId="257" xfId="42" applyFont="1" applyBorder="1" applyAlignment="1" applyProtection="1">
      <alignment horizontal="center" vertical="center"/>
      <protection locked="0"/>
    </xf>
    <xf numFmtId="0" fontId="117" fillId="0" borderId="261" xfId="42" applyFont="1" applyBorder="1" applyAlignment="1" applyProtection="1">
      <alignment horizontal="center" vertical="center"/>
      <protection locked="0"/>
    </xf>
    <xf numFmtId="0" fontId="15" fillId="26" borderId="126" xfId="42" applyFont="1" applyFill="1" applyBorder="1" applyAlignment="1" applyProtection="1">
      <alignment horizontal="center" vertical="center"/>
      <protection locked="0"/>
    </xf>
    <xf numFmtId="0" fontId="117" fillId="0" borderId="136" xfId="42" applyFont="1" applyBorder="1" applyAlignment="1" applyProtection="1">
      <alignment horizontal="center" vertical="center"/>
      <protection locked="0"/>
    </xf>
    <xf numFmtId="0" fontId="46" fillId="0" borderId="121" xfId="42" applyFont="1" applyBorder="1" applyAlignment="1" applyProtection="1">
      <alignment horizontal="center" vertical="center"/>
      <protection locked="0"/>
    </xf>
    <xf numFmtId="1" fontId="15" fillId="36" borderId="118" xfId="42" applyNumberFormat="1" applyFont="1" applyFill="1" applyBorder="1" applyAlignment="1">
      <alignment horizontal="center" vertical="center" wrapText="1"/>
    </xf>
    <xf numFmtId="0" fontId="46" fillId="29" borderId="103" xfId="42" applyFont="1" applyFill="1" applyBorder="1" applyAlignment="1">
      <alignment horizontal="left" vertical="center"/>
    </xf>
    <xf numFmtId="0" fontId="46" fillId="29" borderId="102" xfId="42" applyFont="1" applyFill="1" applyBorder="1" applyAlignment="1">
      <alignment horizontal="left" vertical="center"/>
    </xf>
    <xf numFmtId="0" fontId="46" fillId="29" borderId="259" xfId="42" applyFont="1" applyFill="1" applyBorder="1" applyAlignment="1">
      <alignment horizontal="left" vertical="center"/>
    </xf>
    <xf numFmtId="0" fontId="46" fillId="0" borderId="65" xfId="0" applyFont="1" applyBorder="1" applyAlignment="1">
      <alignment horizontal="center" vertical="center" wrapText="1"/>
    </xf>
    <xf numFmtId="0" fontId="46" fillId="0" borderId="79" xfId="0" applyFont="1" applyBorder="1" applyAlignment="1">
      <alignment horizontal="center" vertical="center" wrapText="1"/>
    </xf>
    <xf numFmtId="164" fontId="46" fillId="0" borderId="16" xfId="42" quotePrefix="1" applyNumberFormat="1" applyFont="1" applyBorder="1" applyAlignment="1">
      <alignment horizontal="center" vertical="center" wrapText="1"/>
    </xf>
    <xf numFmtId="164" fontId="46" fillId="0" borderId="16" xfId="42" quotePrefix="1" applyNumberFormat="1" applyFont="1" applyBorder="1" applyAlignment="1" applyProtection="1">
      <alignment horizontal="center" vertical="center"/>
      <protection locked="0"/>
    </xf>
    <xf numFmtId="164" fontId="46" fillId="0" borderId="17" xfId="42" quotePrefix="1" applyNumberFormat="1" applyFont="1" applyBorder="1" applyAlignment="1" applyProtection="1">
      <alignment horizontal="center" vertical="center"/>
      <protection locked="0"/>
    </xf>
    <xf numFmtId="164" fontId="46" fillId="0" borderId="12" xfId="42" quotePrefix="1" applyNumberFormat="1" applyFont="1" applyBorder="1" applyAlignment="1" applyProtection="1">
      <alignment horizontal="center" vertical="center"/>
      <protection locked="0"/>
    </xf>
    <xf numFmtId="2" fontId="46" fillId="0" borderId="16" xfId="42" quotePrefix="1" applyNumberFormat="1" applyFont="1" applyBorder="1" applyAlignment="1">
      <alignment horizontal="center" vertical="center" wrapText="1"/>
    </xf>
    <xf numFmtId="0" fontId="4" fillId="0" borderId="84" xfId="47" applyBorder="1" applyAlignment="1">
      <alignment vertical="center"/>
    </xf>
    <xf numFmtId="0" fontId="49" fillId="0" borderId="0" xfId="0" applyFont="1" applyAlignment="1">
      <alignment horizontal="left" vertical="center" readingOrder="1"/>
    </xf>
    <xf numFmtId="0" fontId="15" fillId="26" borderId="256" xfId="42" applyFont="1" applyFill="1" applyBorder="1" applyAlignment="1">
      <alignment horizontal="center" vertical="center"/>
    </xf>
    <xf numFmtId="164" fontId="46" fillId="0" borderId="12" xfId="42" quotePrefix="1" applyNumberFormat="1" applyFont="1" applyBorder="1" applyAlignment="1">
      <alignment horizontal="center" vertical="center"/>
    </xf>
    <xf numFmtId="0" fontId="5" fillId="0" borderId="0" xfId="42" applyFont="1" applyAlignment="1" applyProtection="1">
      <alignment horizontal="center" vertical="center"/>
      <protection locked="0"/>
    </xf>
    <xf numFmtId="0" fontId="15" fillId="26" borderId="256" xfId="42" applyFont="1" applyFill="1" applyBorder="1" applyAlignment="1" applyProtection="1">
      <alignment horizontal="center" vertical="center"/>
      <protection locked="0"/>
    </xf>
    <xf numFmtId="0" fontId="46" fillId="0" borderId="256" xfId="42" applyFont="1" applyBorder="1" applyAlignment="1" applyProtection="1">
      <alignment horizontal="center" vertical="center" wrapText="1"/>
      <protection locked="0"/>
    </xf>
    <xf numFmtId="2" fontId="46" fillId="0" borderId="256" xfId="42" quotePrefix="1" applyNumberFormat="1" applyFont="1" applyBorder="1" applyAlignment="1" applyProtection="1">
      <alignment horizontal="center" vertical="center"/>
      <protection locked="0"/>
    </xf>
    <xf numFmtId="9" fontId="96" fillId="0" borderId="76" xfId="42" applyNumberFormat="1" applyFont="1" applyBorder="1" applyAlignment="1" applyProtection="1">
      <alignment horizontal="left" vertical="center" wrapText="1"/>
      <protection locked="0"/>
    </xf>
    <xf numFmtId="1" fontId="125" fillId="0" borderId="256" xfId="42" applyNumberFormat="1" applyFont="1" applyBorder="1" applyAlignment="1" applyProtection="1">
      <alignment horizontal="center" vertical="center" wrapText="1"/>
      <protection locked="0"/>
    </xf>
    <xf numFmtId="0" fontId="46" fillId="32" borderId="256" xfId="42" applyFont="1" applyFill="1" applyBorder="1" applyAlignment="1">
      <alignment horizontal="center" vertical="center"/>
    </xf>
    <xf numFmtId="0" fontId="0" fillId="26" borderId="152" xfId="0" applyFill="1" applyBorder="1" applyAlignment="1">
      <alignment vertical="center"/>
    </xf>
    <xf numFmtId="0" fontId="138" fillId="26" borderId="43" xfId="0" applyFont="1" applyFill="1" applyBorder="1" applyAlignment="1">
      <alignment horizontal="center" vertical="center" wrapText="1"/>
    </xf>
    <xf numFmtId="0" fontId="138" fillId="26" borderId="44" xfId="0" applyFont="1" applyFill="1" applyBorder="1" applyAlignment="1">
      <alignment horizontal="center" vertical="center" wrapText="1"/>
    </xf>
    <xf numFmtId="0" fontId="138" fillId="26" borderId="44" xfId="0" applyFont="1" applyFill="1" applyBorder="1" applyAlignment="1">
      <alignment vertical="center" wrapText="1"/>
    </xf>
    <xf numFmtId="0" fontId="138" fillId="26" borderId="121" xfId="0" applyFont="1" applyFill="1" applyBorder="1" applyAlignment="1">
      <alignment horizontal="center" vertical="center" wrapText="1"/>
    </xf>
    <xf numFmtId="0" fontId="139" fillId="0" borderId="0" xfId="0" applyFont="1" applyAlignment="1">
      <alignment vertical="center"/>
    </xf>
    <xf numFmtId="0" fontId="0" fillId="0" borderId="13" xfId="0" applyBorder="1" applyAlignment="1">
      <alignment horizontal="left" vertical="center" indent="1"/>
    </xf>
    <xf numFmtId="0" fontId="0" fillId="28" borderId="0" xfId="0" applyFill="1" applyAlignment="1">
      <alignment horizontal="left" vertical="center" indent="1"/>
    </xf>
    <xf numFmtId="0" fontId="0" fillId="0" borderId="0" xfId="0" applyAlignment="1">
      <alignment horizontal="left" vertical="center" wrapText="1" indent="1"/>
    </xf>
    <xf numFmtId="0" fontId="140" fillId="0" borderId="13" xfId="0" applyFont="1" applyBorder="1" applyAlignment="1">
      <alignment horizontal="left" vertical="center" indent="1"/>
    </xf>
    <xf numFmtId="0" fontId="140" fillId="0" borderId="0" xfId="0" applyFont="1" applyAlignment="1">
      <alignment vertical="center"/>
    </xf>
    <xf numFmtId="0" fontId="140" fillId="0" borderId="0" xfId="0" applyFont="1" applyAlignment="1">
      <alignment horizontal="center" vertical="center"/>
    </xf>
    <xf numFmtId="0" fontId="140" fillId="28" borderId="0" xfId="0" applyFont="1" applyFill="1" applyAlignment="1">
      <alignment horizontal="left" vertical="center" indent="1"/>
    </xf>
    <xf numFmtId="0" fontId="140" fillId="0" borderId="0" xfId="0" applyFont="1" applyAlignment="1">
      <alignment horizontal="left" vertical="center" indent="1"/>
    </xf>
    <xf numFmtId="0" fontId="0" fillId="0" borderId="0" xfId="0" applyAlignment="1">
      <alignment horizontal="left" vertical="center" indent="1"/>
    </xf>
    <xf numFmtId="0" fontId="140" fillId="34" borderId="98" xfId="0" applyFont="1" applyFill="1" applyBorder="1" applyAlignment="1">
      <alignment horizontal="left" vertical="center" indent="1"/>
    </xf>
    <xf numFmtId="0" fontId="140" fillId="34" borderId="73" xfId="0" applyFont="1" applyFill="1" applyBorder="1" applyAlignment="1">
      <alignment vertical="center"/>
    </xf>
    <xf numFmtId="0" fontId="140" fillId="34" borderId="73" xfId="0" applyFont="1" applyFill="1" applyBorder="1" applyAlignment="1">
      <alignment horizontal="center" vertical="center"/>
    </xf>
    <xf numFmtId="0" fontId="140" fillId="28" borderId="73" xfId="0" applyFont="1" applyFill="1" applyBorder="1" applyAlignment="1">
      <alignment horizontal="left" vertical="center" indent="1"/>
    </xf>
    <xf numFmtId="0" fontId="140" fillId="34" borderId="73" xfId="0" applyFont="1" applyFill="1" applyBorder="1" applyAlignment="1">
      <alignment horizontal="left" vertical="center" indent="1"/>
    </xf>
    <xf numFmtId="0" fontId="140" fillId="34" borderId="97" xfId="0" applyFont="1" applyFill="1" applyBorder="1" applyAlignment="1">
      <alignment vertical="center"/>
    </xf>
    <xf numFmtId="0" fontId="4" fillId="0" borderId="0" xfId="0" applyFont="1" applyAlignment="1">
      <alignment horizontal="center" vertical="center"/>
    </xf>
    <xf numFmtId="0" fontId="0" fillId="0" borderId="82" xfId="0" applyBorder="1" applyAlignment="1">
      <alignment vertical="center"/>
    </xf>
    <xf numFmtId="0" fontId="0" fillId="28" borderId="13" xfId="0" applyFill="1" applyBorder="1" applyAlignment="1">
      <alignment horizontal="left" vertical="center" indent="1"/>
    </xf>
    <xf numFmtId="0" fontId="0" fillId="28" borderId="0" xfId="0" applyFill="1" applyAlignment="1">
      <alignment vertical="center"/>
    </xf>
    <xf numFmtId="0" fontId="0" fillId="28" borderId="0" xfId="0" applyFill="1" applyAlignment="1">
      <alignment horizontal="center" vertical="center"/>
    </xf>
    <xf numFmtId="0" fontId="4" fillId="28" borderId="0" xfId="0" applyFont="1" applyFill="1" applyAlignment="1">
      <alignment horizontal="left" vertical="center" indent="1"/>
    </xf>
    <xf numFmtId="0" fontId="4" fillId="0" borderId="0" xfId="0" applyFont="1" applyAlignment="1">
      <alignment horizontal="left" vertical="center" indent="1"/>
    </xf>
    <xf numFmtId="0" fontId="4" fillId="28" borderId="13" xfId="0" applyFont="1" applyFill="1" applyBorder="1" applyAlignment="1">
      <alignment horizontal="left" vertical="center" indent="1"/>
    </xf>
    <xf numFmtId="0" fontId="0" fillId="28" borderId="95" xfId="0" applyFill="1" applyBorder="1" applyAlignment="1">
      <alignment horizontal="left" vertical="center" indent="1"/>
    </xf>
    <xf numFmtId="0" fontId="0" fillId="28" borderId="88" xfId="0" applyFill="1" applyBorder="1" applyAlignment="1">
      <alignment vertical="center"/>
    </xf>
    <xf numFmtId="0" fontId="0" fillId="28" borderId="88" xfId="0" applyFill="1" applyBorder="1" applyAlignment="1">
      <alignment horizontal="center" vertical="center"/>
    </xf>
    <xf numFmtId="0" fontId="0" fillId="28" borderId="88" xfId="0" applyFill="1" applyBorder="1" applyAlignment="1">
      <alignment horizontal="left" vertical="center" indent="1"/>
    </xf>
    <xf numFmtId="0" fontId="4" fillId="28" borderId="88" xfId="0" applyFont="1" applyFill="1" applyBorder="1" applyAlignment="1">
      <alignment horizontal="left" vertical="center" indent="1"/>
    </xf>
    <xf numFmtId="0" fontId="4" fillId="0" borderId="88" xfId="0" applyFont="1" applyBorder="1" applyAlignment="1">
      <alignment horizontal="left" vertical="center" indent="1"/>
    </xf>
    <xf numFmtId="0" fontId="0" fillId="0" borderId="96" xfId="0" applyBorder="1" applyAlignment="1">
      <alignment vertical="center"/>
    </xf>
    <xf numFmtId="0" fontId="4" fillId="0" borderId="13" xfId="0" applyFont="1" applyBorder="1" applyAlignment="1">
      <alignment horizontal="left" vertical="center" indent="1"/>
    </xf>
    <xf numFmtId="0" fontId="0" fillId="0" borderId="95" xfId="0" applyBorder="1" applyAlignment="1">
      <alignment horizontal="left" vertical="center" indent="1"/>
    </xf>
    <xf numFmtId="0" fontId="0" fillId="0" borderId="88" xfId="0" applyBorder="1" applyAlignment="1">
      <alignment vertical="center"/>
    </xf>
    <xf numFmtId="0" fontId="0" fillId="0" borderId="88" xfId="0" applyBorder="1" applyAlignment="1">
      <alignment horizontal="center" vertical="center"/>
    </xf>
    <xf numFmtId="0" fontId="0" fillId="0" borderId="88" xfId="0" applyBorder="1" applyAlignment="1">
      <alignment horizontal="left" vertical="center" indent="1"/>
    </xf>
    <xf numFmtId="0" fontId="4" fillId="0" borderId="88" xfId="0" applyFont="1" applyBorder="1" applyAlignment="1">
      <alignment horizontal="center" vertical="center"/>
    </xf>
    <xf numFmtId="0" fontId="5" fillId="18" borderId="0" xfId="0" applyFont="1" applyFill="1" applyAlignment="1" applyProtection="1">
      <alignment wrapText="1"/>
      <protection locked="0"/>
    </xf>
    <xf numFmtId="0" fontId="46" fillId="18" borderId="0" xfId="0" applyFont="1" applyFill="1" applyProtection="1">
      <protection locked="0"/>
    </xf>
    <xf numFmtId="0" fontId="15" fillId="26" borderId="152" xfId="0" applyFont="1" applyFill="1" applyBorder="1" applyAlignment="1" applyProtection="1">
      <alignment horizontal="center" vertical="center" wrapText="1"/>
      <protection locked="0"/>
    </xf>
    <xf numFmtId="0" fontId="46" fillId="18" borderId="12" xfId="0" applyFont="1" applyFill="1" applyBorder="1" applyAlignment="1" applyProtection="1">
      <alignment horizontal="center" vertical="center"/>
      <protection locked="0"/>
    </xf>
    <xf numFmtId="0" fontId="46" fillId="18" borderId="75" xfId="0" applyFont="1" applyFill="1" applyBorder="1" applyAlignment="1" applyProtection="1">
      <alignment horizontal="center" vertical="center"/>
      <protection locked="0"/>
    </xf>
    <xf numFmtId="0" fontId="117" fillId="0" borderId="76" xfId="0" applyFont="1" applyBorder="1" applyAlignment="1" applyProtection="1">
      <alignment horizontal="center" vertical="center"/>
      <protection locked="0"/>
    </xf>
    <xf numFmtId="164" fontId="46" fillId="0" borderId="191" xfId="42" quotePrefix="1" applyNumberFormat="1" applyFont="1" applyBorder="1" applyAlignment="1">
      <alignment horizontal="center" vertical="center"/>
    </xf>
    <xf numFmtId="164" fontId="46" fillId="0" borderId="162" xfId="42" quotePrefix="1" applyNumberFormat="1" applyFont="1" applyBorder="1" applyAlignment="1">
      <alignment horizontal="center" vertical="center"/>
    </xf>
    <xf numFmtId="0" fontId="5" fillId="0" borderId="203" xfId="42" applyFont="1" applyBorder="1"/>
    <xf numFmtId="0" fontId="5" fillId="0" borderId="196" xfId="42" applyFont="1" applyBorder="1"/>
    <xf numFmtId="0" fontId="5" fillId="0" borderId="191" xfId="42" applyFont="1" applyBorder="1"/>
    <xf numFmtId="0" fontId="45" fillId="33" borderId="12" xfId="42" applyFont="1" applyFill="1" applyBorder="1" applyAlignment="1" applyProtection="1">
      <alignment horizontal="center" vertical="center" wrapText="1"/>
      <protection locked="0"/>
    </xf>
    <xf numFmtId="0" fontId="113" fillId="0" borderId="12" xfId="47" applyFont="1" applyBorder="1" applyAlignment="1">
      <alignment horizontal="center" vertical="center"/>
    </xf>
    <xf numFmtId="0" fontId="113" fillId="0" borderId="15" xfId="47" applyFont="1" applyBorder="1" applyAlignment="1">
      <alignment horizontal="center" vertical="center"/>
    </xf>
    <xf numFmtId="0" fontId="113" fillId="0" borderId="44" xfId="47" applyFont="1" applyBorder="1" applyAlignment="1">
      <alignment horizontal="center" vertical="center"/>
    </xf>
    <xf numFmtId="0" fontId="113" fillId="0" borderId="45" xfId="47" applyFont="1" applyBorder="1" applyAlignment="1">
      <alignment horizontal="center" vertical="center"/>
    </xf>
    <xf numFmtId="0" fontId="7" fillId="0" borderId="73" xfId="47" applyFont="1" applyBorder="1" applyAlignment="1">
      <alignment horizontal="right" vertical="center"/>
    </xf>
    <xf numFmtId="0" fontId="9" fillId="0" borderId="10" xfId="47" applyFont="1" applyBorder="1" applyAlignment="1" applyProtection="1">
      <alignment horizontal="center" vertical="center"/>
      <protection locked="0"/>
    </xf>
    <xf numFmtId="0" fontId="7" fillId="0" borderId="0" xfId="47" applyFont="1" applyAlignment="1">
      <alignment horizontal="right" vertical="center"/>
    </xf>
    <xf numFmtId="0" fontId="7" fillId="0" borderId="10" xfId="47" applyFont="1" applyBorder="1" applyAlignment="1">
      <alignment horizontal="center" vertical="center"/>
    </xf>
    <xf numFmtId="0" fontId="4" fillId="0" borderId="10" xfId="47" applyBorder="1" applyAlignment="1" applyProtection="1">
      <alignment horizontal="center" vertical="center"/>
      <protection locked="0"/>
    </xf>
    <xf numFmtId="0" fontId="45" fillId="26" borderId="83" xfId="47" applyFont="1" applyFill="1" applyBorder="1" applyAlignment="1">
      <alignment horizontal="center" vertical="center"/>
    </xf>
    <xf numFmtId="0" fontId="45" fillId="26" borderId="108" xfId="47" applyFont="1" applyFill="1" applyBorder="1" applyAlignment="1">
      <alignment horizontal="center" vertical="center"/>
    </xf>
    <xf numFmtId="0" fontId="45" fillId="26" borderId="75" xfId="47" applyFont="1" applyFill="1" applyBorder="1" applyAlignment="1">
      <alignment horizontal="center" vertical="center"/>
    </xf>
    <xf numFmtId="0" fontId="45" fillId="26" borderId="76" xfId="47" applyFont="1" applyFill="1" applyBorder="1" applyAlignment="1">
      <alignment horizontal="center" vertical="center"/>
    </xf>
    <xf numFmtId="0" fontId="45" fillId="26" borderId="109" xfId="47" applyFont="1" applyFill="1" applyBorder="1" applyAlignment="1">
      <alignment horizontal="center" vertical="center"/>
    </xf>
    <xf numFmtId="0" fontId="45" fillId="26" borderId="110" xfId="47" applyFont="1" applyFill="1" applyBorder="1" applyAlignment="1">
      <alignment horizontal="center" vertical="center"/>
    </xf>
    <xf numFmtId="0" fontId="4" fillId="0" borderId="10" xfId="47" quotePrefix="1" applyBorder="1" applyAlignment="1" applyProtection="1">
      <alignment horizontal="left" vertical="center"/>
      <protection locked="0"/>
    </xf>
    <xf numFmtId="0" fontId="4" fillId="0" borderId="10" xfId="47" applyBorder="1" applyAlignment="1" applyProtection="1">
      <alignment horizontal="left" vertical="center"/>
      <protection locked="0"/>
    </xf>
    <xf numFmtId="0" fontId="4" fillId="0" borderId="0" xfId="47" applyAlignment="1">
      <alignment horizontal="left" vertical="center"/>
    </xf>
    <xf numFmtId="0" fontId="3" fillId="0" borderId="0" xfId="47" applyFont="1" applyAlignment="1">
      <alignment horizontal="right" vertical="center"/>
    </xf>
    <xf numFmtId="0" fontId="113" fillId="0" borderId="100" xfId="47" applyFont="1" applyBorder="1" applyAlignment="1">
      <alignment horizontal="center" vertical="center"/>
    </xf>
    <xf numFmtId="0" fontId="113" fillId="0" borderId="107" xfId="47" applyFont="1" applyBorder="1" applyAlignment="1">
      <alignment horizontal="center" vertical="center"/>
    </xf>
    <xf numFmtId="0" fontId="42" fillId="0" borderId="0" xfId="0" applyFont="1" applyAlignment="1">
      <alignment horizontal="right"/>
    </xf>
    <xf numFmtId="0" fontId="7" fillId="26" borderId="71" xfId="0" applyFont="1" applyFill="1" applyBorder="1" applyAlignment="1">
      <alignment horizontal="right" vertical="center"/>
    </xf>
    <xf numFmtId="0" fontId="7" fillId="26" borderId="21" xfId="0" applyFont="1" applyFill="1" applyBorder="1" applyAlignment="1">
      <alignment horizontal="right" vertical="center"/>
    </xf>
    <xf numFmtId="0" fontId="7" fillId="0" borderId="0" xfId="0" applyFont="1" applyAlignment="1">
      <alignment horizontal="right"/>
    </xf>
    <xf numFmtId="0" fontId="7" fillId="26" borderId="98" xfId="0" applyFont="1" applyFill="1" applyBorder="1" applyAlignment="1">
      <alignment horizontal="center" vertical="center"/>
    </xf>
    <xf numFmtId="0" fontId="7" fillId="26" borderId="73" xfId="0" applyFont="1" applyFill="1" applyBorder="1" applyAlignment="1">
      <alignment horizontal="center" vertical="center"/>
    </xf>
    <xf numFmtId="0" fontId="7" fillId="26" borderId="97" xfId="0" applyFont="1" applyFill="1" applyBorder="1" applyAlignment="1">
      <alignment horizontal="center" vertical="center"/>
    </xf>
    <xf numFmtId="0" fontId="29" fillId="26" borderId="28" xfId="49" applyFont="1" applyFill="1" applyBorder="1" applyAlignment="1">
      <alignment horizontal="center" wrapText="1"/>
    </xf>
    <xf numFmtId="0" fontId="29" fillId="26" borderId="29" xfId="49" applyFont="1" applyFill="1" applyBorder="1" applyAlignment="1">
      <alignment horizontal="center" wrapText="1"/>
    </xf>
    <xf numFmtId="0" fontId="29" fillId="26" borderId="111" xfId="49" applyFont="1" applyFill="1" applyBorder="1" applyAlignment="1">
      <alignment horizontal="center" wrapText="1"/>
    </xf>
    <xf numFmtId="0" fontId="27" fillId="0" borderId="0" xfId="49" applyFont="1" applyFill="1" applyAlignment="1">
      <alignment horizontal="center"/>
    </xf>
    <xf numFmtId="0" fontId="48" fillId="0" borderId="112" xfId="49" applyFont="1" applyFill="1" applyBorder="1" applyAlignment="1">
      <alignment horizontal="center"/>
    </xf>
    <xf numFmtId="0" fontId="48" fillId="0" borderId="113" xfId="49" applyFont="1" applyFill="1" applyBorder="1" applyAlignment="1">
      <alignment horizontal="center"/>
    </xf>
    <xf numFmtId="0" fontId="48" fillId="0" borderId="114" xfId="49" applyFont="1" applyFill="1" applyBorder="1" applyAlignment="1">
      <alignment horizontal="center"/>
    </xf>
    <xf numFmtId="0" fontId="29" fillId="26" borderId="35" xfId="49" applyFont="1" applyFill="1" applyBorder="1" applyAlignment="1">
      <alignment horizontal="center"/>
    </xf>
    <xf numFmtId="0" fontId="29" fillId="26" borderId="23" xfId="49" applyFont="1" applyFill="1" applyBorder="1" applyAlignment="1">
      <alignment horizontal="center"/>
    </xf>
    <xf numFmtId="0" fontId="29" fillId="0" borderId="60" xfId="49" applyFont="1" applyFill="1" applyBorder="1" applyAlignment="1">
      <alignment horizontal="center" vertical="center"/>
    </xf>
    <xf numFmtId="0" fontId="29" fillId="0" borderId="62" xfId="49" applyFont="1" applyFill="1" applyBorder="1" applyAlignment="1">
      <alignment horizontal="center" vertical="center"/>
    </xf>
    <xf numFmtId="0" fontId="29" fillId="26" borderId="60" xfId="49" applyFont="1" applyFill="1" applyBorder="1" applyAlignment="1">
      <alignment horizontal="center"/>
    </xf>
    <xf numFmtId="0" fontId="29" fillId="26" borderId="62" xfId="49" applyFont="1" applyFill="1" applyBorder="1" applyAlignment="1">
      <alignment horizontal="center"/>
    </xf>
    <xf numFmtId="0" fontId="47" fillId="26" borderId="28" xfId="49" applyFont="1" applyFill="1" applyBorder="1" applyAlignment="1">
      <alignment horizontal="center" vertical="center"/>
    </xf>
    <xf numFmtId="0" fontId="47" fillId="26" borderId="29" xfId="49" applyFont="1" applyFill="1" applyBorder="1" applyAlignment="1">
      <alignment horizontal="center" vertical="center"/>
    </xf>
    <xf numFmtId="0" fontId="47" fillId="26" borderId="30" xfId="49" applyFont="1" applyFill="1" applyBorder="1" applyAlignment="1">
      <alignment horizontal="center" vertical="center"/>
    </xf>
    <xf numFmtId="0" fontId="26" fillId="0" borderId="28" xfId="49" applyFill="1" applyBorder="1" applyAlignment="1">
      <alignment horizontal="center" wrapText="1"/>
    </xf>
    <xf numFmtId="0" fontId="26" fillId="0" borderId="29" xfId="49" applyFill="1" applyBorder="1" applyAlignment="1">
      <alignment horizontal="center" wrapText="1"/>
    </xf>
    <xf numFmtId="0" fontId="26" fillId="0" borderId="30" xfId="49" applyFill="1" applyBorder="1" applyAlignment="1">
      <alignment horizontal="center" wrapText="1"/>
    </xf>
    <xf numFmtId="0" fontId="29" fillId="0" borderId="35" xfId="49" applyFont="1" applyFill="1" applyBorder="1" applyAlignment="1">
      <alignment horizontal="center"/>
    </xf>
    <xf numFmtId="0" fontId="29" fillId="0" borderId="23" xfId="49" applyFont="1" applyFill="1" applyBorder="1" applyAlignment="1">
      <alignment horizontal="center"/>
    </xf>
    <xf numFmtId="0" fontId="47" fillId="0" borderId="60" xfId="49" applyFont="1" applyFill="1" applyBorder="1" applyAlignment="1">
      <alignment horizontal="center" vertical="center"/>
    </xf>
    <xf numFmtId="0" fontId="47" fillId="0" borderId="62" xfId="49" applyFont="1" applyFill="1" applyBorder="1" applyAlignment="1">
      <alignment horizontal="center" vertical="center"/>
    </xf>
    <xf numFmtId="0" fontId="29" fillId="0" borderId="60" xfId="49" applyFont="1" applyFill="1" applyBorder="1" applyAlignment="1">
      <alignment horizontal="center"/>
    </xf>
    <xf numFmtId="0" fontId="29" fillId="0" borderId="62" xfId="49" applyFont="1" applyFill="1" applyBorder="1" applyAlignment="1">
      <alignment horizontal="center"/>
    </xf>
    <xf numFmtId="0" fontId="45" fillId="19" borderId="51" xfId="48" applyFont="1" applyFill="1" applyBorder="1" applyAlignment="1">
      <alignment horizontal="center" vertical="center" wrapText="1"/>
    </xf>
    <xf numFmtId="0" fontId="45" fillId="19" borderId="115" xfId="48" applyFont="1" applyFill="1" applyBorder="1" applyAlignment="1">
      <alignment horizontal="center" vertical="center" wrapText="1"/>
    </xf>
    <xf numFmtId="0" fontId="45" fillId="19" borderId="116" xfId="48" applyFont="1" applyFill="1" applyBorder="1" applyAlignment="1">
      <alignment horizontal="center" vertical="center" wrapText="1"/>
    </xf>
    <xf numFmtId="0" fontId="45" fillId="19" borderId="57" xfId="48" applyFont="1" applyFill="1" applyBorder="1" applyAlignment="1">
      <alignment horizontal="center" vertical="center" wrapText="1"/>
    </xf>
    <xf numFmtId="0" fontId="45" fillId="19" borderId="213" xfId="48" applyFont="1" applyFill="1" applyBorder="1" applyAlignment="1">
      <alignment horizontal="right" vertical="center"/>
    </xf>
    <xf numFmtId="0" fontId="45" fillId="19" borderId="215" xfId="48" applyFont="1" applyFill="1" applyBorder="1" applyAlignment="1">
      <alignment horizontal="right" vertical="center"/>
    </xf>
    <xf numFmtId="0" fontId="46" fillId="19" borderId="51" xfId="48" applyFont="1" applyFill="1" applyBorder="1" applyAlignment="1">
      <alignment horizontal="center" wrapText="1"/>
    </xf>
    <xf numFmtId="0" fontId="46" fillId="19" borderId="53" xfId="48" applyFont="1" applyFill="1" applyBorder="1" applyAlignment="1">
      <alignment horizontal="center" wrapText="1"/>
    </xf>
    <xf numFmtId="0" fontId="15" fillId="19" borderId="228" xfId="48" applyFont="1" applyFill="1" applyBorder="1" applyAlignment="1">
      <alignment horizontal="center" vertical="center" wrapText="1"/>
    </xf>
    <xf numFmtId="0" fontId="15" fillId="19" borderId="115" xfId="48" applyFont="1" applyFill="1" applyBorder="1" applyAlignment="1">
      <alignment horizontal="center" vertical="center" wrapText="1"/>
    </xf>
    <xf numFmtId="0" fontId="15" fillId="19" borderId="229" xfId="48" applyFont="1" applyFill="1" applyBorder="1" applyAlignment="1">
      <alignment horizontal="center" vertical="center" wrapText="1"/>
    </xf>
    <xf numFmtId="0" fontId="15" fillId="19" borderId="57" xfId="48" applyFont="1" applyFill="1" applyBorder="1" applyAlignment="1">
      <alignment horizontal="center" vertical="center" wrapText="1"/>
    </xf>
    <xf numFmtId="0" fontId="15" fillId="19" borderId="227" xfId="48" applyFont="1" applyFill="1" applyBorder="1" applyAlignment="1">
      <alignment horizontal="right" vertical="center"/>
    </xf>
    <xf numFmtId="0" fontId="15" fillId="19" borderId="215" xfId="48" applyFont="1" applyFill="1" applyBorder="1" applyAlignment="1">
      <alignment horizontal="right" vertical="center"/>
    </xf>
    <xf numFmtId="0" fontId="11" fillId="19" borderId="228" xfId="48" applyFont="1" applyFill="1" applyBorder="1" applyAlignment="1">
      <alignment horizontal="center" wrapText="1"/>
    </xf>
    <xf numFmtId="0" fontId="11" fillId="19" borderId="53" xfId="48" applyFont="1" applyFill="1" applyBorder="1" applyAlignment="1">
      <alignment horizontal="center" wrapText="1"/>
    </xf>
    <xf numFmtId="0" fontId="46" fillId="0" borderId="11" xfId="0" applyFont="1" applyBorder="1" applyAlignment="1" applyProtection="1">
      <alignment horizontal="left" vertical="center" wrapText="1"/>
      <protection locked="0"/>
    </xf>
    <xf numFmtId="0" fontId="46" fillId="0" borderId="12" xfId="0" applyFont="1" applyBorder="1" applyAlignment="1" applyProtection="1">
      <alignment horizontal="left" vertical="center" wrapText="1"/>
      <protection locked="0"/>
    </xf>
    <xf numFmtId="0" fontId="117" fillId="0" borderId="16" xfId="0" applyFont="1" applyBorder="1" applyAlignment="1" applyProtection="1">
      <alignment horizontal="center" vertical="center"/>
      <protection locked="0"/>
    </xf>
    <xf numFmtId="0" fontId="117" fillId="0" borderId="18" xfId="0" applyFont="1" applyBorder="1" applyAlignment="1" applyProtection="1">
      <alignment horizontal="center" vertical="center"/>
      <protection locked="0"/>
    </xf>
    <xf numFmtId="0" fontId="15" fillId="26" borderId="119" xfId="0" applyFont="1" applyFill="1" applyBorder="1" applyAlignment="1" applyProtection="1">
      <alignment horizontal="left" vertical="center" wrapText="1"/>
      <protection locked="0"/>
    </xf>
    <xf numFmtId="0" fontId="15" fillId="26" borderId="105" xfId="0" applyFont="1" applyFill="1" applyBorder="1" applyAlignment="1" applyProtection="1">
      <alignment horizontal="left" vertical="center" wrapText="1"/>
      <protection locked="0"/>
    </xf>
    <xf numFmtId="0" fontId="46" fillId="0" borderId="65" xfId="0" applyFont="1" applyBorder="1" applyAlignment="1" applyProtection="1">
      <alignment horizontal="left" vertical="center" wrapText="1"/>
      <protection locked="0"/>
    </xf>
    <xf numFmtId="0" fontId="46" fillId="0" borderId="16" xfId="0" applyFont="1" applyBorder="1" applyAlignment="1" applyProtection="1">
      <alignment horizontal="left" vertical="center" wrapText="1"/>
      <protection locked="0"/>
    </xf>
    <xf numFmtId="0" fontId="46" fillId="0" borderId="63" xfId="0" applyFont="1" applyBorder="1" applyAlignment="1" applyProtection="1">
      <alignment horizontal="center" vertical="center"/>
      <protection locked="0"/>
    </xf>
    <xf numFmtId="0" fontId="46" fillId="0" borderId="64" xfId="0" applyFont="1" applyBorder="1" applyAlignment="1" applyProtection="1">
      <alignment horizontal="center" vertical="center"/>
      <protection locked="0"/>
    </xf>
    <xf numFmtId="0" fontId="46" fillId="0" borderId="67" xfId="0" applyFont="1" applyBorder="1" applyAlignment="1" applyProtection="1">
      <alignment horizontal="left" vertical="center" wrapText="1"/>
      <protection locked="0"/>
    </xf>
    <xf numFmtId="0" fontId="46" fillId="0" borderId="18" xfId="0" applyFont="1" applyBorder="1" applyAlignment="1" applyProtection="1">
      <alignment horizontal="left" vertical="center" wrapText="1"/>
      <protection locked="0"/>
    </xf>
    <xf numFmtId="0" fontId="45" fillId="26" borderId="117" xfId="0" applyFont="1" applyFill="1" applyBorder="1" applyAlignment="1" applyProtection="1">
      <alignment horizontal="left" vertical="center" wrapText="1"/>
      <protection locked="0"/>
    </xf>
    <xf numFmtId="0" fontId="45" fillId="26" borderId="118" xfId="0" applyFont="1" applyFill="1" applyBorder="1" applyAlignment="1" applyProtection="1">
      <alignment horizontal="left" vertical="center" wrapText="1"/>
      <protection locked="0"/>
    </xf>
    <xf numFmtId="0" fontId="46" fillId="0" borderId="98" xfId="0" applyFont="1" applyBorder="1" applyAlignment="1" applyProtection="1">
      <alignment horizontal="left" vertical="center"/>
      <protection locked="0"/>
    </xf>
    <xf numFmtId="0" fontId="46" fillId="0" borderId="73" xfId="0" applyFont="1" applyBorder="1" applyAlignment="1" applyProtection="1">
      <alignment horizontal="left" vertical="center"/>
      <protection locked="0"/>
    </xf>
    <xf numFmtId="0" fontId="15" fillId="26" borderId="99" xfId="0" applyFont="1" applyFill="1" applyBorder="1" applyAlignment="1" applyProtection="1">
      <alignment horizontal="right" vertical="center" wrapText="1"/>
      <protection locked="0"/>
    </xf>
    <xf numFmtId="0" fontId="15" fillId="26" borderId="100" xfId="0" applyFont="1" applyFill="1" applyBorder="1" applyAlignment="1" applyProtection="1">
      <alignment horizontal="right" vertical="center" wrapText="1"/>
      <protection locked="0"/>
    </xf>
    <xf numFmtId="0" fontId="15" fillId="26" borderId="119" xfId="0" applyFont="1" applyFill="1" applyBorder="1" applyAlignment="1" applyProtection="1">
      <alignment horizontal="right" vertical="center" wrapText="1"/>
      <protection locked="0"/>
    </xf>
    <xf numFmtId="0" fontId="15" fillId="26" borderId="105" xfId="0" applyFont="1" applyFill="1" applyBorder="1" applyAlignment="1" applyProtection="1">
      <alignment horizontal="right" vertical="center" wrapText="1"/>
      <protection locked="0"/>
    </xf>
    <xf numFmtId="164" fontId="116" fillId="0" borderId="84" xfId="0" applyNumberFormat="1" applyFont="1" applyBorder="1" applyAlignment="1" applyProtection="1">
      <alignment horizontal="center" vertical="center"/>
      <protection locked="0"/>
    </xf>
    <xf numFmtId="164" fontId="116" fillId="0" borderId="44" xfId="0" applyNumberFormat="1" applyFont="1" applyBorder="1" applyAlignment="1" applyProtection="1">
      <alignment horizontal="center" vertical="center"/>
      <protection locked="0"/>
    </xf>
    <xf numFmtId="0" fontId="15" fillId="0" borderId="44" xfId="0" applyFont="1" applyBorder="1" applyAlignment="1" applyProtection="1">
      <alignment horizontal="center" vertical="center"/>
      <protection locked="0"/>
    </xf>
    <xf numFmtId="164" fontId="15" fillId="26" borderId="117" xfId="0" applyNumberFormat="1" applyFont="1" applyFill="1" applyBorder="1" applyAlignment="1" applyProtection="1">
      <alignment horizontal="center" vertical="center"/>
      <protection locked="0"/>
    </xf>
    <xf numFmtId="164" fontId="15" fillId="26" borderId="118" xfId="0" applyNumberFormat="1" applyFont="1" applyFill="1" applyBorder="1" applyAlignment="1" applyProtection="1">
      <alignment horizontal="center" vertical="center"/>
      <protection locked="0"/>
    </xf>
    <xf numFmtId="0" fontId="15" fillId="26" borderId="118" xfId="0" applyFont="1" applyFill="1" applyBorder="1" applyAlignment="1" applyProtection="1">
      <alignment horizontal="center" vertical="center"/>
      <protection locked="0"/>
    </xf>
    <xf numFmtId="164" fontId="116" fillId="0" borderId="67" xfId="0" applyNumberFormat="1" applyFont="1" applyBorder="1" applyAlignment="1" applyProtection="1">
      <alignment horizontal="center" vertical="center"/>
      <protection locked="0"/>
    </xf>
    <xf numFmtId="164" fontId="116" fillId="0" borderId="18" xfId="0" applyNumberFormat="1"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46" fillId="0" borderId="19" xfId="0" applyFont="1" applyBorder="1" applyAlignment="1" applyProtection="1">
      <alignment horizontal="left" vertical="center" wrapText="1"/>
      <protection locked="0"/>
    </xf>
    <xf numFmtId="0" fontId="46" fillId="0" borderId="66" xfId="0" applyFont="1" applyBorder="1" applyAlignment="1" applyProtection="1">
      <alignment horizontal="left" vertical="center" wrapText="1"/>
      <protection locked="0"/>
    </xf>
    <xf numFmtId="0" fontId="46" fillId="0" borderId="21" xfId="0" applyFont="1" applyBorder="1" applyAlignment="1" applyProtection="1">
      <alignment horizontal="left" vertical="center" wrapText="1"/>
      <protection locked="0"/>
    </xf>
    <xf numFmtId="164" fontId="46" fillId="0" borderId="65" xfId="0" quotePrefix="1" applyNumberFormat="1" applyFont="1" applyBorder="1" applyAlignment="1">
      <alignment horizontal="center" vertical="center"/>
    </xf>
    <xf numFmtId="164" fontId="46" fillId="0" borderId="67" xfId="0" quotePrefix="1" applyNumberFormat="1" applyFont="1" applyBorder="1" applyAlignment="1">
      <alignment horizontal="center" vertical="center"/>
    </xf>
    <xf numFmtId="0" fontId="46" fillId="0" borderId="16" xfId="0" applyFont="1" applyBorder="1" applyAlignment="1">
      <alignment horizontal="left" vertical="center" wrapText="1"/>
    </xf>
    <xf numFmtId="0" fontId="46" fillId="0" borderId="18" xfId="0" applyFont="1" applyBorder="1" applyAlignment="1">
      <alignment horizontal="left" vertical="center" wrapText="1"/>
    </xf>
    <xf numFmtId="0" fontId="3" fillId="26" borderId="0" xfId="47" applyFont="1" applyFill="1" applyAlignment="1">
      <alignment horizontal="left" vertical="center"/>
    </xf>
    <xf numFmtId="0" fontId="47" fillId="34" borderId="0" xfId="47" applyFont="1" applyFill="1" applyAlignment="1">
      <alignment horizontal="center" vertical="center"/>
    </xf>
    <xf numFmtId="0" fontId="138" fillId="26" borderId="152" xfId="0" applyFont="1" applyFill="1" applyBorder="1" applyAlignment="1">
      <alignment horizontal="center" vertical="center" wrapText="1"/>
    </xf>
    <xf numFmtId="0" fontId="138" fillId="26" borderId="142" xfId="0" applyFont="1" applyFill="1" applyBorder="1" applyAlignment="1">
      <alignment horizontal="center" vertical="center" wrapText="1"/>
    </xf>
    <xf numFmtId="0" fontId="138" fillId="26" borderId="151" xfId="0" applyFont="1" applyFill="1" applyBorder="1" applyAlignment="1">
      <alignment horizontal="center" vertical="center" wrapText="1"/>
    </xf>
    <xf numFmtId="0" fontId="138" fillId="26" borderId="42" xfId="0" applyFont="1" applyFill="1" applyBorder="1" applyAlignment="1">
      <alignment horizontal="center" vertical="center" wrapText="1"/>
    </xf>
    <xf numFmtId="0" fontId="138" fillId="26" borderId="43" xfId="0" applyFont="1" applyFill="1" applyBorder="1" applyAlignment="1">
      <alignment horizontal="center" vertical="center" wrapText="1"/>
    </xf>
    <xf numFmtId="0" fontId="138" fillId="28" borderId="152" xfId="0" applyFont="1" applyFill="1" applyBorder="1" applyAlignment="1">
      <alignment horizontal="center" vertical="center" wrapText="1"/>
    </xf>
    <xf numFmtId="0" fontId="138" fillId="28" borderId="43" xfId="0" applyFont="1" applyFill="1" applyBorder="1" applyAlignment="1">
      <alignment horizontal="center" vertical="center" wrapText="1"/>
    </xf>
    <xf numFmtId="2" fontId="46" fillId="0" borderId="12" xfId="42" quotePrefix="1" applyNumberFormat="1" applyFont="1" applyBorder="1" applyAlignment="1">
      <alignment horizontal="center" vertical="center" wrapText="1"/>
    </xf>
    <xf numFmtId="0" fontId="46" fillId="0" borderId="16" xfId="42" applyFont="1" applyBorder="1" applyAlignment="1">
      <alignment horizontal="left" vertical="center" wrapText="1"/>
    </xf>
    <xf numFmtId="0" fontId="46" fillId="0" borderId="17" xfId="42" applyFont="1" applyBorder="1" applyAlignment="1">
      <alignment horizontal="left" vertical="center" wrapText="1"/>
    </xf>
    <xf numFmtId="0" fontId="46" fillId="0" borderId="256" xfId="42" applyFont="1" applyBorder="1" applyAlignment="1">
      <alignment horizontal="left" vertical="center" wrapText="1"/>
    </xf>
    <xf numFmtId="164" fontId="123" fillId="0" borderId="90" xfId="42" applyNumberFormat="1" applyFont="1" applyBorder="1" applyAlignment="1" applyProtection="1">
      <alignment horizontal="center" vertical="center"/>
      <protection locked="0"/>
    </xf>
    <xf numFmtId="164" fontId="123" fillId="0" borderId="87" xfId="42" applyNumberFormat="1" applyFont="1" applyBorder="1" applyAlignment="1" applyProtection="1">
      <alignment horizontal="center" vertical="center"/>
      <protection locked="0"/>
    </xf>
    <xf numFmtId="0" fontId="15" fillId="0" borderId="93" xfId="42" applyFont="1" applyBorder="1" applyAlignment="1" applyProtection="1">
      <alignment horizontal="center" vertical="center"/>
      <protection locked="0"/>
    </xf>
    <xf numFmtId="0" fontId="15" fillId="0" borderId="94" xfId="42" applyFont="1" applyBorder="1" applyAlignment="1" applyProtection="1">
      <alignment horizontal="center" vertical="center"/>
      <protection locked="0"/>
    </xf>
    <xf numFmtId="0" fontId="15" fillId="0" borderId="87" xfId="42" applyFont="1" applyBorder="1" applyAlignment="1" applyProtection="1">
      <alignment horizontal="center" vertical="center"/>
      <protection locked="0"/>
    </xf>
    <xf numFmtId="0" fontId="15" fillId="0" borderId="97" xfId="42" applyFont="1" applyBorder="1" applyAlignment="1">
      <alignment horizontal="center" vertical="center" wrapText="1"/>
    </xf>
    <xf numFmtId="0" fontId="15" fillId="0" borderId="82" xfId="42" applyFont="1" applyBorder="1" applyAlignment="1">
      <alignment horizontal="center" vertical="center" wrapText="1"/>
    </xf>
    <xf numFmtId="0" fontId="15" fillId="0" borderId="96" xfId="42" applyFont="1" applyBorder="1" applyAlignment="1">
      <alignment horizontal="center" vertical="center" wrapText="1"/>
    </xf>
    <xf numFmtId="0" fontId="120" fillId="30" borderId="140" xfId="42" applyFont="1" applyFill="1" applyBorder="1" applyAlignment="1">
      <alignment horizontal="center" vertical="center"/>
    </xf>
    <xf numFmtId="0" fontId="120" fillId="30" borderId="143" xfId="42" applyFont="1" applyFill="1" applyBorder="1" applyAlignment="1">
      <alignment horizontal="center" vertical="center"/>
    </xf>
    <xf numFmtId="0" fontId="120" fillId="30" borderId="141" xfId="42" applyFont="1" applyFill="1" applyBorder="1" applyAlignment="1">
      <alignment horizontal="center" vertical="center"/>
    </xf>
    <xf numFmtId="164" fontId="15" fillId="31" borderId="132" xfId="42" applyNumberFormat="1" applyFont="1" applyFill="1" applyBorder="1" applyAlignment="1">
      <alignment horizontal="center" vertical="center"/>
    </xf>
    <xf numFmtId="164" fontId="15" fillId="31" borderId="133" xfId="42" applyNumberFormat="1" applyFont="1" applyFill="1" applyBorder="1" applyAlignment="1">
      <alignment horizontal="center" vertical="center"/>
    </xf>
    <xf numFmtId="0" fontId="15" fillId="31" borderId="124" xfId="42" applyFont="1" applyFill="1" applyBorder="1" applyAlignment="1">
      <alignment horizontal="center" vertical="center"/>
    </xf>
    <xf numFmtId="0" fontId="15" fillId="31" borderId="92" xfId="42" applyFont="1" applyFill="1" applyBorder="1" applyAlignment="1">
      <alignment horizontal="center" vertical="center"/>
    </xf>
    <xf numFmtId="0" fontId="15" fillId="31" borderId="133" xfId="42" applyFont="1" applyFill="1" applyBorder="1" applyAlignment="1">
      <alignment horizontal="center" vertical="center"/>
    </xf>
    <xf numFmtId="164" fontId="123" fillId="0" borderId="89" xfId="42" applyNumberFormat="1" applyFont="1" applyBorder="1" applyAlignment="1" applyProtection="1">
      <alignment horizontal="center" vertical="center"/>
      <protection locked="0"/>
    </xf>
    <xf numFmtId="164" fontId="123" fillId="0" borderId="85" xfId="42" applyNumberFormat="1" applyFont="1" applyBorder="1" applyAlignment="1" applyProtection="1">
      <alignment horizontal="center" vertical="center"/>
      <protection locked="0"/>
    </xf>
    <xf numFmtId="0" fontId="15" fillId="0" borderId="86" xfId="42" applyFont="1" applyBorder="1" applyAlignment="1" applyProtection="1">
      <alignment horizontal="center" vertical="center"/>
      <protection locked="0"/>
    </xf>
    <xf numFmtId="0" fontId="15" fillId="0" borderId="91" xfId="42" applyFont="1" applyBorder="1" applyAlignment="1" applyProtection="1">
      <alignment horizontal="center" vertical="center"/>
      <protection locked="0"/>
    </xf>
    <xf numFmtId="0" fontId="15" fillId="0" borderId="85" xfId="42" applyFont="1" applyBorder="1" applyAlignment="1" applyProtection="1">
      <alignment horizontal="center" vertical="center"/>
      <protection locked="0"/>
    </xf>
    <xf numFmtId="0" fontId="120" fillId="30" borderId="73" xfId="42" applyFont="1" applyFill="1" applyBorder="1" applyAlignment="1">
      <alignment horizontal="center" vertical="top" wrapText="1"/>
    </xf>
    <xf numFmtId="0" fontId="120" fillId="30" borderId="0" xfId="42" applyFont="1" applyFill="1" applyAlignment="1">
      <alignment horizontal="center" vertical="top" wrapText="1"/>
    </xf>
    <xf numFmtId="0" fontId="120" fillId="30" borderId="88" xfId="42" applyFont="1" applyFill="1" applyBorder="1" applyAlignment="1">
      <alignment horizontal="center" vertical="top" wrapText="1"/>
    </xf>
    <xf numFmtId="0" fontId="119" fillId="30" borderId="98" xfId="42" applyFont="1" applyFill="1" applyBorder="1" applyAlignment="1" applyProtection="1">
      <alignment horizontal="left" vertical="top" wrapText="1"/>
      <protection locked="0"/>
    </xf>
    <xf numFmtId="0" fontId="119" fillId="30" borderId="73" xfId="42" applyFont="1" applyFill="1" applyBorder="1" applyAlignment="1" applyProtection="1">
      <alignment horizontal="left" vertical="top" wrapText="1"/>
      <protection locked="0"/>
    </xf>
    <xf numFmtId="0" fontId="119" fillId="30" borderId="13" xfId="42" applyFont="1" applyFill="1" applyBorder="1" applyAlignment="1" applyProtection="1">
      <alignment horizontal="left" vertical="top" wrapText="1"/>
      <protection locked="0"/>
    </xf>
    <xf numFmtId="0" fontId="119" fillId="30" borderId="0" xfId="42" applyFont="1" applyFill="1" applyAlignment="1" applyProtection="1">
      <alignment horizontal="left" vertical="top" wrapText="1"/>
      <protection locked="0"/>
    </xf>
    <xf numFmtId="0" fontId="119" fillId="30" borderId="95" xfId="42" applyFont="1" applyFill="1" applyBorder="1" applyAlignment="1" applyProtection="1">
      <alignment horizontal="left" vertical="top" wrapText="1"/>
      <protection locked="0"/>
    </xf>
    <xf numFmtId="0" fontId="119" fillId="30" borderId="88" xfId="42" applyFont="1" applyFill="1" applyBorder="1" applyAlignment="1" applyProtection="1">
      <alignment horizontal="left" vertical="top" wrapText="1"/>
      <protection locked="0"/>
    </xf>
    <xf numFmtId="0" fontId="15" fillId="26" borderId="19" xfId="42" applyFont="1" applyFill="1" applyBorder="1" applyAlignment="1">
      <alignment horizontal="center" vertical="center"/>
    </xf>
    <xf numFmtId="0" fontId="15" fillId="26" borderId="66" xfId="42" applyFont="1" applyFill="1" applyBorder="1" applyAlignment="1">
      <alignment horizontal="center" vertical="center"/>
    </xf>
    <xf numFmtId="0" fontId="15" fillId="26" borderId="21" xfId="42" applyFont="1" applyFill="1" applyBorder="1" applyAlignment="1">
      <alignment horizontal="center" vertical="center"/>
    </xf>
    <xf numFmtId="164" fontId="46" fillId="0" borderId="151" xfId="42" quotePrefix="1" applyNumberFormat="1" applyFont="1" applyBorder="1" applyAlignment="1">
      <alignment horizontal="center" vertical="center" wrapText="1"/>
    </xf>
    <xf numFmtId="164" fontId="46" fillId="0" borderId="79" xfId="42" quotePrefix="1" applyNumberFormat="1" applyFont="1" applyBorder="1" applyAlignment="1">
      <alignment horizontal="center" vertical="center" wrapText="1"/>
    </xf>
    <xf numFmtId="164" fontId="46" fillId="0" borderId="67" xfId="42" quotePrefix="1" applyNumberFormat="1" applyFont="1" applyBorder="1" applyAlignment="1">
      <alignment horizontal="center" vertical="center" wrapText="1"/>
    </xf>
    <xf numFmtId="0" fontId="46" fillId="0" borderId="152" xfId="42" applyFont="1" applyBorder="1" applyAlignment="1">
      <alignment horizontal="left" vertical="center" wrapText="1"/>
    </xf>
    <xf numFmtId="0" fontId="13" fillId="0" borderId="140" xfId="42" applyFont="1" applyBorder="1" applyAlignment="1">
      <alignment horizontal="left" vertical="top" wrapText="1"/>
    </xf>
    <xf numFmtId="0" fontId="13" fillId="0" borderId="143" xfId="42" applyFont="1" applyBorder="1" applyAlignment="1">
      <alignment horizontal="left" vertical="top" wrapText="1"/>
    </xf>
    <xf numFmtId="164" fontId="46" fillId="0" borderId="12" xfId="42" quotePrefix="1" applyNumberFormat="1" applyFont="1" applyBorder="1" applyAlignment="1">
      <alignment horizontal="center" vertical="center" wrapText="1"/>
    </xf>
    <xf numFmtId="164" fontId="46" fillId="0" borderId="65" xfId="42" quotePrefix="1" applyNumberFormat="1" applyFont="1" applyBorder="1" applyAlignment="1">
      <alignment horizontal="center" vertical="center" wrapText="1"/>
    </xf>
    <xf numFmtId="0" fontId="15" fillId="31" borderId="151" xfId="42" applyFont="1" applyFill="1" applyBorder="1" applyAlignment="1">
      <alignment horizontal="center" vertical="center" wrapText="1"/>
    </xf>
    <xf numFmtId="0" fontId="15" fillId="31" borderId="67" xfId="42" applyFont="1" applyFill="1" applyBorder="1" applyAlignment="1">
      <alignment horizontal="center" vertical="center" wrapText="1"/>
    </xf>
    <xf numFmtId="0" fontId="15" fillId="31" borderId="152" xfId="42" applyFont="1" applyFill="1" applyBorder="1" applyAlignment="1">
      <alignment horizontal="center" vertical="center"/>
    </xf>
    <xf numFmtId="0" fontId="15" fillId="31" borderId="256" xfId="42" applyFont="1" applyFill="1" applyBorder="1" applyAlignment="1">
      <alignment horizontal="center" vertical="center"/>
    </xf>
    <xf numFmtId="0" fontId="15" fillId="31" borderId="86" xfId="42" applyFont="1" applyFill="1" applyBorder="1" applyAlignment="1">
      <alignment horizontal="center" vertical="center" wrapText="1"/>
    </xf>
    <xf numFmtId="0" fontId="15" fillId="31" borderId="91" xfId="42" applyFont="1" applyFill="1" applyBorder="1" applyAlignment="1">
      <alignment horizontal="center" vertical="center" wrapText="1"/>
    </xf>
    <xf numFmtId="0" fontId="15" fillId="31" borderId="85" xfId="42" applyFont="1" applyFill="1" applyBorder="1" applyAlignment="1">
      <alignment horizontal="center" vertical="center" wrapText="1"/>
    </xf>
    <xf numFmtId="0" fontId="46" fillId="0" borderId="256" xfId="42" applyFont="1" applyBorder="1" applyAlignment="1" applyProtection="1">
      <alignment horizontal="center" vertical="center"/>
      <protection locked="0"/>
    </xf>
    <xf numFmtId="0" fontId="46" fillId="0" borderId="64" xfId="42" applyFont="1" applyBorder="1" applyAlignment="1" applyProtection="1">
      <alignment horizontal="center" vertical="center"/>
      <protection locked="0"/>
    </xf>
    <xf numFmtId="0" fontId="46" fillId="0" borderId="12" xfId="42" applyFont="1" applyBorder="1" applyAlignment="1" applyProtection="1">
      <alignment horizontal="center" vertical="center"/>
      <protection locked="0"/>
    </xf>
    <xf numFmtId="0" fontId="46" fillId="0" borderId="15" xfId="42" applyFont="1" applyBorder="1" applyAlignment="1" applyProtection="1">
      <alignment horizontal="center" vertical="center"/>
      <protection locked="0"/>
    </xf>
    <xf numFmtId="2" fontId="46" fillId="0" borderId="65" xfId="42" quotePrefix="1" applyNumberFormat="1" applyFont="1" applyBorder="1" applyAlignment="1">
      <alignment horizontal="center" vertical="center" wrapText="1"/>
    </xf>
    <xf numFmtId="2" fontId="46" fillId="0" borderId="79" xfId="42" quotePrefix="1" applyNumberFormat="1" applyFont="1" applyBorder="1" applyAlignment="1">
      <alignment horizontal="center" vertical="center" wrapText="1"/>
    </xf>
    <xf numFmtId="2" fontId="46" fillId="0" borderId="67" xfId="42" quotePrefix="1" applyNumberFormat="1" applyFont="1" applyBorder="1" applyAlignment="1">
      <alignment horizontal="center" vertical="center" wrapText="1"/>
    </xf>
    <xf numFmtId="0" fontId="15" fillId="26" borderId="12" xfId="42" applyFont="1" applyFill="1" applyBorder="1" applyAlignment="1">
      <alignment horizontal="center" vertical="center"/>
    </xf>
    <xf numFmtId="164" fontId="46" fillId="0" borderId="16" xfId="42" quotePrefix="1" applyNumberFormat="1" applyFont="1" applyBorder="1" applyAlignment="1">
      <alignment horizontal="center" vertical="center" wrapText="1"/>
    </xf>
    <xf numFmtId="164" fontId="46" fillId="0" borderId="256" xfId="42" quotePrefix="1" applyNumberFormat="1" applyFont="1" applyBorder="1" applyAlignment="1">
      <alignment horizontal="center" vertical="center" wrapText="1"/>
    </xf>
    <xf numFmtId="0" fontId="15" fillId="26" borderId="16" xfId="42" applyFont="1" applyFill="1" applyBorder="1" applyAlignment="1">
      <alignment horizontal="center" vertical="center"/>
    </xf>
    <xf numFmtId="0" fontId="13" fillId="31" borderId="12" xfId="42" applyFont="1" applyFill="1" applyBorder="1" applyAlignment="1">
      <alignment horizontal="center" vertical="center" wrapText="1"/>
    </xf>
    <xf numFmtId="0" fontId="13" fillId="31" borderId="16" xfId="42" applyFont="1" applyFill="1" applyBorder="1" applyAlignment="1">
      <alignment horizontal="center" vertical="center" wrapText="1"/>
    </xf>
    <xf numFmtId="0" fontId="15" fillId="31" borderId="13" xfId="42" applyFont="1" applyFill="1" applyBorder="1" applyAlignment="1">
      <alignment horizontal="right" vertical="center" wrapText="1"/>
    </xf>
    <xf numFmtId="0" fontId="15" fillId="31" borderId="0" xfId="42" applyFont="1" applyFill="1" applyAlignment="1">
      <alignment horizontal="right" vertical="center" wrapText="1"/>
    </xf>
    <xf numFmtId="0" fontId="15" fillId="31" borderId="102" xfId="42" applyFont="1" applyFill="1" applyBorder="1" applyAlignment="1">
      <alignment horizontal="right" vertical="center" wrapText="1"/>
    </xf>
    <xf numFmtId="0" fontId="15" fillId="31" borderId="12" xfId="42" applyFont="1" applyFill="1" applyBorder="1" applyAlignment="1">
      <alignment horizontal="center" vertical="center" wrapText="1"/>
    </xf>
    <xf numFmtId="0" fontId="15" fillId="31" borderId="16" xfId="42" applyFont="1" applyFill="1" applyBorder="1" applyAlignment="1">
      <alignment horizontal="center" vertical="center" wrapText="1"/>
    </xf>
    <xf numFmtId="0" fontId="15" fillId="26" borderId="132" xfId="42" applyFont="1" applyFill="1" applyBorder="1" applyAlignment="1" applyProtection="1">
      <alignment horizontal="right" vertical="center" wrapText="1"/>
      <protection locked="0"/>
    </xf>
    <xf numFmtId="0" fontId="15" fillId="26" borderId="92" xfId="42" applyFont="1" applyFill="1" applyBorder="1" applyAlignment="1" applyProtection="1">
      <alignment horizontal="right" vertical="center" wrapText="1"/>
      <protection locked="0"/>
    </xf>
    <xf numFmtId="0" fontId="15" fillId="26" borderId="133" xfId="42" applyFont="1" applyFill="1" applyBorder="1" applyAlignment="1" applyProtection="1">
      <alignment horizontal="right" vertical="center" wrapText="1"/>
      <protection locked="0"/>
    </xf>
    <xf numFmtId="0" fontId="46" fillId="0" borderId="44" xfId="42" applyFont="1" applyBorder="1" applyAlignment="1" applyProtection="1">
      <alignment horizontal="center" vertical="center"/>
      <protection locked="0"/>
    </xf>
    <xf numFmtId="0" fontId="46" fillId="0" borderId="45" xfId="42" applyFont="1" applyBorder="1" applyAlignment="1" applyProtection="1">
      <alignment horizontal="center" vertical="center"/>
      <protection locked="0"/>
    </xf>
    <xf numFmtId="0" fontId="15" fillId="31" borderId="132" xfId="42" applyFont="1" applyFill="1" applyBorder="1" applyAlignment="1">
      <alignment horizontal="right" vertical="center" wrapText="1"/>
    </xf>
    <xf numFmtId="0" fontId="15" fillId="31" borderId="92" xfId="42" applyFont="1" applyFill="1" applyBorder="1" applyAlignment="1">
      <alignment horizontal="right" vertical="center" wrapText="1"/>
    </xf>
    <xf numFmtId="0" fontId="15" fillId="31" borderId="133" xfId="42" applyFont="1" applyFill="1" applyBorder="1" applyAlignment="1">
      <alignment horizontal="right" vertical="center" wrapText="1"/>
    </xf>
    <xf numFmtId="2" fontId="46" fillId="0" borderId="65" xfId="42" applyNumberFormat="1" applyFont="1" applyBorder="1" applyAlignment="1">
      <alignment horizontal="center" vertical="center" wrapText="1"/>
    </xf>
    <xf numFmtId="2" fontId="46" fillId="0" borderId="67" xfId="42" applyNumberFormat="1" applyFont="1" applyBorder="1" applyAlignment="1">
      <alignment horizontal="center" vertical="center" wrapText="1"/>
    </xf>
    <xf numFmtId="2" fontId="46" fillId="0" borderId="12" xfId="42" applyNumberFormat="1" applyFont="1" applyBorder="1" applyAlignment="1">
      <alignment horizontal="center" vertical="center" wrapText="1"/>
    </xf>
    <xf numFmtId="0" fontId="15" fillId="0" borderId="140" xfId="42" applyFont="1" applyBorder="1" applyAlignment="1">
      <alignment horizontal="left" vertical="top" wrapText="1"/>
    </xf>
    <xf numFmtId="0" fontId="15" fillId="0" borderId="143" xfId="42" applyFont="1" applyBorder="1" applyAlignment="1">
      <alignment horizontal="left" vertical="top" wrapText="1"/>
    </xf>
    <xf numFmtId="0" fontId="15" fillId="0" borderId="141" xfId="42" applyFont="1" applyBorder="1" applyAlignment="1">
      <alignment horizontal="left" vertical="top" wrapText="1"/>
    </xf>
    <xf numFmtId="0" fontId="15" fillId="31" borderId="127" xfId="42" applyFont="1" applyFill="1" applyBorder="1" applyAlignment="1">
      <alignment horizontal="right" vertical="center" wrapText="1"/>
    </xf>
    <xf numFmtId="0" fontId="15" fillId="26" borderId="118" xfId="42" applyFont="1" applyFill="1" applyBorder="1" applyAlignment="1" applyProtection="1">
      <alignment horizontal="center" vertical="center" wrapText="1"/>
      <protection locked="0"/>
    </xf>
    <xf numFmtId="0" fontId="15" fillId="26" borderId="106" xfId="42" applyFont="1" applyFill="1" applyBorder="1" applyAlignment="1" applyProtection="1">
      <alignment horizontal="center" vertical="center" wrapText="1"/>
      <protection locked="0"/>
    </xf>
    <xf numFmtId="0" fontId="15" fillId="0" borderId="140" xfId="42" applyFont="1" applyBorder="1" applyAlignment="1">
      <alignment horizontal="center" vertical="center" wrapText="1"/>
    </xf>
    <xf numFmtId="0" fontId="15" fillId="0" borderId="143" xfId="42" applyFont="1" applyBorder="1" applyAlignment="1">
      <alignment horizontal="center" vertical="center" wrapText="1"/>
    </xf>
    <xf numFmtId="0" fontId="15" fillId="0" borderId="141" xfId="42" applyFont="1" applyBorder="1" applyAlignment="1">
      <alignment horizontal="center" vertical="center" wrapText="1"/>
    </xf>
    <xf numFmtId="164" fontId="15" fillId="31" borderId="117" xfId="42" applyNumberFormat="1" applyFont="1" applyFill="1" applyBorder="1" applyAlignment="1">
      <alignment horizontal="center" vertical="center"/>
    </xf>
    <xf numFmtId="164" fontId="15" fillId="31" borderId="118" xfId="42" applyNumberFormat="1" applyFont="1" applyFill="1" applyBorder="1" applyAlignment="1">
      <alignment horizontal="center" vertical="center"/>
    </xf>
    <xf numFmtId="0" fontId="15" fillId="31" borderId="118" xfId="42" applyFont="1" applyFill="1" applyBorder="1" applyAlignment="1">
      <alignment horizontal="center" vertical="center"/>
    </xf>
    <xf numFmtId="164" fontId="123" fillId="0" borderId="83" xfId="42" applyNumberFormat="1" applyFont="1" applyBorder="1" applyAlignment="1" applyProtection="1">
      <alignment horizontal="center" vertical="center"/>
      <protection locked="0"/>
    </xf>
    <xf numFmtId="164" fontId="123" fillId="0" borderId="75" xfId="42" applyNumberFormat="1" applyFont="1" applyBorder="1" applyAlignment="1" applyProtection="1">
      <alignment horizontal="center" vertical="center"/>
      <protection locked="0"/>
    </xf>
    <xf numFmtId="0" fontId="15" fillId="0" borderId="75" xfId="42" applyFont="1" applyBorder="1" applyAlignment="1" applyProtection="1">
      <alignment horizontal="center" vertical="center"/>
      <protection locked="0"/>
    </xf>
    <xf numFmtId="164" fontId="123" fillId="0" borderId="84" xfId="42" applyNumberFormat="1" applyFont="1" applyBorder="1" applyAlignment="1" applyProtection="1">
      <alignment horizontal="center" vertical="center"/>
      <protection locked="0"/>
    </xf>
    <xf numFmtId="164" fontId="123" fillId="0" borderId="44" xfId="42" applyNumberFormat="1" applyFont="1" applyBorder="1" applyAlignment="1" applyProtection="1">
      <alignment horizontal="center" vertical="center"/>
      <protection locked="0"/>
    </xf>
    <xf numFmtId="0" fontId="15" fillId="0" borderId="44" xfId="42" applyFont="1" applyBorder="1" applyAlignment="1" applyProtection="1">
      <alignment horizontal="center" vertical="center"/>
      <protection locked="0"/>
    </xf>
    <xf numFmtId="0" fontId="13" fillId="31" borderId="63" xfId="42" applyFont="1" applyFill="1" applyBorder="1" applyAlignment="1">
      <alignment horizontal="center" vertical="center" wrapText="1"/>
    </xf>
    <xf numFmtId="0" fontId="13" fillId="31" borderId="121" xfId="42" applyFont="1" applyFill="1" applyBorder="1" applyAlignment="1">
      <alignment horizontal="center" vertical="center" wrapText="1"/>
    </xf>
    <xf numFmtId="0" fontId="15" fillId="31" borderId="43" xfId="42" applyFont="1" applyFill="1" applyBorder="1" applyAlignment="1">
      <alignment horizontal="center" vertical="center" wrapText="1"/>
    </xf>
    <xf numFmtId="0" fontId="15" fillId="26" borderId="37" xfId="42" applyFont="1" applyFill="1" applyBorder="1" applyAlignment="1" applyProtection="1">
      <alignment horizontal="center" vertical="center"/>
      <protection locked="0"/>
    </xf>
    <xf numFmtId="0" fontId="15" fillId="26" borderId="77" xfId="42" applyFont="1" applyFill="1" applyBorder="1" applyAlignment="1" applyProtection="1">
      <alignment horizontal="center" vertical="center"/>
      <protection locked="0"/>
    </xf>
    <xf numFmtId="0" fontId="15" fillId="26" borderId="103" xfId="42" applyFont="1" applyFill="1" applyBorder="1" applyAlignment="1" applyProtection="1">
      <alignment horizontal="center" vertical="center"/>
      <protection locked="0"/>
    </xf>
    <xf numFmtId="0" fontId="15" fillId="26" borderId="37" xfId="42" applyFont="1" applyFill="1" applyBorder="1" applyAlignment="1">
      <alignment horizontal="center" vertical="center"/>
    </xf>
    <xf numFmtId="0" fontId="15" fillId="26" borderId="77" xfId="42" applyFont="1" applyFill="1" applyBorder="1" applyAlignment="1">
      <alignment horizontal="center" vertical="center"/>
    </xf>
    <xf numFmtId="0" fontId="15" fillId="26" borderId="103" xfId="42" applyFont="1" applyFill="1" applyBorder="1" applyAlignment="1">
      <alignment horizontal="center" vertical="center"/>
    </xf>
    <xf numFmtId="0" fontId="46" fillId="0" borderId="83" xfId="42" applyFont="1" applyBorder="1" applyAlignment="1">
      <alignment horizontal="center" vertical="center" wrapText="1"/>
    </xf>
    <xf numFmtId="0" fontId="46" fillId="0" borderId="11" xfId="42" applyFont="1" applyBorder="1" applyAlignment="1">
      <alignment horizontal="center" vertical="center" wrapText="1"/>
    </xf>
    <xf numFmtId="0" fontId="13" fillId="0" borderId="141" xfId="42" applyFont="1" applyBorder="1" applyAlignment="1">
      <alignment horizontal="left" vertical="top" wrapText="1"/>
    </xf>
    <xf numFmtId="0" fontId="46" fillId="0" borderId="256" xfId="42" applyFont="1" applyBorder="1" applyAlignment="1" applyProtection="1">
      <alignment horizontal="center" vertical="center" wrapText="1"/>
      <protection locked="0"/>
    </xf>
    <xf numFmtId="0" fontId="46" fillId="0" borderId="12" xfId="42" applyFont="1" applyBorder="1" applyAlignment="1" applyProtection="1">
      <alignment horizontal="center" vertical="center" wrapText="1"/>
      <protection locked="0"/>
    </xf>
    <xf numFmtId="0" fontId="46" fillId="0" borderId="65" xfId="42" applyFont="1" applyBorder="1" applyAlignment="1">
      <alignment horizontal="center" vertical="center" wrapText="1"/>
    </xf>
    <xf numFmtId="0" fontId="46" fillId="0" borderId="79" xfId="42" applyFont="1" applyBorder="1" applyAlignment="1">
      <alignment horizontal="center" vertical="center" wrapText="1"/>
    </xf>
    <xf numFmtId="0" fontId="46" fillId="0" borderId="67" xfId="42" applyFont="1" applyBorder="1" applyAlignment="1">
      <alignment horizontal="center" vertical="center" wrapText="1"/>
    </xf>
    <xf numFmtId="0" fontId="46" fillId="0" borderId="16" xfId="42" applyFont="1" applyBorder="1" applyAlignment="1" applyProtection="1">
      <alignment horizontal="center" vertical="center" wrapText="1"/>
      <protection locked="0"/>
    </xf>
    <xf numFmtId="0" fontId="46" fillId="0" borderId="17" xfId="42" applyFont="1" applyBorder="1" applyAlignment="1" applyProtection="1">
      <alignment horizontal="center" vertical="center" wrapText="1"/>
      <protection locked="0"/>
    </xf>
    <xf numFmtId="0" fontId="15" fillId="31" borderId="83" xfId="42" applyFont="1" applyFill="1" applyBorder="1" applyAlignment="1">
      <alignment horizontal="center" vertical="center" wrapText="1"/>
    </xf>
    <xf numFmtId="0" fontId="15" fillId="31" borderId="11" xfId="42" applyFont="1" applyFill="1" applyBorder="1" applyAlignment="1">
      <alignment horizontal="center" vertical="center" wrapText="1"/>
    </xf>
    <xf numFmtId="0" fontId="15" fillId="31" borderId="75" xfId="42" applyFont="1" applyFill="1" applyBorder="1" applyAlignment="1">
      <alignment horizontal="center" vertical="center"/>
    </xf>
    <xf numFmtId="0" fontId="15" fillId="31" borderId="12" xfId="42" applyFont="1" applyFill="1" applyBorder="1" applyAlignment="1">
      <alignment horizontal="center" vertical="center"/>
    </xf>
    <xf numFmtId="0" fontId="15" fillId="31" borderId="75" xfId="42" applyFont="1" applyFill="1" applyBorder="1" applyAlignment="1">
      <alignment horizontal="center" vertical="center" wrapText="1"/>
    </xf>
    <xf numFmtId="0" fontId="15" fillId="0" borderId="0" xfId="42" applyFont="1" applyAlignment="1" applyProtection="1">
      <alignment horizontal="center" vertical="center"/>
      <protection locked="0"/>
    </xf>
    <xf numFmtId="0" fontId="15" fillId="26" borderId="16" xfId="42" applyFont="1" applyFill="1" applyBorder="1" applyAlignment="1" applyProtection="1">
      <alignment horizontal="center" vertical="center"/>
      <protection locked="0"/>
    </xf>
    <xf numFmtId="0" fontId="15" fillId="26" borderId="256" xfId="42" applyFont="1" applyFill="1" applyBorder="1" applyAlignment="1" applyProtection="1">
      <alignment horizontal="center" vertical="center"/>
      <protection locked="0"/>
    </xf>
    <xf numFmtId="0" fontId="46" fillId="0" borderId="16" xfId="42" applyFont="1" applyBorder="1" applyAlignment="1">
      <alignment horizontal="center" vertical="center" wrapText="1"/>
    </xf>
    <xf numFmtId="0" fontId="46" fillId="0" borderId="256" xfId="42" applyFont="1" applyBorder="1" applyAlignment="1">
      <alignment horizontal="center" vertical="center" wrapText="1"/>
    </xf>
    <xf numFmtId="2" fontId="46" fillId="0" borderId="16" xfId="42" quotePrefix="1" applyNumberFormat="1" applyFont="1" applyBorder="1" applyAlignment="1" applyProtection="1">
      <alignment horizontal="center" vertical="center"/>
      <protection locked="0"/>
    </xf>
    <xf numFmtId="2" fontId="46" fillId="0" borderId="256" xfId="42" quotePrefix="1" applyNumberFormat="1" applyFont="1" applyBorder="1" applyAlignment="1" applyProtection="1">
      <alignment horizontal="center" vertical="center"/>
      <protection locked="0"/>
    </xf>
    <xf numFmtId="164" fontId="46" fillId="0" borderId="11" xfId="42" quotePrefix="1" applyNumberFormat="1" applyFont="1" applyBorder="1" applyAlignment="1">
      <alignment horizontal="center" vertical="center"/>
    </xf>
    <xf numFmtId="164" fontId="46" fillId="0" borderId="16" xfId="42" quotePrefix="1" applyNumberFormat="1" applyFont="1" applyBorder="1" applyAlignment="1" applyProtection="1">
      <alignment horizontal="center" vertical="center"/>
      <protection locked="0"/>
    </xf>
    <xf numFmtId="164" fontId="46" fillId="0" borderId="17" xfId="42" quotePrefix="1" applyNumberFormat="1" applyFont="1" applyBorder="1" applyAlignment="1" applyProtection="1">
      <alignment horizontal="center" vertical="center"/>
      <protection locked="0"/>
    </xf>
    <xf numFmtId="164" fontId="46" fillId="0" borderId="79" xfId="42" quotePrefix="1" applyNumberFormat="1" applyFont="1" applyBorder="1" applyAlignment="1">
      <alignment horizontal="center" vertical="center"/>
    </xf>
    <xf numFmtId="164" fontId="46" fillId="0" borderId="67" xfId="42" quotePrefix="1" applyNumberFormat="1" applyFont="1" applyBorder="1" applyAlignment="1">
      <alignment horizontal="center" vertical="center"/>
    </xf>
    <xf numFmtId="164" fontId="46" fillId="0" borderId="12" xfId="42" quotePrefix="1" applyNumberFormat="1" applyFont="1" applyBorder="1" applyAlignment="1" applyProtection="1">
      <alignment horizontal="center" vertical="center"/>
      <protection locked="0"/>
    </xf>
    <xf numFmtId="164" fontId="46" fillId="0" borderId="65" xfId="42" quotePrefix="1" applyNumberFormat="1" applyFont="1" applyBorder="1" applyAlignment="1">
      <alignment horizontal="center" vertical="center"/>
    </xf>
    <xf numFmtId="164" fontId="46" fillId="0" borderId="256" xfId="42" quotePrefix="1" applyNumberFormat="1" applyFont="1" applyBorder="1" applyAlignment="1" applyProtection="1">
      <alignment horizontal="center" vertical="center"/>
      <protection locked="0"/>
    </xf>
    <xf numFmtId="0" fontId="15" fillId="31" borderId="95" xfId="42" applyFont="1" applyFill="1" applyBorder="1" applyAlignment="1">
      <alignment horizontal="right" vertical="center" wrapText="1"/>
    </xf>
    <xf numFmtId="0" fontId="15" fillId="31" borderId="88" xfId="42" applyFont="1" applyFill="1" applyBorder="1" applyAlignment="1">
      <alignment horizontal="right" vertical="center" wrapText="1"/>
    </xf>
    <xf numFmtId="2" fontId="46" fillId="0" borderId="65" xfId="42" quotePrefix="1" applyNumberFormat="1" applyFont="1" applyBorder="1" applyAlignment="1">
      <alignment horizontal="center" vertical="center"/>
    </xf>
    <xf numFmtId="2" fontId="46" fillId="0" borderId="79" xfId="42" quotePrefix="1" applyNumberFormat="1" applyFont="1" applyBorder="1" applyAlignment="1">
      <alignment horizontal="center" vertical="center"/>
    </xf>
    <xf numFmtId="2" fontId="46" fillId="0" borderId="67" xfId="42" quotePrefix="1" applyNumberFormat="1" applyFont="1" applyBorder="1" applyAlignment="1">
      <alignment horizontal="center" vertical="center"/>
    </xf>
    <xf numFmtId="2" fontId="46" fillId="0" borderId="12" xfId="42" quotePrefix="1" applyNumberFormat="1" applyFont="1" applyBorder="1" applyAlignment="1" applyProtection="1">
      <alignment horizontal="center" vertical="center"/>
      <protection locked="0"/>
    </xf>
    <xf numFmtId="2" fontId="46" fillId="0" borderId="17" xfId="42" quotePrefix="1" applyNumberFormat="1" applyFont="1" applyBorder="1" applyAlignment="1" applyProtection="1">
      <alignment horizontal="center" vertical="center"/>
      <protection locked="0"/>
    </xf>
    <xf numFmtId="0" fontId="15" fillId="0" borderId="140" xfId="42" applyFont="1" applyBorder="1" applyAlignment="1">
      <alignment horizontal="left" vertical="center" wrapText="1"/>
    </xf>
    <xf numFmtId="0" fontId="15" fillId="0" borderId="143" xfId="42" applyFont="1" applyBorder="1" applyAlignment="1">
      <alignment horizontal="left" vertical="center" wrapText="1"/>
    </xf>
    <xf numFmtId="0" fontId="46" fillId="0" borderId="12" xfId="42" applyFont="1" applyBorder="1" applyAlignment="1">
      <alignment horizontal="left" vertical="center" wrapText="1"/>
    </xf>
    <xf numFmtId="2" fontId="46" fillId="0" borderId="16" xfId="42" quotePrefix="1" applyNumberFormat="1" applyFont="1" applyBorder="1" applyAlignment="1">
      <alignment horizontal="center" vertical="center" wrapText="1"/>
    </xf>
    <xf numFmtId="2" fontId="46" fillId="0" borderId="256" xfId="42" quotePrefix="1" applyNumberFormat="1" applyFont="1" applyBorder="1" applyAlignment="1">
      <alignment horizontal="center" vertical="center" wrapText="1"/>
    </xf>
    <xf numFmtId="0" fontId="15" fillId="31" borderId="42" xfId="42" applyFont="1" applyFill="1" applyBorder="1" applyAlignment="1">
      <alignment horizontal="center" vertical="center" wrapText="1"/>
    </xf>
    <xf numFmtId="0" fontId="15" fillId="31" borderId="43" xfId="42" applyFont="1" applyFill="1" applyBorder="1" applyAlignment="1">
      <alignment horizontal="center" vertical="center"/>
    </xf>
    <xf numFmtId="0" fontId="46" fillId="0" borderId="17" xfId="42" applyFont="1" applyBorder="1" applyAlignment="1">
      <alignment horizontal="center" vertical="center" wrapText="1"/>
    </xf>
    <xf numFmtId="0" fontId="46" fillId="0" borderId="19" xfId="42" applyFont="1" applyBorder="1" applyAlignment="1" applyProtection="1">
      <alignment horizontal="center" vertical="center"/>
      <protection locked="0"/>
    </xf>
    <xf numFmtId="0" fontId="46" fillId="0" borderId="66" xfId="42" applyFont="1" applyBorder="1" applyAlignment="1" applyProtection="1">
      <alignment horizontal="center" vertical="center"/>
      <protection locked="0"/>
    </xf>
    <xf numFmtId="0" fontId="46" fillId="0" borderId="80" xfId="42" applyFont="1" applyBorder="1" applyAlignment="1" applyProtection="1">
      <alignment horizontal="center" vertical="center"/>
      <protection locked="0"/>
    </xf>
    <xf numFmtId="2" fontId="46" fillId="0" borderId="16" xfId="42" applyNumberFormat="1" applyFont="1" applyBorder="1" applyAlignment="1">
      <alignment horizontal="center" vertical="center" wrapText="1"/>
    </xf>
    <xf numFmtId="2" fontId="46" fillId="0" borderId="256" xfId="42" applyNumberFormat="1" applyFont="1" applyBorder="1" applyAlignment="1">
      <alignment horizontal="center" vertical="center" wrapText="1"/>
    </xf>
    <xf numFmtId="0" fontId="15" fillId="31" borderId="104" xfId="42" applyFont="1" applyFill="1" applyBorder="1" applyAlignment="1">
      <alignment horizontal="right" vertical="center" wrapText="1"/>
    </xf>
    <xf numFmtId="0" fontId="15" fillId="26" borderId="124" xfId="42" applyFont="1" applyFill="1" applyBorder="1" applyAlignment="1" applyProtection="1">
      <alignment horizontal="center" vertical="center" wrapText="1"/>
      <protection locked="0"/>
    </xf>
    <xf numFmtId="0" fontId="15" fillId="26" borderId="92" xfId="42" applyFont="1" applyFill="1" applyBorder="1" applyAlignment="1" applyProtection="1">
      <alignment horizontal="center" vertical="center" wrapText="1"/>
      <protection locked="0"/>
    </xf>
    <xf numFmtId="0" fontId="15" fillId="26" borderId="127" xfId="42" applyFont="1" applyFill="1" applyBorder="1" applyAlignment="1" applyProtection="1">
      <alignment horizontal="center" vertical="center" wrapText="1"/>
      <protection locked="0"/>
    </xf>
    <xf numFmtId="0" fontId="46" fillId="0" borderId="86" xfId="42" applyFont="1" applyBorder="1" applyAlignment="1" applyProtection="1">
      <alignment horizontal="center" vertical="center"/>
      <protection locked="0"/>
    </xf>
    <xf numFmtId="0" fontId="46" fillId="0" borderId="91" xfId="42" applyFont="1" applyBorder="1" applyAlignment="1" applyProtection="1">
      <alignment horizontal="center" vertical="center"/>
      <protection locked="0"/>
    </xf>
    <xf numFmtId="0" fontId="46" fillId="0" borderId="122" xfId="42" applyFont="1" applyBorder="1" applyAlignment="1" applyProtection="1">
      <alignment horizontal="center" vertical="center"/>
      <protection locked="0"/>
    </xf>
    <xf numFmtId="0" fontId="46" fillId="0" borderId="93" xfId="42" applyFont="1" applyBorder="1" applyAlignment="1" applyProtection="1">
      <alignment horizontal="center" vertical="center"/>
      <protection locked="0"/>
    </xf>
    <xf numFmtId="0" fontId="46" fillId="0" borderId="94" xfId="42" applyFont="1" applyBorder="1" applyAlignment="1" applyProtection="1">
      <alignment horizontal="center" vertical="center"/>
      <protection locked="0"/>
    </xf>
    <xf numFmtId="0" fontId="46" fillId="0" borderId="120" xfId="42" applyFont="1" applyBorder="1" applyAlignment="1" applyProtection="1">
      <alignment horizontal="center" vertical="center"/>
      <protection locked="0"/>
    </xf>
    <xf numFmtId="0" fontId="46" fillId="0" borderId="18" xfId="42" applyFont="1" applyBorder="1" applyAlignment="1">
      <alignment horizontal="left" vertical="center" wrapText="1"/>
    </xf>
    <xf numFmtId="0" fontId="46" fillId="0" borderId="18" xfId="42" applyFont="1" applyBorder="1" applyAlignment="1">
      <alignment horizontal="center" vertical="center" wrapText="1"/>
    </xf>
    <xf numFmtId="0" fontId="13" fillId="0" borderId="16" xfId="42" applyFont="1" applyBorder="1" applyAlignment="1">
      <alignment horizontal="center" vertical="center" wrapText="1"/>
    </xf>
    <xf numFmtId="0" fontId="13" fillId="0" borderId="17" xfId="42" applyFont="1" applyBorder="1" applyAlignment="1">
      <alignment horizontal="center" vertical="center" wrapText="1"/>
    </xf>
    <xf numFmtId="0" fontId="13" fillId="0" borderId="256" xfId="42" applyFont="1" applyBorder="1" applyAlignment="1">
      <alignment horizontal="center" vertical="center" wrapText="1"/>
    </xf>
    <xf numFmtId="0" fontId="15" fillId="0" borderId="141" xfId="42" applyFont="1" applyBorder="1" applyAlignment="1">
      <alignment horizontal="left" vertical="center" wrapText="1"/>
    </xf>
    <xf numFmtId="0" fontId="15" fillId="26" borderId="256" xfId="42" applyFont="1" applyFill="1" applyBorder="1" applyAlignment="1">
      <alignment horizontal="center" vertical="center"/>
    </xf>
    <xf numFmtId="0" fontId="45" fillId="29" borderId="90" xfId="42" applyFont="1" applyFill="1" applyBorder="1" applyAlignment="1">
      <alignment horizontal="right" vertical="center"/>
    </xf>
    <xf numFmtId="0" fontId="45" fillId="29" borderId="94" xfId="42" applyFont="1" applyFill="1" applyBorder="1" applyAlignment="1">
      <alignment horizontal="right" vertical="center"/>
    </xf>
    <xf numFmtId="0" fontId="46" fillId="0" borderId="65" xfId="42" applyFont="1" applyBorder="1" applyAlignment="1">
      <alignment vertical="center" wrapText="1"/>
    </xf>
    <xf numFmtId="0" fontId="46" fillId="0" borderId="79" xfId="42" applyFont="1" applyBorder="1" applyAlignment="1">
      <alignment vertical="center" wrapText="1"/>
    </xf>
    <xf numFmtId="0" fontId="125" fillId="33" borderId="17" xfId="42" applyFont="1" applyFill="1" applyBorder="1" applyAlignment="1" applyProtection="1">
      <alignment horizontal="center" vertical="center"/>
      <protection locked="0"/>
    </xf>
    <xf numFmtId="0" fontId="125" fillId="33" borderId="256" xfId="42" applyFont="1" applyFill="1" applyBorder="1" applyAlignment="1" applyProtection="1">
      <alignment horizontal="center" vertical="center"/>
      <protection locked="0"/>
    </xf>
    <xf numFmtId="0" fontId="46" fillId="29" borderId="17" xfId="42" applyFont="1" applyFill="1" applyBorder="1" applyAlignment="1">
      <alignment horizontal="center" vertical="center"/>
    </xf>
    <xf numFmtId="0" fontId="46" fillId="29" borderId="256" xfId="42" applyFont="1" applyFill="1" applyBorder="1" applyAlignment="1">
      <alignment horizontal="center" vertical="center"/>
    </xf>
    <xf numFmtId="0" fontId="46" fillId="29" borderId="77" xfId="42" applyFont="1" applyFill="1" applyBorder="1" applyAlignment="1" applyProtection="1">
      <alignment horizontal="left" vertical="center"/>
      <protection locked="0"/>
    </xf>
    <xf numFmtId="0" fontId="46" fillId="29" borderId="101" xfId="42" applyFont="1" applyFill="1" applyBorder="1" applyAlignment="1" applyProtection="1">
      <alignment horizontal="left" vertical="center"/>
      <protection locked="0"/>
    </xf>
    <xf numFmtId="0" fontId="46" fillId="29" borderId="14" xfId="42" applyFont="1" applyFill="1" applyBorder="1" applyAlignment="1" applyProtection="1">
      <alignment horizontal="left" vertical="center"/>
      <protection locked="0"/>
    </xf>
    <xf numFmtId="0" fontId="46" fillId="29" borderId="82" xfId="42" applyFont="1" applyFill="1" applyBorder="1" applyAlignment="1" applyProtection="1">
      <alignment horizontal="left" vertical="center"/>
      <protection locked="0"/>
    </xf>
    <xf numFmtId="0" fontId="46" fillId="29" borderId="257" xfId="42" applyFont="1" applyFill="1" applyBorder="1" applyAlignment="1" applyProtection="1">
      <alignment horizontal="left" vertical="center"/>
      <protection locked="0"/>
    </xf>
    <xf numFmtId="0" fontId="46" fillId="29" borderId="258" xfId="42" applyFont="1" applyFill="1" applyBorder="1" applyAlignment="1" applyProtection="1">
      <alignment horizontal="left" vertical="center"/>
      <protection locked="0"/>
    </xf>
    <xf numFmtId="0" fontId="46" fillId="0" borderId="67" xfId="42" applyFont="1" applyBorder="1" applyAlignment="1">
      <alignment vertical="center" wrapText="1"/>
    </xf>
    <xf numFmtId="0" fontId="125" fillId="33" borderId="16" xfId="42" applyFont="1" applyFill="1" applyBorder="1" applyAlignment="1" applyProtection="1">
      <alignment horizontal="center" vertical="center"/>
      <protection locked="0"/>
    </xf>
    <xf numFmtId="0" fontId="46" fillId="26" borderId="65" xfId="42" applyFont="1" applyFill="1" applyBorder="1" applyAlignment="1">
      <alignment vertical="center" wrapText="1"/>
    </xf>
    <xf numFmtId="0" fontId="46" fillId="26" borderId="79" xfId="42" applyFont="1" applyFill="1" applyBorder="1" applyAlignment="1">
      <alignment vertical="center" wrapText="1"/>
    </xf>
    <xf numFmtId="0" fontId="46" fillId="26" borderId="67" xfId="42" applyFont="1" applyFill="1" applyBorder="1" applyAlignment="1">
      <alignment vertical="center" wrapText="1"/>
    </xf>
    <xf numFmtId="0" fontId="46" fillId="26" borderId="16" xfId="42" applyFont="1" applyFill="1" applyBorder="1" applyAlignment="1">
      <alignment horizontal="center" vertical="center"/>
    </xf>
    <xf numFmtId="0" fontId="46" fillId="26" borderId="17" xfId="42" applyFont="1" applyFill="1" applyBorder="1" applyAlignment="1">
      <alignment horizontal="center" vertical="center"/>
    </xf>
    <xf numFmtId="0" fontId="46" fillId="26" borderId="256" xfId="42" applyFont="1" applyFill="1" applyBorder="1" applyAlignment="1">
      <alignment horizontal="center" vertical="center"/>
    </xf>
    <xf numFmtId="0" fontId="46" fillId="26" borderId="77" xfId="42" applyFont="1" applyFill="1" applyBorder="1" applyAlignment="1" applyProtection="1">
      <alignment horizontal="left" vertical="center"/>
      <protection locked="0"/>
    </xf>
    <xf numFmtId="0" fontId="46" fillId="26" borderId="101" xfId="42" applyFont="1" applyFill="1" applyBorder="1" applyAlignment="1" applyProtection="1">
      <alignment horizontal="left" vertical="center"/>
      <protection locked="0"/>
    </xf>
    <xf numFmtId="0" fontId="46" fillId="26" borderId="14" xfId="42" applyFont="1" applyFill="1" applyBorder="1" applyAlignment="1" applyProtection="1">
      <alignment horizontal="left" vertical="center"/>
      <protection locked="0"/>
    </xf>
    <xf numFmtId="0" fontId="46" fillId="26" borderId="82" xfId="42" applyFont="1" applyFill="1" applyBorder="1" applyAlignment="1" applyProtection="1">
      <alignment horizontal="left" vertical="center"/>
      <protection locked="0"/>
    </xf>
    <xf numFmtId="0" fontId="46" fillId="26" borderId="257" xfId="42" applyFont="1" applyFill="1" applyBorder="1" applyAlignment="1" applyProtection="1">
      <alignment horizontal="left" vertical="center"/>
      <protection locked="0"/>
    </xf>
    <xf numFmtId="0" fontId="46" fillId="26" borderId="258" xfId="42" applyFont="1" applyFill="1" applyBorder="1" applyAlignment="1" applyProtection="1">
      <alignment horizontal="left" vertical="center"/>
      <protection locked="0"/>
    </xf>
    <xf numFmtId="0" fontId="46" fillId="29" borderId="65" xfId="42" applyFont="1" applyFill="1" applyBorder="1" applyAlignment="1">
      <alignment vertical="center" wrapText="1"/>
    </xf>
    <xf numFmtId="0" fontId="46" fillId="29" borderId="79" xfId="42" applyFont="1" applyFill="1" applyBorder="1" applyAlignment="1">
      <alignment vertical="center" wrapText="1"/>
    </xf>
    <xf numFmtId="0" fontId="46" fillId="29" borderId="67" xfId="42" applyFont="1" applyFill="1" applyBorder="1" applyAlignment="1">
      <alignment vertical="center" wrapText="1"/>
    </xf>
    <xf numFmtId="0" fontId="46" fillId="26" borderId="151" xfId="42" applyFont="1" applyFill="1" applyBorder="1" applyAlignment="1">
      <alignment horizontal="left" vertical="center" wrapText="1"/>
    </xf>
    <xf numFmtId="0" fontId="46" fillId="26" borderId="79" xfId="42" applyFont="1" applyFill="1" applyBorder="1" applyAlignment="1">
      <alignment horizontal="left" vertical="center" wrapText="1"/>
    </xf>
    <xf numFmtId="0" fontId="46" fillId="26" borderId="67" xfId="42" applyFont="1" applyFill="1" applyBorder="1" applyAlignment="1">
      <alignment horizontal="left" vertical="center" wrapText="1"/>
    </xf>
    <xf numFmtId="0" fontId="125" fillId="33" borderId="152" xfId="42" applyFont="1" applyFill="1" applyBorder="1" applyAlignment="1" applyProtection="1">
      <alignment horizontal="center" vertical="center"/>
      <protection locked="0"/>
    </xf>
    <xf numFmtId="0" fontId="15" fillId="26" borderId="0" xfId="42" applyFont="1" applyFill="1" applyAlignment="1">
      <alignment vertical="center" wrapText="1"/>
    </xf>
    <xf numFmtId="0" fontId="13" fillId="26" borderId="0" xfId="42" applyFont="1" applyFill="1" applyAlignment="1">
      <alignment vertical="center"/>
    </xf>
    <xf numFmtId="0" fontId="46" fillId="29" borderId="0" xfId="42" applyFont="1" applyFill="1" applyAlignment="1">
      <alignment vertical="center" wrapText="1"/>
    </xf>
    <xf numFmtId="0" fontId="135" fillId="25" borderId="91" xfId="42" applyFont="1" applyFill="1" applyBorder="1" applyAlignment="1">
      <alignment horizontal="center" vertical="center"/>
    </xf>
    <xf numFmtId="0" fontId="135" fillId="25" borderId="73" xfId="42" applyFont="1" applyFill="1" applyBorder="1" applyAlignment="1">
      <alignment horizontal="center" vertical="center"/>
    </xf>
    <xf numFmtId="0" fontId="135" fillId="25" borderId="97" xfId="42" applyFont="1" applyFill="1" applyBorder="1" applyAlignment="1">
      <alignment horizontal="center" vertical="center"/>
    </xf>
    <xf numFmtId="0" fontId="15" fillId="0" borderId="0" xfId="42" applyFont="1" applyAlignment="1">
      <alignment horizontal="center" vertical="center"/>
    </xf>
    <xf numFmtId="2" fontId="46" fillId="0" borderId="11" xfId="42" quotePrefix="1" applyNumberFormat="1" applyFont="1" applyBorder="1" applyAlignment="1">
      <alignment horizontal="center" vertical="center" wrapText="1"/>
    </xf>
    <xf numFmtId="0" fontId="46" fillId="0" borderId="0" xfId="42" applyFont="1" applyAlignment="1" applyProtection="1">
      <alignment horizontal="center" vertical="center"/>
      <protection locked="0"/>
    </xf>
    <xf numFmtId="2" fontId="15" fillId="26" borderId="84" xfId="0" applyNumberFormat="1" applyFont="1" applyFill="1" applyBorder="1" applyAlignment="1">
      <alignment horizontal="right" vertical="center"/>
    </xf>
    <xf numFmtId="2" fontId="15" fillId="26" borderId="44" xfId="0" quotePrefix="1" applyNumberFormat="1" applyFont="1" applyFill="1" applyBorder="1" applyAlignment="1">
      <alignment horizontal="right" vertical="center"/>
    </xf>
    <xf numFmtId="0" fontId="15" fillId="0" borderId="93" xfId="0" applyFont="1" applyBorder="1" applyAlignment="1" applyProtection="1">
      <alignment horizontal="center" vertical="center"/>
      <protection locked="0"/>
    </xf>
    <xf numFmtId="0" fontId="0" fillId="0" borderId="94" xfId="0" applyBorder="1" applyAlignment="1">
      <alignment horizontal="center" vertical="center"/>
    </xf>
    <xf numFmtId="0" fontId="0" fillId="0" borderId="120" xfId="0" applyBorder="1" applyAlignment="1">
      <alignment horizontal="center" vertical="center"/>
    </xf>
    <xf numFmtId="0" fontId="96" fillId="0" borderId="19" xfId="0" applyFont="1" applyBorder="1" applyAlignment="1">
      <alignment horizontal="center" vertical="center" wrapText="1"/>
    </xf>
    <xf numFmtId="0" fontId="0" fillId="0" borderId="66" xfId="0" applyBorder="1" applyAlignment="1">
      <alignment vertical="center" wrapText="1"/>
    </xf>
    <xf numFmtId="0" fontId="0" fillId="0" borderId="80" xfId="0" applyBorder="1" applyAlignment="1">
      <alignment vertical="center" wrapText="1"/>
    </xf>
    <xf numFmtId="0" fontId="0" fillId="0" borderId="66" xfId="0" applyBorder="1" applyAlignment="1">
      <alignment horizontal="center" vertical="center" wrapText="1"/>
    </xf>
    <xf numFmtId="0" fontId="0" fillId="0" borderId="80" xfId="0" applyBorder="1" applyAlignment="1">
      <alignment horizontal="center" vertical="center" wrapText="1"/>
    </xf>
    <xf numFmtId="0" fontId="15" fillId="26" borderId="86" xfId="0" applyFont="1" applyFill="1" applyBorder="1" applyAlignment="1" applyProtection="1">
      <alignment horizontal="center" vertical="center" wrapText="1"/>
      <protection locked="0"/>
    </xf>
    <xf numFmtId="0" fontId="15" fillId="26" borderId="122" xfId="0" applyFont="1" applyFill="1" applyBorder="1" applyAlignment="1" applyProtection="1">
      <alignment horizontal="center" vertical="center" wrapText="1"/>
      <protection locked="0"/>
    </xf>
    <xf numFmtId="0" fontId="15" fillId="26" borderId="124" xfId="0" applyFont="1" applyFill="1" applyBorder="1" applyAlignment="1" applyProtection="1">
      <alignment horizontal="center" vertical="center"/>
      <protection locked="0"/>
    </xf>
    <xf numFmtId="0" fontId="0" fillId="0" borderId="92" xfId="0" applyBorder="1" applyAlignment="1">
      <alignment horizontal="center" vertical="center"/>
    </xf>
    <xf numFmtId="0" fontId="0" fillId="0" borderId="127" xfId="0" applyBorder="1" applyAlignment="1">
      <alignment horizontal="center" vertical="center"/>
    </xf>
    <xf numFmtId="0" fontId="15" fillId="0" borderId="86" xfId="0" applyFont="1" applyBorder="1" applyAlignment="1" applyProtection="1">
      <alignment horizontal="center" vertical="center"/>
      <protection locked="0"/>
    </xf>
    <xf numFmtId="0" fontId="0" fillId="0" borderId="91" xfId="0" applyBorder="1" applyAlignment="1">
      <alignment horizontal="center" vertical="center"/>
    </xf>
    <xf numFmtId="0" fontId="0" fillId="0" borderId="122" xfId="0" applyBorder="1" applyAlignment="1">
      <alignment horizontal="center" vertical="center"/>
    </xf>
    <xf numFmtId="0" fontId="15" fillId="26" borderId="95" xfId="0" applyFont="1" applyFill="1" applyBorder="1" applyAlignment="1" applyProtection="1">
      <alignment horizontal="left"/>
      <protection locked="0"/>
    </xf>
    <xf numFmtId="0" fontId="15" fillId="26" borderId="104" xfId="0" applyFont="1" applyFill="1" applyBorder="1" applyAlignment="1" applyProtection="1">
      <alignment horizontal="left"/>
      <protection locked="0"/>
    </xf>
    <xf numFmtId="0" fontId="46" fillId="0" borderId="71" xfId="0" applyFont="1" applyBorder="1" applyAlignment="1">
      <alignment horizontal="left" vertical="center"/>
    </xf>
    <xf numFmtId="0" fontId="46" fillId="0" borderId="21" xfId="0" applyFont="1" applyBorder="1" applyAlignment="1">
      <alignment horizontal="left" vertical="center"/>
    </xf>
    <xf numFmtId="0" fontId="46" fillId="0" borderId="128" xfId="0" applyFont="1" applyBorder="1" applyAlignment="1">
      <alignment horizontal="left" vertical="center" wrapText="1"/>
    </xf>
    <xf numFmtId="0" fontId="46" fillId="0" borderId="129" xfId="0" applyFont="1" applyBorder="1" applyAlignment="1">
      <alignment horizontal="left" vertical="center" wrapText="1"/>
    </xf>
    <xf numFmtId="0" fontId="15" fillId="26" borderId="98" xfId="0" applyFont="1" applyFill="1" applyBorder="1" applyAlignment="1" applyProtection="1">
      <alignment horizontal="center" vertical="center"/>
      <protection locked="0"/>
    </xf>
    <xf numFmtId="0" fontId="15" fillId="26" borderId="145" xfId="0" applyFont="1" applyFill="1" applyBorder="1" applyAlignment="1" applyProtection="1">
      <alignment horizontal="center" vertical="center"/>
      <protection locked="0"/>
    </xf>
    <xf numFmtId="0" fontId="46" fillId="0" borderId="89" xfId="0" applyFont="1" applyBorder="1" applyAlignment="1">
      <alignment horizontal="left" vertical="center"/>
    </xf>
    <xf numFmtId="0" fontId="46" fillId="0" borderId="85" xfId="0" applyFont="1" applyBorder="1" applyAlignment="1">
      <alignment horizontal="left" vertical="center"/>
    </xf>
    <xf numFmtId="0" fontId="31" fillId="26" borderId="93" xfId="0" applyFont="1" applyFill="1" applyBorder="1" applyAlignment="1">
      <alignment horizontal="center" vertical="center" wrapText="1"/>
    </xf>
    <xf numFmtId="0" fontId="0" fillId="0" borderId="94" xfId="0" applyBorder="1" applyAlignment="1">
      <alignment horizontal="center" vertical="center" wrapText="1"/>
    </xf>
    <xf numFmtId="0" fontId="0" fillId="0" borderId="120" xfId="0" applyBorder="1" applyAlignment="1">
      <alignment horizontal="center" vertical="center" wrapText="1"/>
    </xf>
    <xf numFmtId="0" fontId="45" fillId="0" borderId="19" xfId="0" applyFont="1" applyBorder="1" applyAlignment="1">
      <alignment horizontal="left" vertical="center"/>
    </xf>
    <xf numFmtId="0" fontId="45" fillId="0" borderId="66" xfId="0" applyFont="1" applyBorder="1" applyAlignment="1">
      <alignment horizontal="left" vertical="center"/>
    </xf>
    <xf numFmtId="0" fontId="45" fillId="0" borderId="21" xfId="0" applyFont="1" applyBorder="1" applyAlignment="1">
      <alignment horizontal="left" vertical="center"/>
    </xf>
    <xf numFmtId="0" fontId="45" fillId="0" borderId="19" xfId="0" applyFont="1" applyBorder="1" applyAlignment="1" applyProtection="1">
      <alignment horizontal="left" vertical="center" wrapText="1"/>
      <protection locked="0"/>
    </xf>
    <xf numFmtId="0" fontId="45" fillId="0" borderId="66" xfId="0" applyFont="1" applyBorder="1" applyAlignment="1" applyProtection="1">
      <alignment horizontal="left" vertical="center" wrapText="1"/>
      <protection locked="0"/>
    </xf>
    <xf numFmtId="0" fontId="45" fillId="0" borderId="21" xfId="0" applyFont="1" applyBorder="1" applyAlignment="1" applyProtection="1">
      <alignment horizontal="left" vertical="center" wrapText="1"/>
      <protection locked="0"/>
    </xf>
    <xf numFmtId="0" fontId="96" fillId="0" borderId="66" xfId="0" applyFont="1" applyBorder="1" applyAlignment="1">
      <alignment horizontal="center" vertical="center" wrapText="1"/>
    </xf>
    <xf numFmtId="0" fontId="96" fillId="0" borderId="80" xfId="0" applyFont="1" applyBorder="1" applyAlignment="1">
      <alignment horizontal="center" vertical="center" wrapText="1"/>
    </xf>
    <xf numFmtId="0" fontId="15" fillId="26" borderId="136" xfId="0" applyFont="1" applyFill="1" applyBorder="1" applyAlignment="1">
      <alignment horizontal="center" vertical="center" wrapText="1"/>
    </xf>
    <xf numFmtId="0" fontId="0" fillId="0" borderId="88" xfId="0" applyBorder="1" applyAlignment="1">
      <alignment horizontal="center" vertical="center" wrapText="1"/>
    </xf>
    <xf numFmtId="0" fontId="0" fillId="0" borderId="96" xfId="0" applyBorder="1" applyAlignment="1">
      <alignment horizontal="center" vertical="center" wrapText="1"/>
    </xf>
    <xf numFmtId="0" fontId="96" fillId="0" borderId="19" xfId="0" applyFont="1" applyBorder="1" applyAlignment="1">
      <alignment horizontal="center" vertical="center"/>
    </xf>
    <xf numFmtId="0" fontId="0" fillId="0" borderId="66" xfId="0" applyBorder="1" applyAlignment="1">
      <alignment horizontal="center" vertical="center"/>
    </xf>
    <xf numFmtId="0" fontId="0" fillId="0" borderId="80" xfId="0" applyBorder="1" applyAlignment="1">
      <alignment horizontal="center" vertical="center"/>
    </xf>
    <xf numFmtId="0" fontId="15" fillId="26" borderId="257" xfId="0" applyFont="1" applyFill="1" applyBorder="1" applyAlignment="1">
      <alignment horizontal="center" vertical="center" wrapText="1"/>
    </xf>
    <xf numFmtId="0" fontId="0" fillId="0" borderId="255" xfId="0" applyBorder="1" applyAlignment="1">
      <alignment horizontal="center" vertical="center" wrapText="1"/>
    </xf>
    <xf numFmtId="0" fontId="0" fillId="0" borderId="258" xfId="0" applyBorder="1" applyAlignment="1">
      <alignment horizontal="center" vertical="center" wrapText="1"/>
    </xf>
    <xf numFmtId="0" fontId="15" fillId="26" borderId="19" xfId="0" applyFont="1" applyFill="1" applyBorder="1" applyAlignment="1">
      <alignment horizontal="center" vertical="center" wrapText="1"/>
    </xf>
    <xf numFmtId="0" fontId="15" fillId="26" borderId="66" xfId="0" applyFont="1" applyFill="1" applyBorder="1" applyAlignment="1">
      <alignment horizontal="center" vertical="center" wrapText="1"/>
    </xf>
    <xf numFmtId="0" fontId="15" fillId="26" borderId="80" xfId="0" applyFont="1" applyFill="1" applyBorder="1" applyAlignment="1">
      <alignment horizontal="center" vertical="center" wrapText="1"/>
    </xf>
    <xf numFmtId="0" fontId="15" fillId="26" borderId="86" xfId="0" applyFont="1" applyFill="1" applyBorder="1" applyAlignment="1" applyProtection="1">
      <alignment horizontal="center" vertical="center"/>
      <protection locked="0"/>
    </xf>
    <xf numFmtId="0" fontId="15" fillId="26" borderId="84" xfId="0" applyFont="1" applyFill="1" applyBorder="1" applyAlignment="1">
      <alignment horizontal="right" vertical="center" wrapText="1"/>
    </xf>
    <xf numFmtId="0" fontId="15" fillId="26" borderId="44" xfId="0" applyFont="1" applyFill="1" applyBorder="1" applyAlignment="1">
      <alignment horizontal="right" vertical="center" wrapText="1"/>
    </xf>
    <xf numFmtId="0" fontId="15" fillId="26" borderId="11" xfId="0" applyFont="1" applyFill="1" applyBorder="1" applyAlignment="1">
      <alignment horizontal="right" vertical="center" wrapText="1"/>
    </xf>
    <xf numFmtId="0" fontId="15" fillId="26" borderId="12" xfId="0" applyFont="1" applyFill="1" applyBorder="1" applyAlignment="1">
      <alignment horizontal="right" vertical="center" wrapText="1"/>
    </xf>
    <xf numFmtId="0" fontId="15" fillId="26" borderId="108" xfId="0" applyFont="1" applyFill="1" applyBorder="1" applyAlignment="1" applyProtection="1">
      <alignment horizontal="left" wrapText="1"/>
      <protection locked="0"/>
    </xf>
    <xf numFmtId="0" fontId="15" fillId="26" borderId="109" xfId="0" applyFont="1" applyFill="1" applyBorder="1" applyAlignment="1" applyProtection="1">
      <alignment horizontal="left" wrapText="1"/>
      <protection locked="0"/>
    </xf>
    <xf numFmtId="0" fontId="46" fillId="0" borderId="67" xfId="0" applyFont="1" applyBorder="1" applyAlignment="1" applyProtection="1">
      <alignment horizontal="left" wrapText="1"/>
      <protection locked="0"/>
    </xf>
    <xf numFmtId="0" fontId="46" fillId="0" borderId="18" xfId="0" applyFont="1" applyBorder="1" applyAlignment="1" applyProtection="1">
      <alignment horizontal="left" wrapText="1"/>
      <protection locked="0"/>
    </xf>
    <xf numFmtId="0" fontId="46" fillId="0" borderId="108" xfId="0" applyFont="1" applyBorder="1" applyAlignment="1" applyProtection="1">
      <alignment horizontal="left" wrapText="1"/>
      <protection locked="0"/>
    </xf>
    <xf numFmtId="0" fontId="46" fillId="0" borderId="109" xfId="0" applyFont="1" applyBorder="1" applyAlignment="1" applyProtection="1">
      <alignment horizontal="left" wrapText="1"/>
      <protection locked="0"/>
    </xf>
    <xf numFmtId="0" fontId="15" fillId="26" borderId="117" xfId="0" applyFont="1" applyFill="1" applyBorder="1" applyAlignment="1" applyProtection="1">
      <alignment horizontal="center" vertical="center"/>
      <protection locked="0"/>
    </xf>
    <xf numFmtId="0" fontId="117" fillId="18" borderId="16" xfId="0" applyFont="1" applyFill="1" applyBorder="1" applyAlignment="1" applyProtection="1">
      <alignment horizontal="center" vertical="center"/>
      <protection locked="0"/>
    </xf>
    <xf numFmtId="0" fontId="117" fillId="18" borderId="17" xfId="0" applyFont="1" applyFill="1" applyBorder="1" applyAlignment="1" applyProtection="1">
      <alignment horizontal="center" vertical="center"/>
      <protection locked="0"/>
    </xf>
    <xf numFmtId="0" fontId="46" fillId="0" borderId="77" xfId="0" applyFont="1" applyBorder="1" applyAlignment="1">
      <alignment horizontal="center" vertical="center" wrapText="1"/>
    </xf>
    <xf numFmtId="0" fontId="46" fillId="0" borderId="103"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102" xfId="0" applyFont="1" applyBorder="1" applyAlignment="1">
      <alignment horizontal="center" vertical="center" wrapText="1"/>
    </xf>
    <xf numFmtId="0" fontId="95" fillId="0" borderId="19" xfId="0" applyFont="1" applyBorder="1" applyAlignment="1" applyProtection="1">
      <alignment horizontal="center" vertical="center"/>
      <protection locked="0"/>
    </xf>
    <xf numFmtId="0" fontId="0" fillId="0" borderId="21" xfId="0" applyBorder="1" applyAlignment="1">
      <alignment horizontal="center" vertical="center"/>
    </xf>
    <xf numFmtId="0" fontId="95" fillId="0" borderId="68" xfId="0" applyFont="1" applyBorder="1" applyAlignment="1" applyProtection="1">
      <alignment horizontal="center" vertical="center"/>
      <protection locked="0"/>
    </xf>
    <xf numFmtId="0" fontId="0" fillId="0" borderId="10" xfId="0" applyBorder="1" applyAlignment="1">
      <alignment horizontal="center" vertical="center"/>
    </xf>
    <xf numFmtId="0" fontId="0" fillId="0" borderId="20" xfId="0" applyBorder="1" applyAlignment="1">
      <alignment horizontal="center" vertical="center"/>
    </xf>
    <xf numFmtId="0" fontId="13" fillId="26" borderId="12" xfId="0" applyFont="1" applyFill="1" applyBorder="1" applyAlignment="1" applyProtection="1">
      <alignment horizontal="left" vertical="center" wrapText="1"/>
      <protection locked="0"/>
    </xf>
    <xf numFmtId="0" fontId="13" fillId="26" borderId="15" xfId="0" applyFont="1" applyFill="1" applyBorder="1" applyAlignment="1" applyProtection="1">
      <alignment horizontal="left" vertical="center" wrapText="1"/>
      <protection locked="0"/>
    </xf>
    <xf numFmtId="0" fontId="46" fillId="0" borderId="15" xfId="0" applyFont="1" applyBorder="1" applyAlignment="1" applyProtection="1">
      <alignment horizontal="left" vertical="center" wrapText="1"/>
      <protection locked="0"/>
    </xf>
    <xf numFmtId="0" fontId="13" fillId="26" borderId="44" xfId="0" applyFont="1" applyFill="1" applyBorder="1" applyAlignment="1" applyProtection="1">
      <alignment horizontal="center" vertical="center" wrapText="1"/>
      <protection locked="0"/>
    </xf>
    <xf numFmtId="0" fontId="13" fillId="26" borderId="45" xfId="0" applyFont="1" applyFill="1" applyBorder="1" applyAlignment="1" applyProtection="1">
      <alignment horizontal="center" vertical="center" wrapText="1"/>
      <protection locked="0"/>
    </xf>
    <xf numFmtId="0" fontId="46" fillId="0" borderId="77" xfId="0" applyFont="1" applyBorder="1" applyAlignment="1" applyProtection="1">
      <alignment horizontal="left" vertical="center" wrapText="1"/>
      <protection locked="0"/>
    </xf>
    <xf numFmtId="0" fontId="46" fillId="0" borderId="37" xfId="0" applyFont="1" applyBorder="1" applyAlignment="1" applyProtection="1">
      <alignment horizontal="left" vertical="center" wrapText="1"/>
      <protection locked="0"/>
    </xf>
    <xf numFmtId="0" fontId="46" fillId="0" borderId="101" xfId="0" applyFont="1" applyBorder="1" applyAlignment="1" applyProtection="1">
      <alignment horizontal="left" vertical="center" wrapText="1"/>
      <protection locked="0"/>
    </xf>
    <xf numFmtId="0" fontId="46" fillId="0" borderId="14"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6" fillId="0" borderId="82" xfId="0" applyFont="1" applyBorder="1" applyAlignment="1" applyProtection="1">
      <alignment horizontal="left" vertical="center" wrapText="1"/>
      <protection locked="0"/>
    </xf>
    <xf numFmtId="0" fontId="46" fillId="0" borderId="14" xfId="0" applyFont="1" applyBorder="1" applyAlignment="1">
      <alignment horizontal="center" vertical="center"/>
    </xf>
    <xf numFmtId="0" fontId="46" fillId="0" borderId="102" xfId="0" applyFont="1" applyBorder="1" applyAlignment="1">
      <alignment horizontal="center" vertical="center"/>
    </xf>
    <xf numFmtId="0" fontId="15" fillId="26" borderId="124" xfId="0" applyFont="1" applyFill="1" applyBorder="1" applyAlignment="1" applyProtection="1">
      <alignment horizontal="center" vertical="center" wrapText="1"/>
      <protection locked="0"/>
    </xf>
    <xf numFmtId="0" fontId="0" fillId="0" borderId="92" xfId="0" applyBorder="1" applyAlignment="1">
      <alignment horizontal="center" vertical="center" wrapText="1"/>
    </xf>
    <xf numFmtId="0" fontId="0" fillId="0" borderId="133" xfId="0" applyBorder="1" applyAlignment="1">
      <alignment horizontal="center" vertical="center" wrapText="1"/>
    </xf>
    <xf numFmtId="0" fontId="95" fillId="0" borderId="144" xfId="0" applyFont="1" applyBorder="1" applyAlignment="1" applyProtection="1">
      <alignment horizontal="center" vertical="center"/>
      <protection locked="0"/>
    </xf>
    <xf numFmtId="0" fontId="0" fillId="0" borderId="73" xfId="0" applyBorder="1" applyAlignment="1">
      <alignment horizontal="center" vertical="center"/>
    </xf>
    <xf numFmtId="0" fontId="0" fillId="0" borderId="145" xfId="0" applyBorder="1" applyAlignment="1">
      <alignment horizontal="center" vertical="center"/>
    </xf>
    <xf numFmtId="0" fontId="95" fillId="0" borderId="77" xfId="0" applyFont="1" applyBorder="1" applyAlignment="1" applyProtection="1">
      <alignment horizontal="center" vertical="center"/>
      <protection locked="0"/>
    </xf>
    <xf numFmtId="0" fontId="0" fillId="0" borderId="37" xfId="0" applyBorder="1" applyAlignment="1">
      <alignment horizontal="center" vertical="center"/>
    </xf>
    <xf numFmtId="0" fontId="0" fillId="0" borderId="103" xfId="0" applyBorder="1" applyAlignment="1">
      <alignment horizontal="center" vertical="center"/>
    </xf>
    <xf numFmtId="0" fontId="95" fillId="0" borderId="14" xfId="0" applyFont="1" applyBorder="1" applyAlignment="1" applyProtection="1">
      <alignment horizontal="center" vertical="center"/>
      <protection locked="0"/>
    </xf>
    <xf numFmtId="0" fontId="0" fillId="0" borderId="0" xfId="0" applyAlignment="1">
      <alignment horizontal="center" vertical="center"/>
    </xf>
    <xf numFmtId="0" fontId="0" fillId="0" borderId="102" xfId="0" applyBorder="1" applyAlignment="1">
      <alignment horizontal="center" vertical="center"/>
    </xf>
    <xf numFmtId="0" fontId="15" fillId="26" borderId="75" xfId="0" applyFont="1" applyFill="1" applyBorder="1" applyAlignment="1" applyProtection="1">
      <alignment horizontal="center" vertical="center" wrapText="1"/>
      <protection locked="0"/>
    </xf>
    <xf numFmtId="0" fontId="15" fillId="26" borderId="12" xfId="0" applyFont="1" applyFill="1" applyBorder="1" applyAlignment="1" applyProtection="1">
      <alignment horizontal="center" vertical="center"/>
      <protection locked="0"/>
    </xf>
    <xf numFmtId="0" fontId="15" fillId="26" borderId="15" xfId="0" applyFont="1" applyFill="1" applyBorder="1" applyAlignment="1" applyProtection="1">
      <alignment horizontal="center" vertical="center"/>
      <protection locked="0"/>
    </xf>
    <xf numFmtId="0" fontId="13" fillId="26" borderId="12" xfId="0" applyFont="1" applyFill="1" applyBorder="1" applyAlignment="1" applyProtection="1">
      <alignment horizontal="center" vertical="center"/>
      <protection locked="0"/>
    </xf>
    <xf numFmtId="0" fontId="13" fillId="26" borderId="12" xfId="0" applyFont="1" applyFill="1" applyBorder="1" applyProtection="1">
      <protection locked="0"/>
    </xf>
    <xf numFmtId="0" fontId="13" fillId="26" borderId="15" xfId="0" applyFont="1" applyFill="1" applyBorder="1" applyProtection="1">
      <protection locked="0"/>
    </xf>
    <xf numFmtId="0" fontId="13" fillId="26" borderId="15" xfId="0" applyFont="1" applyFill="1" applyBorder="1" applyAlignment="1" applyProtection="1">
      <alignment horizontal="center" vertical="center"/>
      <protection locked="0"/>
    </xf>
    <xf numFmtId="0" fontId="15" fillId="26" borderId="76" xfId="0" applyFont="1" applyFill="1" applyBorder="1" applyAlignment="1" applyProtection="1">
      <alignment horizontal="center" vertical="center" wrapText="1"/>
      <protection locked="0"/>
    </xf>
    <xf numFmtId="0" fontId="15" fillId="26" borderId="12" xfId="0" applyFont="1" applyFill="1" applyBorder="1" applyAlignment="1" applyProtection="1">
      <alignment horizontal="center" vertical="center" wrapText="1"/>
      <protection locked="0"/>
    </xf>
    <xf numFmtId="0" fontId="15" fillId="26" borderId="15" xfId="0" applyFont="1" applyFill="1" applyBorder="1" applyAlignment="1" applyProtection="1">
      <alignment horizontal="center" vertical="center" wrapText="1"/>
      <protection locked="0"/>
    </xf>
    <xf numFmtId="0" fontId="15" fillId="26" borderId="84" xfId="0" applyFont="1" applyFill="1" applyBorder="1" applyAlignment="1" applyProtection="1">
      <alignment horizontal="right" vertical="center" wrapText="1"/>
      <protection locked="0"/>
    </xf>
    <xf numFmtId="0" fontId="15" fillId="26" borderId="44" xfId="0" applyFont="1" applyFill="1" applyBorder="1" applyAlignment="1" applyProtection="1">
      <alignment horizontal="right" vertical="center" wrapText="1"/>
      <protection locked="0"/>
    </xf>
    <xf numFmtId="0" fontId="15" fillId="26" borderId="11" xfId="0" applyFont="1" applyFill="1" applyBorder="1" applyAlignment="1" applyProtection="1">
      <alignment horizontal="right" vertical="center" wrapText="1"/>
      <protection locked="0"/>
    </xf>
    <xf numFmtId="0" fontId="15" fillId="26" borderId="12" xfId="0" applyFont="1" applyFill="1" applyBorder="1" applyAlignment="1" applyProtection="1">
      <alignment horizontal="right" vertical="center" wrapText="1"/>
      <protection locked="0"/>
    </xf>
    <xf numFmtId="0" fontId="15" fillId="26" borderId="83" xfId="0" applyFont="1" applyFill="1" applyBorder="1" applyAlignment="1" applyProtection="1">
      <alignment horizontal="center" vertical="center" wrapText="1"/>
      <protection locked="0"/>
    </xf>
    <xf numFmtId="0" fontId="15" fillId="26" borderId="11" xfId="0" applyFont="1" applyFill="1" applyBorder="1" applyAlignment="1" applyProtection="1">
      <alignment horizontal="center" vertical="center" wrapText="1"/>
      <protection locked="0"/>
    </xf>
    <xf numFmtId="0" fontId="13" fillId="26" borderId="12" xfId="0" applyFont="1" applyFill="1" applyBorder="1" applyAlignment="1" applyProtection="1">
      <alignment horizontal="right" vertical="center" wrapText="1"/>
      <protection locked="0"/>
    </xf>
    <xf numFmtId="0" fontId="46" fillId="0" borderId="65" xfId="0" applyFont="1" applyBorder="1" applyAlignment="1">
      <alignment horizontal="center" vertical="center" wrapText="1"/>
    </xf>
    <xf numFmtId="0" fontId="46" fillId="0" borderId="79" xfId="0" applyFont="1" applyBorder="1" applyAlignment="1">
      <alignment horizontal="center" vertical="center" wrapText="1"/>
    </xf>
    <xf numFmtId="0" fontId="46" fillId="0" borderId="17" xfId="0" applyFont="1" applyBorder="1" applyAlignment="1">
      <alignment horizontal="left" vertical="center" wrapText="1"/>
    </xf>
    <xf numFmtId="0" fontId="15" fillId="0" borderId="45" xfId="0" applyFont="1" applyBorder="1" applyAlignment="1" applyProtection="1">
      <alignment horizontal="center" vertical="center"/>
      <protection locked="0"/>
    </xf>
    <xf numFmtId="0" fontId="15" fillId="0" borderId="64" xfId="0" applyFont="1" applyBorder="1" applyAlignment="1" applyProtection="1">
      <alignment horizontal="center" vertical="center"/>
      <protection locked="0"/>
    </xf>
    <xf numFmtId="0" fontId="15" fillId="26" borderId="106" xfId="0" applyFont="1" applyFill="1" applyBorder="1" applyAlignment="1" applyProtection="1">
      <alignment horizontal="center" vertical="center"/>
      <protection locked="0"/>
    </xf>
    <xf numFmtId="0" fontId="15" fillId="26" borderId="42" xfId="0" applyFont="1" applyFill="1" applyBorder="1" applyAlignment="1" applyProtection="1">
      <alignment horizontal="left"/>
      <protection locked="0"/>
    </xf>
    <xf numFmtId="0" fontId="15" fillId="26" borderId="43" xfId="0" applyFont="1" applyFill="1" applyBorder="1" applyAlignment="1" applyProtection="1">
      <alignment horizontal="left"/>
      <protection locked="0"/>
    </xf>
    <xf numFmtId="0" fontId="15" fillId="26" borderId="43" xfId="0" applyFont="1" applyFill="1" applyBorder="1" applyAlignment="1" applyProtection="1">
      <alignment horizontal="right" vertical="center"/>
      <protection locked="0"/>
    </xf>
    <xf numFmtId="0" fontId="103" fillId="0" borderId="109" xfId="0" quotePrefix="1" applyFont="1" applyBorder="1" applyAlignment="1" applyProtection="1">
      <alignment horizontal="center" vertical="center"/>
      <protection locked="0"/>
    </xf>
    <xf numFmtId="0" fontId="103" fillId="0" borderId="18" xfId="0" quotePrefix="1" applyFont="1" applyBorder="1" applyAlignment="1" applyProtection="1">
      <alignment horizontal="center" vertical="center"/>
      <protection locked="0"/>
    </xf>
    <xf numFmtId="0" fontId="45" fillId="26" borderId="108" xfId="0" applyFont="1" applyFill="1" applyBorder="1" applyAlignment="1" applyProtection="1">
      <alignment horizontal="left" vertical="center"/>
      <protection locked="0"/>
    </xf>
    <xf numFmtId="0" fontId="45" fillId="26" borderId="109" xfId="0" applyFont="1" applyFill="1" applyBorder="1" applyAlignment="1" applyProtection="1">
      <alignment horizontal="left" vertical="center"/>
      <protection locked="0"/>
    </xf>
    <xf numFmtId="0" fontId="46" fillId="0" borderId="67" xfId="0" applyFont="1" applyBorder="1" applyAlignment="1" applyProtection="1">
      <alignment horizontal="left" vertical="center"/>
      <protection locked="0"/>
    </xf>
    <xf numFmtId="0" fontId="46" fillId="0" borderId="18" xfId="0" applyFont="1" applyBorder="1" applyAlignment="1" applyProtection="1">
      <alignment horizontal="left" vertical="center"/>
      <protection locked="0"/>
    </xf>
    <xf numFmtId="0" fontId="46" fillId="0" borderId="108" xfId="0" applyFont="1" applyBorder="1" applyAlignment="1" applyProtection="1">
      <alignment horizontal="left" vertical="center"/>
      <protection locked="0"/>
    </xf>
    <xf numFmtId="0" fontId="46" fillId="0" borderId="109" xfId="0" applyFont="1" applyBorder="1" applyAlignment="1" applyProtection="1">
      <alignment horizontal="left" vertical="center"/>
      <protection locked="0"/>
    </xf>
    <xf numFmtId="0" fontId="46" fillId="0" borderId="11" xfId="0" applyFont="1" applyBorder="1" applyAlignment="1" applyProtection="1">
      <alignment horizontal="left" vertical="center"/>
      <protection locked="0"/>
    </xf>
    <xf numFmtId="0" fontId="46" fillId="0" borderId="12" xfId="0" applyFont="1" applyBorder="1" applyAlignment="1" applyProtection="1">
      <alignment horizontal="left" vertical="center"/>
      <protection locked="0"/>
    </xf>
    <xf numFmtId="0" fontId="15" fillId="26" borderId="90" xfId="0" applyFont="1" applyFill="1" applyBorder="1" applyAlignment="1" applyProtection="1">
      <alignment horizontal="right" vertical="center"/>
      <protection locked="0"/>
    </xf>
    <xf numFmtId="0" fontId="15" fillId="26" borderId="94" xfId="0" applyFont="1" applyFill="1" applyBorder="1" applyAlignment="1" applyProtection="1">
      <alignment horizontal="right" vertical="center"/>
      <protection locked="0"/>
    </xf>
    <xf numFmtId="0" fontId="15" fillId="26" borderId="87" xfId="0" applyFont="1" applyFill="1" applyBorder="1" applyAlignment="1" applyProtection="1">
      <alignment horizontal="right" vertical="center"/>
      <protection locked="0"/>
    </xf>
    <xf numFmtId="0" fontId="15" fillId="26" borderId="68" xfId="0" applyFont="1" applyFill="1" applyBorder="1" applyAlignment="1" applyProtection="1">
      <alignment horizontal="left" vertical="center" wrapText="1"/>
      <protection locked="0"/>
    </xf>
    <xf numFmtId="0" fontId="15" fillId="26" borderId="10" xfId="0" applyFont="1" applyFill="1" applyBorder="1" applyAlignment="1" applyProtection="1">
      <alignment horizontal="left" vertical="center" wrapText="1"/>
      <protection locked="0"/>
    </xf>
    <xf numFmtId="0" fontId="15" fillId="26" borderId="81" xfId="0" applyFont="1" applyFill="1" applyBorder="1" applyAlignment="1" applyProtection="1">
      <alignment horizontal="left" vertical="center" wrapText="1"/>
      <protection locked="0"/>
    </xf>
    <xf numFmtId="0" fontId="15" fillId="0" borderId="120" xfId="0" applyFont="1" applyBorder="1" applyAlignment="1" applyProtection="1">
      <alignment horizontal="center" vertical="center"/>
      <protection locked="0"/>
    </xf>
    <xf numFmtId="0" fontId="15" fillId="26" borderId="127" xfId="0" applyFont="1" applyFill="1" applyBorder="1" applyAlignment="1" applyProtection="1">
      <alignment horizontal="center" vertical="center"/>
      <protection locked="0"/>
    </xf>
    <xf numFmtId="0" fontId="15" fillId="0" borderId="122" xfId="0" applyFont="1" applyBorder="1" applyAlignment="1" applyProtection="1">
      <alignment horizontal="center" vertical="center"/>
      <protection locked="0"/>
    </xf>
    <xf numFmtId="0" fontId="15" fillId="26" borderId="19" xfId="0" applyFont="1" applyFill="1" applyBorder="1" applyAlignment="1" applyProtection="1">
      <alignment horizontal="left" vertical="center"/>
      <protection locked="0"/>
    </xf>
    <xf numFmtId="0" fontId="13" fillId="26" borderId="66" xfId="0" applyFont="1" applyFill="1" applyBorder="1" applyAlignment="1" applyProtection="1">
      <alignment vertical="center"/>
      <protection locked="0"/>
    </xf>
    <xf numFmtId="0" fontId="13" fillId="26" borderId="80" xfId="0" applyFont="1" applyFill="1" applyBorder="1" applyAlignment="1" applyProtection="1">
      <alignment vertical="center"/>
      <protection locked="0"/>
    </xf>
    <xf numFmtId="0" fontId="13" fillId="26" borderId="66" xfId="0" applyFont="1" applyFill="1" applyBorder="1" applyAlignment="1" applyProtection="1">
      <alignment horizontal="left" vertical="center"/>
      <protection locked="0"/>
    </xf>
    <xf numFmtId="0" fontId="13" fillId="26" borderId="80" xfId="0" applyFont="1" applyFill="1" applyBorder="1" applyAlignment="1" applyProtection="1">
      <alignment horizontal="left" vertical="center"/>
      <protection locked="0"/>
    </xf>
    <xf numFmtId="0" fontId="15" fillId="26" borderId="90" xfId="0" applyFont="1" applyFill="1" applyBorder="1" applyAlignment="1" applyProtection="1">
      <alignment horizontal="right" vertical="center" wrapText="1"/>
      <protection locked="0"/>
    </xf>
    <xf numFmtId="0" fontId="15" fillId="26" borderId="94" xfId="0" applyFont="1" applyFill="1" applyBorder="1" applyAlignment="1" applyProtection="1">
      <alignment horizontal="right" vertical="center" wrapText="1"/>
      <protection locked="0"/>
    </xf>
    <xf numFmtId="0" fontId="15" fillId="26" borderId="87" xfId="0" applyFont="1" applyFill="1" applyBorder="1" applyAlignment="1" applyProtection="1">
      <alignment horizontal="right" vertical="center" wrapText="1"/>
      <protection locked="0"/>
    </xf>
    <xf numFmtId="0" fontId="15" fillId="26" borderId="90" xfId="0" applyFont="1" applyFill="1" applyBorder="1" applyAlignment="1">
      <alignment horizontal="right" vertical="center" wrapText="1"/>
    </xf>
    <xf numFmtId="0" fontId="15" fillId="26" borderId="94" xfId="0" applyFont="1" applyFill="1" applyBorder="1" applyAlignment="1">
      <alignment horizontal="right" vertical="center" wrapText="1"/>
    </xf>
    <xf numFmtId="0" fontId="15" fillId="26" borderId="87" xfId="0" applyFont="1" applyFill="1" applyBorder="1" applyAlignment="1">
      <alignment horizontal="right" vertical="center" wrapText="1"/>
    </xf>
    <xf numFmtId="0" fontId="15" fillId="26" borderId="44" xfId="0" applyFont="1" applyFill="1" applyBorder="1" applyAlignment="1" applyProtection="1">
      <alignment horizontal="right" vertical="center"/>
      <protection locked="0"/>
    </xf>
    <xf numFmtId="0" fontId="46" fillId="0" borderId="11" xfId="0" applyFont="1" applyBorder="1" applyAlignment="1">
      <alignment horizontal="center" vertical="center" wrapText="1"/>
    </xf>
    <xf numFmtId="0" fontId="0" fillId="0" borderId="66" xfId="0" applyBorder="1" applyAlignment="1">
      <alignment vertical="center"/>
    </xf>
    <xf numFmtId="0" fontId="0" fillId="0" borderId="80" xfId="0" applyBorder="1" applyAlignment="1">
      <alignment vertical="center"/>
    </xf>
    <xf numFmtId="0" fontId="0" fillId="0" borderId="127" xfId="0" applyBorder="1" applyAlignment="1">
      <alignment horizontal="center" vertical="center" wrapText="1"/>
    </xf>
    <xf numFmtId="0" fontId="0" fillId="0" borderId="91" xfId="0" applyBorder="1" applyAlignment="1">
      <alignment horizontal="center" vertical="center" wrapText="1"/>
    </xf>
    <xf numFmtId="0" fontId="0" fillId="0" borderId="122" xfId="0" applyBorder="1" applyAlignment="1">
      <alignment horizontal="center" vertical="center" wrapText="1"/>
    </xf>
    <xf numFmtId="164" fontId="46" fillId="0" borderId="79" xfId="0" quotePrefix="1" applyNumberFormat="1" applyFont="1" applyBorder="1" applyAlignment="1">
      <alignment horizontal="center" vertical="center"/>
    </xf>
    <xf numFmtId="0" fontId="117" fillId="0" borderId="16" xfId="0" applyFont="1" applyBorder="1" applyAlignment="1" applyProtection="1">
      <alignment horizontal="center" vertical="center" wrapText="1"/>
      <protection locked="0"/>
    </xf>
    <xf numFmtId="0" fontId="117" fillId="0" borderId="17" xfId="0" applyFont="1" applyBorder="1" applyAlignment="1" applyProtection="1">
      <alignment horizontal="center" vertical="center" wrapText="1"/>
      <protection locked="0"/>
    </xf>
    <xf numFmtId="0" fontId="96" fillId="0" borderId="77" xfId="0" applyFont="1" applyBorder="1" applyAlignment="1" applyProtection="1">
      <alignment horizontal="center" vertical="center"/>
      <protection locked="0"/>
    </xf>
    <xf numFmtId="0" fontId="96" fillId="0" borderId="37" xfId="0" applyFont="1" applyBorder="1" applyAlignment="1" applyProtection="1">
      <alignment horizontal="center" vertical="center"/>
      <protection locked="0"/>
    </xf>
    <xf numFmtId="0" fontId="96" fillId="0" borderId="101" xfId="0" applyFont="1" applyBorder="1" applyAlignment="1" applyProtection="1">
      <alignment horizontal="center" vertical="center"/>
      <protection locked="0"/>
    </xf>
    <xf numFmtId="0" fontId="96" fillId="0" borderId="14" xfId="0" applyFont="1" applyBorder="1" applyAlignment="1" applyProtection="1">
      <alignment horizontal="center" vertical="center"/>
      <protection locked="0"/>
    </xf>
    <xf numFmtId="0" fontId="96" fillId="0" borderId="0" xfId="0" applyFont="1" applyAlignment="1" applyProtection="1">
      <alignment horizontal="center" vertical="center"/>
      <protection locked="0"/>
    </xf>
    <xf numFmtId="0" fontId="96" fillId="0" borderId="82" xfId="0" applyFont="1" applyBorder="1" applyAlignment="1" applyProtection="1">
      <alignment horizontal="center" vertical="center"/>
      <protection locked="0"/>
    </xf>
    <xf numFmtId="0" fontId="46" fillId="0" borderId="16" xfId="0" applyFont="1" applyBorder="1" applyAlignment="1">
      <alignment horizontal="center" vertical="center" wrapText="1"/>
    </xf>
    <xf numFmtId="0" fontId="46" fillId="0" borderId="17" xfId="0" applyFont="1" applyBorder="1" applyAlignment="1">
      <alignment horizontal="center" vertical="center" wrapText="1"/>
    </xf>
    <xf numFmtId="0" fontId="46" fillId="0" borderId="91" xfId="0" applyFont="1" applyBorder="1" applyAlignment="1" applyProtection="1">
      <alignment horizontal="left"/>
      <protection locked="0"/>
    </xf>
    <xf numFmtId="0" fontId="46" fillId="0" borderId="85" xfId="0" applyFont="1" applyBorder="1" applyAlignment="1" applyProtection="1">
      <alignment horizontal="left"/>
      <protection locked="0"/>
    </xf>
    <xf numFmtId="0" fontId="46" fillId="0" borderId="66" xfId="0" applyFont="1" applyBorder="1" applyAlignment="1" applyProtection="1">
      <alignment horizontal="left"/>
      <protection locked="0"/>
    </xf>
    <xf numFmtId="0" fontId="46" fillId="0" borderId="21" xfId="0" applyFont="1" applyBorder="1" applyAlignment="1" applyProtection="1">
      <alignment horizontal="left"/>
      <protection locked="0"/>
    </xf>
    <xf numFmtId="164" fontId="15" fillId="26" borderId="11" xfId="0" applyNumberFormat="1" applyFont="1" applyFill="1" applyBorder="1" applyAlignment="1" applyProtection="1">
      <alignment horizontal="right" vertical="center"/>
      <protection locked="0"/>
    </xf>
    <xf numFmtId="164" fontId="15" fillId="26" borderId="12" xfId="0" quotePrefix="1" applyNumberFormat="1" applyFont="1" applyFill="1" applyBorder="1" applyAlignment="1" applyProtection="1">
      <alignment horizontal="right" vertical="center"/>
      <protection locked="0"/>
    </xf>
    <xf numFmtId="0" fontId="15" fillId="26" borderId="68" xfId="0" applyFont="1" applyFill="1" applyBorder="1" applyAlignment="1" applyProtection="1">
      <alignment horizontal="center" vertical="center" wrapText="1"/>
      <protection locked="0"/>
    </xf>
    <xf numFmtId="0" fontId="0" fillId="0" borderId="10" xfId="0" applyBorder="1" applyAlignment="1">
      <alignment horizontal="center" vertical="center" wrapText="1"/>
    </xf>
    <xf numFmtId="0" fontId="0" fillId="0" borderId="81" xfId="0" applyBorder="1" applyAlignment="1">
      <alignment horizontal="center" vertical="center" wrapText="1"/>
    </xf>
    <xf numFmtId="0" fontId="6" fillId="0" borderId="12" xfId="0" applyFont="1" applyBorder="1" applyAlignment="1" applyProtection="1">
      <alignment horizontal="center" wrapText="1"/>
      <protection locked="0"/>
    </xf>
    <xf numFmtId="0" fontId="46" fillId="0" borderId="66" xfId="0" applyFont="1" applyBorder="1" applyAlignment="1" applyProtection="1">
      <alignment horizontal="left" wrapText="1"/>
      <protection locked="0"/>
    </xf>
    <xf numFmtId="0" fontId="46" fillId="0" borderId="21" xfId="0" applyFont="1" applyBorder="1" applyAlignment="1" applyProtection="1">
      <alignment horizontal="left" wrapText="1"/>
      <protection locked="0"/>
    </xf>
    <xf numFmtId="2" fontId="15" fillId="26" borderId="11" xfId="0" applyNumberFormat="1" applyFont="1" applyFill="1" applyBorder="1" applyAlignment="1" applyProtection="1">
      <alignment horizontal="right" vertical="center"/>
      <protection locked="0"/>
    </xf>
    <xf numFmtId="2" fontId="15" fillId="26" borderId="12" xfId="0" quotePrefix="1" applyNumberFormat="1" applyFont="1" applyFill="1" applyBorder="1" applyAlignment="1" applyProtection="1">
      <alignment horizontal="right" vertical="center"/>
      <protection locked="0"/>
    </xf>
    <xf numFmtId="0" fontId="46" fillId="0" borderId="139" xfId="0" applyFont="1" applyBorder="1" applyAlignment="1">
      <alignment horizontal="center" wrapText="1"/>
    </xf>
    <xf numFmtId="0" fontId="0" fillId="0" borderId="131" xfId="0" applyBorder="1" applyAlignment="1">
      <alignment horizontal="center" wrapText="1"/>
    </xf>
    <xf numFmtId="0" fontId="46" fillId="0" borderId="125" xfId="0" applyFont="1" applyBorder="1" applyAlignment="1">
      <alignment horizontal="center" wrapText="1"/>
    </xf>
    <xf numFmtId="0" fontId="0" fillId="0" borderId="129" xfId="0" applyBorder="1" applyAlignment="1">
      <alignment horizontal="center" wrapText="1"/>
    </xf>
    <xf numFmtId="2" fontId="15" fillId="26" borderId="84" xfId="0" applyNumberFormat="1" applyFont="1" applyFill="1" applyBorder="1" applyAlignment="1" applyProtection="1">
      <alignment horizontal="right" vertical="center"/>
      <protection locked="0"/>
    </xf>
    <xf numFmtId="2" fontId="15" fillId="26" borderId="44" xfId="0" quotePrefix="1" applyNumberFormat="1" applyFont="1" applyFill="1" applyBorder="1" applyAlignment="1" applyProtection="1">
      <alignment horizontal="right" vertical="center"/>
      <protection locked="0"/>
    </xf>
    <xf numFmtId="0" fontId="15" fillId="26" borderId="136" xfId="0" applyFont="1" applyFill="1" applyBorder="1" applyAlignment="1" applyProtection="1">
      <alignment horizontal="center" vertical="center" wrapText="1"/>
      <protection locked="0"/>
    </xf>
    <xf numFmtId="0" fontId="46" fillId="0" borderId="256" xfId="0" applyFont="1" applyBorder="1" applyAlignment="1">
      <alignment horizontal="left" vertical="center" wrapText="1"/>
    </xf>
    <xf numFmtId="164" fontId="46" fillId="0" borderId="16" xfId="0" quotePrefix="1" applyNumberFormat="1" applyFont="1" applyBorder="1" applyAlignment="1">
      <alignment horizontal="center" vertical="center"/>
    </xf>
    <xf numFmtId="164" fontId="46" fillId="0" borderId="17" xfId="0" quotePrefix="1" applyNumberFormat="1" applyFont="1" applyBorder="1" applyAlignment="1">
      <alignment horizontal="center" vertical="center"/>
    </xf>
    <xf numFmtId="164" fontId="46" fillId="0" borderId="18" xfId="0" quotePrefix="1" applyNumberFormat="1" applyFont="1" applyBorder="1" applyAlignment="1">
      <alignment horizontal="center" vertical="center"/>
    </xf>
    <xf numFmtId="0" fontId="15" fillId="31" borderId="44" xfId="42" applyFont="1" applyFill="1" applyBorder="1" applyAlignment="1">
      <alignment horizontal="center" vertical="center"/>
    </xf>
    <xf numFmtId="164" fontId="46" fillId="0" borderId="42" xfId="0" quotePrefix="1" applyNumberFormat="1" applyFont="1" applyBorder="1" applyAlignment="1">
      <alignment horizontal="center" vertical="center"/>
    </xf>
    <xf numFmtId="0" fontId="46" fillId="0" borderId="43" xfId="0" applyFont="1" applyBorder="1" applyAlignment="1">
      <alignment horizontal="left" vertical="center" wrapText="1"/>
    </xf>
    <xf numFmtId="0" fontId="46" fillId="0" borderId="12" xfId="42" applyFont="1" applyBorder="1" applyAlignment="1">
      <alignment horizontal="center" vertical="center" wrapText="1"/>
    </xf>
    <xf numFmtId="0" fontId="46" fillId="0" borderId="44" xfId="42" applyFont="1" applyBorder="1" applyAlignment="1">
      <alignment horizontal="center" vertical="center" wrapText="1"/>
    </xf>
    <xf numFmtId="164" fontId="46" fillId="0" borderId="256" xfId="0" quotePrefix="1" applyNumberFormat="1" applyFont="1" applyBorder="1" applyAlignment="1">
      <alignment horizontal="center" vertical="center"/>
    </xf>
    <xf numFmtId="0" fontId="15" fillId="31" borderId="84" xfId="42" applyFont="1" applyFill="1" applyBorder="1" applyAlignment="1">
      <alignment horizontal="center" vertical="center" wrapText="1"/>
    </xf>
    <xf numFmtId="0" fontId="13" fillId="0" borderId="97" xfId="42" applyFont="1" applyBorder="1" applyAlignment="1">
      <alignment horizontal="left" vertical="top" wrapText="1"/>
    </xf>
    <xf numFmtId="0" fontId="13" fillId="0" borderId="82" xfId="42" applyFont="1" applyBorder="1" applyAlignment="1">
      <alignment horizontal="left" vertical="top" wrapText="1"/>
    </xf>
    <xf numFmtId="0" fontId="117" fillId="0" borderId="18" xfId="0" applyFont="1" applyBorder="1" applyAlignment="1" applyProtection="1">
      <alignment horizontal="center" vertical="center" wrapText="1"/>
      <protection locked="0"/>
    </xf>
    <xf numFmtId="0" fontId="96" fillId="0" borderId="68" xfId="0" applyFont="1" applyBorder="1" applyAlignment="1" applyProtection="1">
      <alignment horizontal="center" vertical="center"/>
      <protection locked="0"/>
    </xf>
    <xf numFmtId="0" fontId="96" fillId="0" borderId="10" xfId="0" applyFont="1" applyBorder="1" applyAlignment="1" applyProtection="1">
      <alignment horizontal="center" vertical="center"/>
      <protection locked="0"/>
    </xf>
    <xf numFmtId="0" fontId="96" fillId="0" borderId="81" xfId="0" applyFont="1" applyBorder="1" applyAlignment="1" applyProtection="1">
      <alignment horizontal="center" vertical="center"/>
      <protection locked="0"/>
    </xf>
    <xf numFmtId="0" fontId="96" fillId="0" borderId="19" xfId="0" applyFont="1" applyBorder="1" applyAlignment="1" applyProtection="1">
      <alignment horizontal="center" vertical="center"/>
      <protection locked="0"/>
    </xf>
    <xf numFmtId="0" fontId="0" fillId="0" borderId="66" xfId="0" applyBorder="1" applyAlignment="1" applyProtection="1">
      <alignment vertical="center"/>
      <protection locked="0"/>
    </xf>
    <xf numFmtId="0" fontId="0" fillId="0" borderId="80" xfId="0" applyBorder="1" applyAlignment="1" applyProtection="1">
      <alignment vertical="center"/>
      <protection locked="0"/>
    </xf>
    <xf numFmtId="0" fontId="46" fillId="0" borderId="18" xfId="0" applyFont="1" applyBorder="1" applyAlignment="1">
      <alignment horizontal="center" vertical="center" wrapText="1"/>
    </xf>
    <xf numFmtId="0" fontId="117" fillId="0" borderId="16" xfId="42" applyFont="1" applyBorder="1" applyAlignment="1" applyProtection="1">
      <alignment horizontal="center" vertical="center" wrapText="1"/>
      <protection locked="0"/>
    </xf>
    <xf numFmtId="0" fontId="117" fillId="0" borderId="18" xfId="42" applyFont="1" applyBorder="1" applyAlignment="1" applyProtection="1">
      <alignment horizontal="center" vertical="center" wrapText="1"/>
      <protection locked="0"/>
    </xf>
    <xf numFmtId="0" fontId="46" fillId="0" borderId="125" xfId="0" applyFont="1" applyBorder="1" applyAlignment="1">
      <alignment horizontal="center"/>
    </xf>
    <xf numFmtId="0" fontId="0" fillId="0" borderId="129" xfId="0" applyBorder="1" applyAlignment="1">
      <alignment horizontal="center"/>
    </xf>
    <xf numFmtId="0" fontId="31" fillId="26" borderId="19" xfId="0" applyFont="1" applyFill="1" applyBorder="1" applyAlignment="1">
      <alignment horizontal="center" vertical="center"/>
    </xf>
    <xf numFmtId="0" fontId="31" fillId="26" borderId="93" xfId="0" applyFont="1" applyFill="1" applyBorder="1" applyAlignment="1">
      <alignment horizontal="center" vertical="center"/>
    </xf>
    <xf numFmtId="0" fontId="0" fillId="0" borderId="94" xfId="0" applyBorder="1" applyAlignment="1">
      <alignment vertical="center"/>
    </xf>
    <xf numFmtId="0" fontId="0" fillId="0" borderId="120" xfId="0" applyBorder="1" applyAlignment="1">
      <alignment vertical="center"/>
    </xf>
    <xf numFmtId="0" fontId="46" fillId="0" borderId="139" xfId="0" applyFont="1" applyBorder="1" applyAlignment="1">
      <alignment horizontal="center"/>
    </xf>
    <xf numFmtId="0" fontId="0" fillId="0" borderId="131" xfId="0" applyBorder="1" applyAlignment="1">
      <alignment horizontal="center"/>
    </xf>
    <xf numFmtId="0" fontId="46" fillId="0" borderId="66" xfId="0" applyFont="1" applyBorder="1" applyAlignment="1" applyProtection="1">
      <alignment horizontal="left" vertical="center"/>
      <protection locked="0"/>
    </xf>
    <xf numFmtId="0" fontId="46" fillId="0" borderId="21" xfId="0" applyFont="1" applyBorder="1" applyAlignment="1" applyProtection="1">
      <alignment horizontal="left" vertical="center"/>
      <protection locked="0"/>
    </xf>
    <xf numFmtId="0" fontId="46" fillId="0" borderId="91" xfId="0" applyFont="1" applyBorder="1" applyAlignment="1" applyProtection="1">
      <alignment horizontal="left" vertical="center"/>
      <protection locked="0"/>
    </xf>
    <xf numFmtId="0" fontId="46" fillId="0" borderId="85" xfId="0" applyFont="1" applyBorder="1" applyAlignment="1" applyProtection="1">
      <alignment horizontal="left" vertical="center"/>
      <protection locked="0"/>
    </xf>
    <xf numFmtId="2" fontId="96" fillId="0" borderId="65" xfId="0" quotePrefix="1" applyNumberFormat="1" applyFont="1" applyBorder="1" applyAlignment="1">
      <alignment horizontal="center" vertical="center"/>
    </xf>
    <xf numFmtId="2" fontId="96" fillId="0" borderId="67" xfId="0" quotePrefix="1" applyNumberFormat="1" applyFont="1" applyBorder="1" applyAlignment="1">
      <alignment horizontal="center" vertical="center"/>
    </xf>
    <xf numFmtId="2" fontId="46" fillId="0" borderId="65" xfId="0" quotePrefix="1" applyNumberFormat="1" applyFont="1" applyBorder="1" applyAlignment="1">
      <alignment horizontal="center" vertical="center"/>
    </xf>
    <xf numFmtId="2" fontId="46" fillId="0" borderId="67" xfId="0" quotePrefix="1" applyNumberFormat="1" applyFont="1" applyBorder="1" applyAlignment="1">
      <alignment horizontal="center" vertical="center"/>
    </xf>
    <xf numFmtId="2" fontId="46" fillId="0" borderId="16" xfId="0" quotePrefix="1" applyNumberFormat="1" applyFont="1" applyBorder="1" applyAlignment="1">
      <alignment horizontal="center" vertical="center"/>
    </xf>
    <xf numFmtId="2" fontId="46" fillId="0" borderId="18" xfId="0" quotePrefix="1" applyNumberFormat="1" applyFont="1" applyBorder="1" applyAlignment="1">
      <alignment horizontal="center" vertical="center"/>
    </xf>
    <xf numFmtId="0" fontId="46" fillId="0" borderId="42" xfId="42" applyFont="1" applyBorder="1" applyAlignment="1">
      <alignment vertical="center" wrapText="1"/>
    </xf>
    <xf numFmtId="0" fontId="125" fillId="33" borderId="43" xfId="42" applyFont="1" applyFill="1" applyBorder="1" applyAlignment="1" applyProtection="1">
      <alignment horizontal="center" vertical="center"/>
      <protection locked="0"/>
    </xf>
    <xf numFmtId="0" fontId="46" fillId="29" borderId="43" xfId="42" applyFont="1" applyFill="1" applyBorder="1" applyAlignment="1">
      <alignment horizontal="center" vertical="center"/>
    </xf>
    <xf numFmtId="0" fontId="46" fillId="29" borderId="136" xfId="42" applyFont="1" applyFill="1" applyBorder="1" applyAlignment="1" applyProtection="1">
      <alignment horizontal="left" vertical="center"/>
      <protection locked="0"/>
    </xf>
    <xf numFmtId="0" fontId="46" fillId="29" borderId="96" xfId="42" applyFont="1" applyFill="1" applyBorder="1" applyAlignment="1" applyProtection="1">
      <alignment horizontal="left" vertical="center"/>
      <protection locked="0"/>
    </xf>
    <xf numFmtId="0" fontId="45" fillId="29" borderId="95" xfId="42" applyFont="1" applyFill="1" applyBorder="1" applyAlignment="1">
      <alignment horizontal="right" vertical="center"/>
    </xf>
    <xf numFmtId="0" fontId="45" fillId="29" borderId="88" xfId="42" applyFont="1" applyFill="1" applyBorder="1" applyAlignment="1">
      <alignment horizontal="right" vertical="center"/>
    </xf>
    <xf numFmtId="0" fontId="46" fillId="0" borderId="75" xfId="42" applyFont="1" applyBorder="1" applyAlignment="1" applyProtection="1">
      <alignment horizontal="center" vertical="center"/>
      <protection locked="0"/>
    </xf>
    <xf numFmtId="0" fontId="46" fillId="0" borderId="76" xfId="42" applyFont="1" applyBorder="1" applyAlignment="1" applyProtection="1">
      <alignment horizontal="center" vertical="center"/>
      <protection locked="0"/>
    </xf>
    <xf numFmtId="0" fontId="96" fillId="0" borderId="63" xfId="0" applyFont="1" applyBorder="1" applyAlignment="1" applyProtection="1">
      <alignment horizontal="center" vertical="center" wrapText="1"/>
      <protection locked="0"/>
    </xf>
    <xf numFmtId="0" fontId="46" fillId="0" borderId="78" xfId="0" applyFont="1" applyBorder="1" applyAlignment="1" applyProtection="1">
      <alignment horizontal="center" vertical="center"/>
      <protection locked="0"/>
    </xf>
    <xf numFmtId="1" fontId="46" fillId="0" borderId="19" xfId="0" quotePrefix="1" applyNumberFormat="1" applyFont="1" applyBorder="1" applyAlignment="1" applyProtection="1">
      <alignment horizontal="center" vertical="center"/>
      <protection locked="0"/>
    </xf>
    <xf numFmtId="0" fontId="46" fillId="0" borderId="66" xfId="0" applyFont="1" applyBorder="1" applyAlignment="1" applyProtection="1">
      <alignment horizontal="center" vertical="center"/>
      <protection locked="0"/>
    </xf>
    <xf numFmtId="14" fontId="13" fillId="0" borderId="0" xfId="0" applyNumberFormat="1" applyFont="1" applyAlignment="1" applyProtection="1">
      <alignment horizontal="left" vertical="center"/>
      <protection locked="0"/>
    </xf>
    <xf numFmtId="0" fontId="13" fillId="0" borderId="0" xfId="0" applyFont="1" applyAlignment="1" applyProtection="1">
      <alignment vertical="center"/>
      <protection locked="0"/>
    </xf>
    <xf numFmtId="0" fontId="96" fillId="0" borderId="64" xfId="0" applyFont="1" applyBorder="1" applyAlignment="1" applyProtection="1">
      <alignment horizontal="center" vertical="center" wrapText="1"/>
      <protection locked="0"/>
    </xf>
    <xf numFmtId="0" fontId="96" fillId="0" borderId="78" xfId="0" applyFont="1" applyBorder="1" applyAlignment="1" applyProtection="1">
      <alignment horizontal="center" vertical="center" wrapText="1"/>
      <protection locked="0"/>
    </xf>
    <xf numFmtId="0" fontId="46" fillId="0" borderId="78" xfId="0" applyFont="1" applyBorder="1" applyAlignment="1" applyProtection="1">
      <alignment horizontal="center" vertical="center" wrapText="1"/>
      <protection locked="0"/>
    </xf>
    <xf numFmtId="0" fontId="46" fillId="0" borderId="64" xfId="0" applyFont="1" applyBorder="1" applyAlignment="1" applyProtection="1">
      <alignment horizontal="center" vertical="center" wrapText="1"/>
      <protection locked="0"/>
    </xf>
    <xf numFmtId="2" fontId="46" fillId="0" borderId="19" xfId="0" applyNumberFormat="1" applyFont="1" applyBorder="1" applyAlignment="1" applyProtection="1">
      <alignment horizontal="center" vertical="center"/>
      <protection locked="0"/>
    </xf>
    <xf numFmtId="0" fontId="46" fillId="0" borderId="21" xfId="0" applyFont="1" applyBorder="1" applyAlignment="1" applyProtection="1">
      <alignment horizontal="center" vertical="center"/>
      <protection locked="0"/>
    </xf>
    <xf numFmtId="0" fontId="46" fillId="0" borderId="19" xfId="0" applyFont="1" applyBorder="1" applyProtection="1">
      <protection locked="0"/>
    </xf>
    <xf numFmtId="0" fontId="46" fillId="0" borderId="66" xfId="0" applyFont="1" applyBorder="1" applyProtection="1">
      <protection locked="0"/>
    </xf>
    <xf numFmtId="0" fontId="57" fillId="0" borderId="19" xfId="0" applyFont="1" applyBorder="1" applyAlignment="1" applyProtection="1">
      <alignment horizontal="center" vertical="center"/>
      <protection locked="0"/>
    </xf>
    <xf numFmtId="0" fontId="45" fillId="26" borderId="90" xfId="0" applyFont="1" applyFill="1" applyBorder="1" applyAlignment="1" applyProtection="1">
      <alignment horizontal="right" vertical="center" wrapText="1"/>
      <protection locked="0"/>
    </xf>
    <xf numFmtId="0" fontId="45" fillId="26" borderId="94" xfId="0" applyFont="1" applyFill="1" applyBorder="1" applyAlignment="1" applyProtection="1">
      <alignment horizontal="right" vertical="center" wrapText="1"/>
      <protection locked="0"/>
    </xf>
    <xf numFmtId="0" fontId="45" fillId="26" borderId="87" xfId="0" applyFont="1" applyFill="1" applyBorder="1" applyAlignment="1" applyProtection="1">
      <alignment horizontal="right" vertical="center" wrapText="1"/>
      <protection locked="0"/>
    </xf>
    <xf numFmtId="0" fontId="45" fillId="26" borderId="71" xfId="0" applyFont="1" applyFill="1" applyBorder="1" applyAlignment="1" applyProtection="1">
      <alignment horizontal="center" vertical="center" wrapText="1"/>
      <protection locked="0"/>
    </xf>
    <xf numFmtId="0" fontId="45" fillId="26" borderId="66" xfId="0" applyFont="1" applyFill="1" applyBorder="1" applyAlignment="1" applyProtection="1">
      <alignment horizontal="center" vertical="center" wrapText="1"/>
      <protection locked="0"/>
    </xf>
    <xf numFmtId="0" fontId="45" fillId="26" borderId="21" xfId="0" applyFont="1" applyFill="1" applyBorder="1" applyAlignment="1" applyProtection="1">
      <alignment horizontal="center" vertical="center" wrapText="1"/>
      <protection locked="0"/>
    </xf>
    <xf numFmtId="1" fontId="46" fillId="0" borderId="68" xfId="0" quotePrefix="1" applyNumberFormat="1" applyFont="1" applyBorder="1" applyAlignment="1" applyProtection="1">
      <alignment horizontal="center" vertical="center"/>
      <protection locked="0"/>
    </xf>
    <xf numFmtId="0" fontId="46" fillId="0" borderId="10" xfId="0" applyFont="1" applyBorder="1" applyAlignment="1" applyProtection="1">
      <alignment horizontal="center" vertical="center"/>
      <protection locked="0"/>
    </xf>
    <xf numFmtId="2" fontId="46" fillId="26" borderId="66" xfId="0" applyNumberFormat="1" applyFont="1" applyFill="1" applyBorder="1" applyAlignment="1" applyProtection="1">
      <alignment horizontal="center" vertical="center"/>
      <protection locked="0"/>
    </xf>
    <xf numFmtId="0" fontId="46" fillId="26" borderId="66" xfId="0" applyFont="1" applyFill="1" applyBorder="1" applyAlignment="1" applyProtection="1">
      <alignment horizontal="center" vertical="center"/>
      <protection locked="0"/>
    </xf>
    <xf numFmtId="0" fontId="46" fillId="0" borderId="108" xfId="0" applyFont="1" applyBorder="1" applyAlignment="1" applyProtection="1">
      <alignment horizontal="left" vertical="center" wrapText="1"/>
      <protection locked="0"/>
    </xf>
    <xf numFmtId="0" fontId="46" fillId="0" borderId="109" xfId="0" applyFont="1" applyBorder="1" applyAlignment="1" applyProtection="1">
      <alignment horizontal="left" vertical="center" wrapText="1"/>
      <protection locked="0"/>
    </xf>
    <xf numFmtId="0" fontId="15" fillId="26" borderId="42" xfId="0" applyFont="1" applyFill="1" applyBorder="1" applyAlignment="1" applyProtection="1">
      <alignment horizontal="left" vertical="center" wrapText="1"/>
      <protection locked="0"/>
    </xf>
    <xf numFmtId="0" fontId="15" fillId="26" borderId="43" xfId="0" applyFont="1" applyFill="1" applyBorder="1" applyAlignment="1" applyProtection="1">
      <alignment horizontal="left" vertical="center" wrapText="1"/>
      <protection locked="0"/>
    </xf>
    <xf numFmtId="0" fontId="45" fillId="26" borderId="136" xfId="0" applyFont="1" applyFill="1" applyBorder="1" applyAlignment="1" applyProtection="1">
      <alignment horizontal="right" vertical="center"/>
      <protection locked="0"/>
    </xf>
    <xf numFmtId="0" fontId="45" fillId="26" borderId="88" xfId="0" applyFont="1" applyFill="1" applyBorder="1" applyAlignment="1" applyProtection="1">
      <alignment horizontal="right" vertical="center"/>
      <protection locked="0"/>
    </xf>
    <xf numFmtId="0" fontId="45" fillId="26" borderId="104" xfId="0" applyFont="1" applyFill="1" applyBorder="1" applyAlignment="1" applyProtection="1">
      <alignment horizontal="right" vertical="center"/>
      <protection locked="0"/>
    </xf>
    <xf numFmtId="0" fontId="103" fillId="0" borderId="109" xfId="0" quotePrefix="1" applyFont="1" applyBorder="1" applyAlignment="1" applyProtection="1">
      <alignment horizontal="center"/>
      <protection locked="0"/>
    </xf>
    <xf numFmtId="0" fontId="103" fillId="0" borderId="100" xfId="0" quotePrefix="1" applyFont="1" applyBorder="1" applyAlignment="1" applyProtection="1">
      <alignment horizontal="center"/>
      <protection locked="0"/>
    </xf>
    <xf numFmtId="0" fontId="15" fillId="26" borderId="109" xfId="0" applyFont="1" applyFill="1" applyBorder="1" applyAlignment="1" applyProtection="1">
      <alignment horizontal="right" vertical="center"/>
      <protection locked="0"/>
    </xf>
    <xf numFmtId="0" fontId="46" fillId="0" borderId="12" xfId="0" applyFont="1" applyBorder="1" applyAlignment="1" applyProtection="1">
      <alignment horizontal="center" vertical="center"/>
      <protection locked="0"/>
    </xf>
    <xf numFmtId="0" fontId="15" fillId="26" borderId="108" xfId="0" applyFont="1" applyFill="1" applyBorder="1" applyAlignment="1" applyProtection="1">
      <alignment horizontal="left" vertical="center" wrapText="1"/>
      <protection locked="0"/>
    </xf>
    <xf numFmtId="0" fontId="15" fillId="26" borderId="109" xfId="0" applyFont="1" applyFill="1" applyBorder="1" applyAlignment="1" applyProtection="1">
      <alignment horizontal="left" vertical="center" wrapText="1"/>
      <protection locked="0"/>
    </xf>
    <xf numFmtId="0" fontId="46" fillId="0" borderId="99" xfId="0" applyFont="1" applyBorder="1" applyAlignment="1" applyProtection="1">
      <alignment horizontal="left" vertical="center" wrapText="1"/>
      <protection locked="0"/>
    </xf>
    <xf numFmtId="0" fontId="46" fillId="0" borderId="100" xfId="0" applyFont="1" applyBorder="1" applyAlignment="1" applyProtection="1">
      <alignment horizontal="left" vertical="center" wrapText="1"/>
      <protection locked="0"/>
    </xf>
    <xf numFmtId="0" fontId="46" fillId="0" borderId="75" xfId="0" applyFont="1" applyBorder="1" applyAlignment="1" applyProtection="1">
      <alignment horizontal="center" vertical="center"/>
      <protection locked="0"/>
    </xf>
    <xf numFmtId="0" fontId="15" fillId="26" borderId="92" xfId="0" applyFont="1" applyFill="1" applyBorder="1" applyAlignment="1" applyProtection="1">
      <alignment horizontal="center" vertical="center" wrapText="1"/>
      <protection locked="0"/>
    </xf>
    <xf numFmtId="0" fontId="15" fillId="26" borderId="133" xfId="0" applyFont="1" applyFill="1" applyBorder="1" applyAlignment="1" applyProtection="1">
      <alignment horizontal="center" vertical="center" wrapText="1"/>
      <protection locked="0"/>
    </xf>
    <xf numFmtId="1" fontId="46" fillId="0" borderId="66" xfId="0" quotePrefix="1" applyNumberFormat="1" applyFont="1" applyBorder="1" applyAlignment="1" applyProtection="1">
      <alignment horizontal="center" vertical="center"/>
      <protection locked="0"/>
    </xf>
    <xf numFmtId="0" fontId="15" fillId="26" borderId="91" xfId="0" applyFont="1" applyFill="1" applyBorder="1" applyAlignment="1" applyProtection="1">
      <alignment horizontal="center" vertical="center" wrapText="1"/>
      <protection locked="0"/>
    </xf>
    <xf numFmtId="0" fontId="15" fillId="26" borderId="85" xfId="0" applyFont="1" applyFill="1" applyBorder="1" applyAlignment="1" applyProtection="1">
      <alignment horizontal="center" vertical="center" wrapText="1"/>
      <protection locked="0"/>
    </xf>
    <xf numFmtId="0" fontId="15" fillId="0" borderId="75" xfId="0" applyFont="1" applyBorder="1" applyAlignment="1" applyProtection="1">
      <alignment horizontal="center" vertical="center"/>
      <protection locked="0"/>
    </xf>
    <xf numFmtId="0" fontId="15" fillId="0" borderId="76" xfId="0" applyFont="1" applyBorder="1" applyAlignment="1" applyProtection="1">
      <alignment horizontal="center" vertical="center"/>
      <protection locked="0"/>
    </xf>
    <xf numFmtId="164" fontId="116" fillId="0" borderId="83" xfId="0" applyNumberFormat="1" applyFont="1" applyBorder="1" applyAlignment="1" applyProtection="1">
      <alignment horizontal="center" vertical="center"/>
      <protection locked="0"/>
    </xf>
    <xf numFmtId="164" fontId="116" fillId="0" borderId="75" xfId="0" applyNumberFormat="1" applyFont="1" applyBorder="1" applyAlignment="1" applyProtection="1">
      <alignment horizontal="center" vertical="center"/>
      <protection locked="0"/>
    </xf>
    <xf numFmtId="0" fontId="45" fillId="26" borderId="126" xfId="0" applyFont="1" applyFill="1" applyBorder="1" applyAlignment="1" applyProtection="1">
      <alignment horizontal="center" vertical="center"/>
      <protection locked="0"/>
    </xf>
    <xf numFmtId="0" fontId="45" fillId="26" borderId="137" xfId="0" applyFont="1" applyFill="1" applyBorder="1" applyAlignment="1" applyProtection="1">
      <alignment horizontal="center" vertical="center"/>
      <protection locked="0"/>
    </xf>
    <xf numFmtId="0" fontId="45" fillId="26" borderId="135" xfId="0" applyFont="1" applyFill="1" applyBorder="1" applyAlignment="1" applyProtection="1">
      <alignment horizontal="center" vertical="center"/>
      <protection locked="0"/>
    </xf>
    <xf numFmtId="0" fontId="103" fillId="0" borderId="125" xfId="0" quotePrefix="1" applyFont="1" applyBorder="1" applyAlignment="1" applyProtection="1">
      <alignment horizontal="center"/>
      <protection locked="0"/>
    </xf>
    <xf numFmtId="0" fontId="103" fillId="0" borderId="138" xfId="0" quotePrefix="1" applyFont="1" applyBorder="1" applyAlignment="1" applyProtection="1">
      <alignment horizontal="center"/>
      <protection locked="0"/>
    </xf>
    <xf numFmtId="0" fontId="103" fillId="0" borderId="129" xfId="0" quotePrefix="1" applyFont="1" applyBorder="1" applyAlignment="1" applyProtection="1">
      <alignment horizontal="center"/>
      <protection locked="0"/>
    </xf>
    <xf numFmtId="0" fontId="103" fillId="0" borderId="139" xfId="0" quotePrefix="1" applyFont="1" applyBorder="1" applyAlignment="1" applyProtection="1">
      <alignment horizontal="center"/>
      <protection locked="0"/>
    </xf>
    <xf numFmtId="0" fontId="103" fillId="0" borderId="113" xfId="0" quotePrefix="1" applyFont="1" applyBorder="1" applyAlignment="1" applyProtection="1">
      <alignment horizontal="center"/>
      <protection locked="0"/>
    </xf>
    <xf numFmtId="0" fontId="103" fillId="0" borderId="131" xfId="0" quotePrefix="1" applyFont="1" applyBorder="1" applyAlignment="1" applyProtection="1">
      <alignment horizontal="center"/>
      <protection locked="0"/>
    </xf>
    <xf numFmtId="0" fontId="15" fillId="26" borderId="42" xfId="0" applyFont="1" applyFill="1" applyBorder="1" applyAlignment="1" applyProtection="1">
      <alignment horizontal="center" vertical="center" wrapText="1"/>
      <protection locked="0"/>
    </xf>
    <xf numFmtId="0" fontId="15" fillId="26" borderId="43" xfId="0" applyFont="1" applyFill="1" applyBorder="1" applyAlignment="1" applyProtection="1">
      <alignment horizontal="center" vertical="center" wrapText="1"/>
      <protection locked="0"/>
    </xf>
    <xf numFmtId="0" fontId="15" fillId="26" borderId="108" xfId="0" applyFont="1" applyFill="1" applyBorder="1" applyAlignment="1" applyProtection="1">
      <alignment horizontal="center" vertical="center" wrapText="1"/>
      <protection locked="0"/>
    </xf>
    <xf numFmtId="0" fontId="15" fillId="26" borderId="109" xfId="0" applyFont="1" applyFill="1" applyBorder="1" applyAlignment="1" applyProtection="1">
      <alignment horizontal="center" vertical="center" wrapText="1"/>
      <protection locked="0"/>
    </xf>
    <xf numFmtId="0" fontId="15" fillId="26" borderId="125" xfId="0" applyFont="1" applyFill="1" applyBorder="1" applyAlignment="1" applyProtection="1">
      <alignment horizontal="center" vertical="center"/>
      <protection locked="0"/>
    </xf>
    <xf numFmtId="0" fontId="15" fillId="26" borderId="138" xfId="0" applyFont="1" applyFill="1" applyBorder="1" applyAlignment="1" applyProtection="1">
      <alignment horizontal="center" vertical="center"/>
      <protection locked="0"/>
    </xf>
    <xf numFmtId="0" fontId="15" fillId="26" borderId="129" xfId="0" applyFont="1" applyFill="1" applyBorder="1" applyAlignment="1" applyProtection="1">
      <alignment horizontal="center" vertical="center"/>
      <protection locked="0"/>
    </xf>
    <xf numFmtId="0" fontId="83" fillId="0" borderId="19" xfId="0" applyFont="1" applyBorder="1" applyAlignment="1" applyProtection="1">
      <alignment horizontal="center"/>
      <protection locked="0"/>
    </xf>
    <xf numFmtId="0" fontId="83" fillId="0" borderId="66" xfId="0" applyFont="1" applyBorder="1" applyAlignment="1" applyProtection="1">
      <alignment horizontal="center"/>
      <protection locked="0"/>
    </xf>
    <xf numFmtId="0" fontId="83" fillId="0" borderId="21" xfId="0" applyFont="1" applyBorder="1" applyAlignment="1" applyProtection="1">
      <alignment horizontal="center"/>
      <protection locked="0"/>
    </xf>
    <xf numFmtId="0" fontId="83" fillId="0" borderId="86" xfId="0" applyFont="1" applyBorder="1" applyAlignment="1" applyProtection="1">
      <alignment horizontal="center"/>
      <protection locked="0"/>
    </xf>
    <xf numFmtId="0" fontId="83" fillId="0" borderId="91" xfId="0" applyFont="1" applyBorder="1" applyAlignment="1" applyProtection="1">
      <alignment horizontal="center"/>
      <protection locked="0"/>
    </xf>
    <xf numFmtId="0" fontId="83" fillId="0" borderId="85" xfId="0" applyFont="1" applyBorder="1" applyAlignment="1" applyProtection="1">
      <alignment horizontal="center"/>
      <protection locked="0"/>
    </xf>
    <xf numFmtId="2" fontId="31" fillId="26" borderId="90" xfId="0" applyNumberFormat="1" applyFont="1" applyFill="1" applyBorder="1" applyAlignment="1" applyProtection="1">
      <alignment horizontal="right" vertical="center"/>
      <protection locked="0"/>
    </xf>
    <xf numFmtId="2" fontId="31" fillId="26" borderId="94" xfId="0" applyNumberFormat="1" applyFont="1" applyFill="1" applyBorder="1" applyAlignment="1" applyProtection="1">
      <alignment horizontal="right" vertical="center"/>
      <protection locked="0"/>
    </xf>
    <xf numFmtId="2" fontId="31" fillId="26" borderId="87" xfId="0" applyNumberFormat="1" applyFont="1" applyFill="1" applyBorder="1" applyAlignment="1" applyProtection="1">
      <alignment horizontal="right" vertical="center"/>
      <protection locked="0"/>
    </xf>
    <xf numFmtId="2" fontId="46" fillId="0" borderId="65" xfId="0" quotePrefix="1" applyNumberFormat="1" applyFont="1" applyBorder="1" applyAlignment="1" applyProtection="1">
      <alignment horizontal="center" vertical="center"/>
      <protection locked="0"/>
    </xf>
    <xf numFmtId="2" fontId="46" fillId="0" borderId="79" xfId="0" quotePrefix="1" applyNumberFormat="1" applyFont="1" applyBorder="1" applyAlignment="1" applyProtection="1">
      <alignment horizontal="center" vertical="center"/>
      <protection locked="0"/>
    </xf>
    <xf numFmtId="2" fontId="46" fillId="0" borderId="67" xfId="0" quotePrefix="1" applyNumberFormat="1" applyFont="1" applyBorder="1" applyAlignment="1" applyProtection="1">
      <alignment horizontal="center" vertical="center"/>
      <protection locked="0"/>
    </xf>
    <xf numFmtId="0" fontId="31" fillId="26" borderId="71" xfId="0" applyFont="1" applyFill="1" applyBorder="1" applyAlignment="1" applyProtection="1">
      <alignment horizontal="right" vertical="center" wrapText="1"/>
      <protection locked="0"/>
    </xf>
    <xf numFmtId="0" fontId="31" fillId="26" borderId="66" xfId="0" applyFont="1" applyFill="1" applyBorder="1" applyAlignment="1" applyProtection="1">
      <alignment horizontal="right" vertical="center" wrapText="1"/>
      <protection locked="0"/>
    </xf>
    <xf numFmtId="0" fontId="31" fillId="26" borderId="21" xfId="0" applyFont="1" applyFill="1" applyBorder="1" applyAlignment="1" applyProtection="1">
      <alignment horizontal="right" vertical="center" wrapText="1"/>
      <protection locked="0"/>
    </xf>
    <xf numFmtId="2" fontId="31" fillId="26" borderId="71" xfId="0" applyNumberFormat="1" applyFont="1" applyFill="1" applyBorder="1" applyAlignment="1" applyProtection="1">
      <alignment horizontal="right" vertical="center"/>
      <protection locked="0"/>
    </xf>
    <xf numFmtId="2" fontId="31" fillId="26" borderId="66" xfId="0" applyNumberFormat="1" applyFont="1" applyFill="1" applyBorder="1" applyAlignment="1" applyProtection="1">
      <alignment horizontal="right" vertical="center"/>
      <protection locked="0"/>
    </xf>
    <xf numFmtId="2" fontId="31" fillId="26" borderId="21" xfId="0" applyNumberFormat="1" applyFont="1" applyFill="1" applyBorder="1" applyAlignment="1" applyProtection="1">
      <alignment horizontal="right" vertical="center"/>
      <protection locked="0"/>
    </xf>
    <xf numFmtId="164" fontId="96" fillId="0" borderId="65" xfId="0" quotePrefix="1" applyNumberFormat="1" applyFont="1" applyBorder="1" applyAlignment="1" applyProtection="1">
      <alignment horizontal="center" vertical="center"/>
      <protection locked="0"/>
    </xf>
    <xf numFmtId="164" fontId="96" fillId="0" borderId="79" xfId="0" quotePrefix="1" applyNumberFormat="1" applyFont="1" applyBorder="1" applyAlignment="1" applyProtection="1">
      <alignment horizontal="center" vertical="center"/>
      <protection locked="0"/>
    </xf>
    <xf numFmtId="164" fontId="96" fillId="0" borderId="67" xfId="0" applyNumberFormat="1" applyFont="1" applyBorder="1" applyAlignment="1" applyProtection="1">
      <alignment horizontal="center" vertical="center"/>
      <protection locked="0"/>
    </xf>
    <xf numFmtId="164" fontId="46" fillId="0" borderId="65" xfId="0" quotePrefix="1" applyNumberFormat="1" applyFont="1" applyBorder="1" applyAlignment="1" applyProtection="1">
      <alignment horizontal="center" vertical="center"/>
      <protection locked="0"/>
    </xf>
    <xf numFmtId="164" fontId="46" fillId="0" borderId="79" xfId="0" quotePrefix="1" applyNumberFormat="1" applyFont="1" applyBorder="1" applyAlignment="1" applyProtection="1">
      <alignment horizontal="center" vertical="center"/>
      <protection locked="0"/>
    </xf>
    <xf numFmtId="164" fontId="46" fillId="0" borderId="67" xfId="0" quotePrefix="1" applyNumberFormat="1" applyFont="1" applyBorder="1" applyAlignment="1" applyProtection="1">
      <alignment horizontal="center" vertical="center"/>
      <protection locked="0"/>
    </xf>
    <xf numFmtId="0" fontId="96" fillId="0" borderId="68" xfId="0" applyFont="1" applyBorder="1" applyAlignment="1" applyProtection="1">
      <alignment horizontal="left" vertical="center" wrapText="1"/>
      <protection locked="0"/>
    </xf>
    <xf numFmtId="0" fontId="96" fillId="0" borderId="10" xfId="0" applyFont="1" applyBorder="1" applyAlignment="1" applyProtection="1">
      <alignment horizontal="left" vertical="center" wrapText="1"/>
      <protection locked="0"/>
    </xf>
    <xf numFmtId="0" fontId="96" fillId="0" borderId="81" xfId="0" applyFont="1" applyBorder="1" applyAlignment="1" applyProtection="1">
      <alignment horizontal="left" vertical="center" wrapText="1"/>
      <protection locked="0"/>
    </xf>
    <xf numFmtId="0" fontId="96" fillId="0" borderId="17" xfId="0" applyFont="1" applyBorder="1" applyAlignment="1" applyProtection="1">
      <alignment horizontal="center" vertical="center" wrapText="1"/>
      <protection locked="0"/>
    </xf>
    <xf numFmtId="0" fontId="96" fillId="0" borderId="19" xfId="0" applyFont="1" applyBorder="1" applyAlignment="1" applyProtection="1">
      <alignment horizontal="left" vertical="center" wrapText="1"/>
      <protection locked="0"/>
    </xf>
    <xf numFmtId="0" fontId="96" fillId="0" borderId="66" xfId="0" applyFont="1" applyBorder="1" applyAlignment="1" applyProtection="1">
      <alignment horizontal="left" vertical="center" wrapText="1"/>
      <protection locked="0"/>
    </xf>
    <xf numFmtId="164" fontId="96" fillId="0" borderId="79" xfId="0" applyNumberFormat="1" applyFont="1" applyBorder="1" applyAlignment="1" applyProtection="1">
      <alignment horizontal="center" vertical="center"/>
      <protection locked="0"/>
    </xf>
    <xf numFmtId="164" fontId="46" fillId="0" borderId="65" xfId="0" applyNumberFormat="1" applyFont="1" applyBorder="1" applyAlignment="1" applyProtection="1">
      <alignment horizontal="center" vertical="center"/>
      <protection locked="0"/>
    </xf>
    <xf numFmtId="164" fontId="46" fillId="0" borderId="67" xfId="0" applyNumberFormat="1" applyFont="1" applyBorder="1" applyAlignment="1" applyProtection="1">
      <alignment horizontal="center" vertical="center"/>
      <protection locked="0"/>
    </xf>
    <xf numFmtId="164" fontId="96" fillId="0" borderId="67" xfId="0" quotePrefix="1" applyNumberFormat="1" applyFont="1" applyBorder="1" applyAlignment="1" applyProtection="1">
      <alignment horizontal="center" vertical="center"/>
      <protection locked="0"/>
    </xf>
    <xf numFmtId="0" fontId="15" fillId="31" borderId="90" xfId="42" applyFont="1" applyFill="1" applyBorder="1" applyAlignment="1">
      <alignment horizontal="left" vertical="center" wrapText="1"/>
    </xf>
    <xf numFmtId="0" fontId="15" fillId="31" borderId="94" xfId="42" applyFont="1" applyFill="1" applyBorder="1" applyAlignment="1">
      <alignment horizontal="left" vertical="center" wrapText="1"/>
    </xf>
    <xf numFmtId="0" fontId="15" fillId="31" borderId="120" xfId="42" applyFont="1" applyFill="1" applyBorder="1" applyAlignment="1">
      <alignment horizontal="left" vertical="center" wrapText="1"/>
    </xf>
    <xf numFmtId="0" fontId="15" fillId="31" borderId="132" xfId="42" applyFont="1" applyFill="1" applyBorder="1" applyAlignment="1">
      <alignment horizontal="left" vertical="center" wrapText="1"/>
    </xf>
    <xf numFmtId="0" fontId="15" fillId="31" borderId="92" xfId="42" applyFont="1" applyFill="1" applyBorder="1" applyAlignment="1">
      <alignment horizontal="left" vertical="center" wrapText="1"/>
    </xf>
    <xf numFmtId="0" fontId="15" fillId="31" borderId="127" xfId="42" applyFont="1" applyFill="1" applyBorder="1" applyAlignment="1">
      <alignment horizontal="left" vertical="center" wrapText="1"/>
    </xf>
    <xf numFmtId="0" fontId="15" fillId="31" borderId="79" xfId="42" applyFont="1" applyFill="1" applyBorder="1" applyAlignment="1">
      <alignment horizontal="center" vertical="center" wrapText="1"/>
    </xf>
    <xf numFmtId="0" fontId="15" fillId="31" borderId="17" xfId="42" applyFont="1" applyFill="1" applyBorder="1" applyAlignment="1">
      <alignment horizontal="center" vertical="center"/>
    </xf>
    <xf numFmtId="0" fontId="46" fillId="0" borderId="0" xfId="42" applyFont="1" applyAlignment="1" applyProtection="1">
      <alignment horizontal="left" vertical="center" wrapText="1"/>
      <protection locked="0"/>
    </xf>
    <xf numFmtId="0" fontId="15" fillId="0" borderId="0" xfId="42" applyFont="1" applyAlignment="1" applyProtection="1">
      <alignment horizontal="left" vertical="center" wrapText="1"/>
      <protection locked="0"/>
    </xf>
    <xf numFmtId="0" fontId="96" fillId="0" borderId="12" xfId="0" applyFont="1" applyBorder="1" applyAlignment="1" applyProtection="1">
      <alignment horizontal="center" vertical="center" wrapText="1"/>
      <protection locked="0"/>
    </xf>
    <xf numFmtId="0" fontId="96" fillId="0" borderId="15" xfId="0" applyFont="1" applyBorder="1" applyAlignment="1" applyProtection="1">
      <alignment horizontal="center" vertical="center" wrapText="1"/>
      <protection locked="0"/>
    </xf>
    <xf numFmtId="0" fontId="31" fillId="26" borderId="75" xfId="0" applyFont="1" applyFill="1" applyBorder="1" applyAlignment="1" applyProtection="1">
      <alignment horizontal="center" vertical="center" wrapText="1"/>
      <protection locked="0"/>
    </xf>
    <xf numFmtId="0" fontId="58" fillId="26" borderId="12" xfId="0" applyFont="1" applyFill="1" applyBorder="1" applyAlignment="1" applyProtection="1">
      <alignment horizontal="center" vertical="center" wrapText="1"/>
      <protection locked="0"/>
    </xf>
    <xf numFmtId="0" fontId="58" fillId="26" borderId="15" xfId="0" applyFont="1" applyFill="1" applyBorder="1" applyAlignment="1" applyProtection="1">
      <alignment horizontal="center" vertical="center" wrapText="1"/>
      <protection locked="0"/>
    </xf>
    <xf numFmtId="0" fontId="96" fillId="22" borderId="12" xfId="0" applyFont="1" applyFill="1" applyBorder="1" applyAlignment="1" applyProtection="1">
      <alignment horizontal="left" vertical="center"/>
      <protection locked="0"/>
    </xf>
    <xf numFmtId="0" fontId="96" fillId="22" borderId="15" xfId="0" applyFont="1" applyFill="1" applyBorder="1" applyAlignment="1" applyProtection="1">
      <alignment horizontal="left" vertical="center"/>
      <protection locked="0"/>
    </xf>
    <xf numFmtId="0" fontId="58" fillId="26" borderId="11" xfId="0" applyFont="1" applyFill="1" applyBorder="1" applyAlignment="1" applyProtection="1">
      <alignment horizontal="center" vertical="center"/>
      <protection locked="0"/>
    </xf>
    <xf numFmtId="0" fontId="58" fillId="26" borderId="12" xfId="0" applyFont="1" applyFill="1" applyBorder="1" applyAlignment="1" applyProtection="1">
      <alignment vertical="center"/>
      <protection locked="0"/>
    </xf>
    <xf numFmtId="0" fontId="31" fillId="26" borderId="12" xfId="0" applyFont="1" applyFill="1" applyBorder="1" applyAlignment="1" applyProtection="1">
      <alignment horizontal="right" vertical="center"/>
      <protection locked="0"/>
    </xf>
    <xf numFmtId="0" fontId="58" fillId="26" borderId="12" xfId="0" applyFont="1" applyFill="1" applyBorder="1" applyAlignment="1" applyProtection="1">
      <alignment horizontal="right" vertical="center"/>
      <protection locked="0"/>
    </xf>
    <xf numFmtId="2" fontId="96" fillId="0" borderId="11" xfId="0" applyNumberFormat="1" applyFont="1" applyBorder="1" applyAlignment="1" applyProtection="1">
      <alignment horizontal="center" vertical="center"/>
      <protection locked="0"/>
    </xf>
    <xf numFmtId="0" fontId="96" fillId="0" borderId="11" xfId="0" applyFont="1" applyBorder="1" applyAlignment="1" applyProtection="1">
      <alignment horizontal="center" vertical="center"/>
      <protection locked="0"/>
    </xf>
    <xf numFmtId="0" fontId="96" fillId="0" borderId="12" xfId="0" applyFont="1" applyBorder="1" applyAlignment="1" applyProtection="1">
      <alignment horizontal="center" vertical="center"/>
      <protection locked="0"/>
    </xf>
    <xf numFmtId="0" fontId="96" fillId="0" borderId="15" xfId="0" applyFont="1" applyBorder="1" applyAlignment="1" applyProtection="1">
      <alignment horizontal="center" vertical="center"/>
      <protection locked="0"/>
    </xf>
    <xf numFmtId="0" fontId="46" fillId="0" borderId="91" xfId="41" applyFont="1" applyBorder="1" applyAlignment="1" applyProtection="1">
      <alignment horizontal="left" vertical="center"/>
      <protection locked="0"/>
    </xf>
    <xf numFmtId="0" fontId="46" fillId="0" borderId="85" xfId="41" applyFont="1" applyBorder="1" applyAlignment="1" applyProtection="1">
      <alignment horizontal="left" vertical="center"/>
      <protection locked="0"/>
    </xf>
    <xf numFmtId="0" fontId="31" fillId="26" borderId="84" xfId="0" applyFont="1" applyFill="1" applyBorder="1" applyAlignment="1" applyProtection="1">
      <alignment horizontal="right" vertical="center"/>
      <protection locked="0"/>
    </xf>
    <xf numFmtId="0" fontId="58" fillId="26" borderId="44" xfId="0" applyFont="1" applyFill="1" applyBorder="1" applyAlignment="1" applyProtection="1">
      <alignment horizontal="right" vertical="center"/>
      <protection locked="0"/>
    </xf>
    <xf numFmtId="0" fontId="92" fillId="0" borderId="0" xfId="0" applyFont="1" applyAlignment="1" applyProtection="1">
      <alignment horizontal="left"/>
      <protection locked="0"/>
    </xf>
    <xf numFmtId="0" fontId="58" fillId="26" borderId="44" xfId="0" applyFont="1" applyFill="1" applyBorder="1" applyAlignment="1" applyProtection="1">
      <alignment horizontal="center" vertical="center" wrapText="1"/>
      <protection locked="0"/>
    </xf>
    <xf numFmtId="0" fontId="58" fillId="26" borderId="45" xfId="0" applyFont="1" applyFill="1" applyBorder="1" applyAlignment="1" applyProtection="1">
      <alignment horizontal="center" vertical="center" wrapText="1"/>
      <protection locked="0"/>
    </xf>
    <xf numFmtId="0" fontId="0" fillId="0" borderId="91" xfId="0" applyBorder="1" applyAlignment="1">
      <alignment horizontal="center"/>
    </xf>
    <xf numFmtId="0" fontId="0" fillId="0" borderId="85" xfId="0" applyBorder="1" applyAlignment="1">
      <alignment horizontal="center"/>
    </xf>
    <xf numFmtId="0" fontId="45" fillId="26" borderId="43" xfId="0" applyFont="1" applyFill="1" applyBorder="1" applyAlignment="1" applyProtection="1">
      <alignment horizontal="center" vertical="center"/>
      <protection locked="0"/>
    </xf>
    <xf numFmtId="0" fontId="15" fillId="26" borderId="109" xfId="0" applyFont="1" applyFill="1" applyBorder="1" applyAlignment="1" applyProtection="1">
      <alignment horizontal="center" vertical="center"/>
      <protection locked="0"/>
    </xf>
    <xf numFmtId="0" fontId="46" fillId="0" borderId="66" xfId="41" applyFont="1" applyBorder="1" applyAlignment="1" applyProtection="1">
      <alignment horizontal="left" vertical="center"/>
      <protection locked="0"/>
    </xf>
    <xf numFmtId="0" fontId="46" fillId="0" borderId="21" xfId="41" applyFont="1" applyBorder="1" applyAlignment="1" applyProtection="1">
      <alignment horizontal="left" vertical="center"/>
      <protection locked="0"/>
    </xf>
    <xf numFmtId="0" fontId="0" fillId="0" borderId="66" xfId="0" applyBorder="1" applyAlignment="1">
      <alignment horizontal="center"/>
    </xf>
    <xf numFmtId="0" fontId="0" fillId="0" borderId="21" xfId="0" applyBorder="1" applyAlignment="1">
      <alignment horizontal="center"/>
    </xf>
    <xf numFmtId="0" fontId="31" fillId="26" borderId="76" xfId="0" applyFont="1" applyFill="1" applyBorder="1" applyAlignment="1" applyProtection="1">
      <alignment horizontal="center" vertical="center" wrapText="1"/>
      <protection locked="0"/>
    </xf>
    <xf numFmtId="0" fontId="31" fillId="26" borderId="12" xfId="0" applyFont="1" applyFill="1" applyBorder="1" applyAlignment="1" applyProtection="1">
      <alignment horizontal="center" vertical="center" wrapText="1"/>
      <protection locked="0"/>
    </xf>
    <xf numFmtId="0" fontId="31" fillId="26" borderId="15" xfId="0" applyFont="1" applyFill="1" applyBorder="1" applyAlignment="1" applyProtection="1">
      <alignment horizontal="center" vertical="center" wrapText="1"/>
      <protection locked="0"/>
    </xf>
    <xf numFmtId="0" fontId="15" fillId="26" borderId="92" xfId="0" applyFont="1" applyFill="1" applyBorder="1" applyAlignment="1" applyProtection="1">
      <alignment horizontal="center" vertical="center"/>
      <protection locked="0"/>
    </xf>
    <xf numFmtId="2" fontId="31" fillId="26" borderId="83" xfId="0" applyNumberFormat="1" applyFont="1" applyFill="1" applyBorder="1" applyAlignment="1" applyProtection="1">
      <alignment horizontal="center" vertical="center" wrapText="1"/>
      <protection locked="0"/>
    </xf>
    <xf numFmtId="2" fontId="31" fillId="26" borderId="11" xfId="0" applyNumberFormat="1" applyFont="1" applyFill="1" applyBorder="1" applyAlignment="1" applyProtection="1">
      <alignment horizontal="center" vertical="center" wrapText="1"/>
      <protection locked="0"/>
    </xf>
    <xf numFmtId="0" fontId="15" fillId="0" borderId="94" xfId="0" applyFont="1" applyBorder="1" applyAlignment="1" applyProtection="1">
      <alignment horizontal="center" vertical="center"/>
      <protection locked="0"/>
    </xf>
    <xf numFmtId="0" fontId="15" fillId="0" borderId="91" xfId="0" applyFont="1" applyBorder="1" applyAlignment="1" applyProtection="1">
      <alignment horizontal="center" vertical="center"/>
      <protection locked="0"/>
    </xf>
    <xf numFmtId="0" fontId="96" fillId="22" borderId="12" xfId="0" applyFont="1" applyFill="1" applyBorder="1" applyAlignment="1" applyProtection="1">
      <alignment vertical="center"/>
      <protection locked="0"/>
    </xf>
    <xf numFmtId="0" fontId="96" fillId="0" borderId="19" xfId="0" applyFont="1" applyBorder="1" applyAlignment="1" applyProtection="1">
      <alignment vertical="center"/>
      <protection locked="0"/>
    </xf>
    <xf numFmtId="164" fontId="96" fillId="0" borderId="11" xfId="0" applyNumberFormat="1" applyFont="1" applyBorder="1" applyAlignment="1" applyProtection="1">
      <alignment horizontal="center" vertical="center"/>
      <protection locked="0"/>
    </xf>
    <xf numFmtId="0" fontId="96" fillId="22" borderId="19" xfId="0" applyFont="1" applyFill="1" applyBorder="1" applyAlignment="1" applyProtection="1">
      <alignment vertical="center"/>
      <protection locked="0"/>
    </xf>
    <xf numFmtId="0" fontId="96" fillId="0" borderId="66" xfId="0" applyFont="1" applyBorder="1" applyAlignment="1" applyProtection="1">
      <alignment vertical="center"/>
      <protection locked="0"/>
    </xf>
    <xf numFmtId="2" fontId="46" fillId="0" borderId="12" xfId="0" applyNumberFormat="1" applyFont="1" applyBorder="1" applyAlignment="1" applyProtection="1">
      <alignment horizontal="right" vertical="center"/>
      <protection locked="0"/>
    </xf>
    <xf numFmtId="0" fontId="96" fillId="0" borderId="12" xfId="0" applyFont="1" applyBorder="1" applyAlignment="1" applyProtection="1">
      <alignment horizontal="right" vertical="center"/>
      <protection locked="0"/>
    </xf>
    <xf numFmtId="0" fontId="46" fillId="0" borderId="12" xfId="0" applyFont="1" applyBorder="1" applyAlignment="1" applyProtection="1">
      <alignment horizontal="center" vertical="center" wrapText="1"/>
      <protection locked="0"/>
    </xf>
    <xf numFmtId="0" fontId="46" fillId="0" borderId="15" xfId="0" applyFont="1" applyBorder="1" applyAlignment="1" applyProtection="1">
      <alignment horizontal="center" vertical="center" wrapText="1"/>
      <protection locked="0"/>
    </xf>
    <xf numFmtId="2" fontId="96" fillId="0" borderId="11" xfId="0" applyNumberFormat="1" applyFont="1" applyBorder="1" applyAlignment="1" applyProtection="1">
      <alignment horizontal="center" vertical="center" wrapText="1"/>
      <protection locked="0"/>
    </xf>
    <xf numFmtId="0" fontId="96" fillId="22" borderId="19" xfId="0" applyFont="1" applyFill="1" applyBorder="1" applyAlignment="1" applyProtection="1">
      <alignment horizontal="left" vertical="center"/>
      <protection locked="0"/>
    </xf>
    <xf numFmtId="0" fontId="96" fillId="0" borderId="66" xfId="0" applyFont="1" applyBorder="1" applyAlignment="1" applyProtection="1">
      <alignment horizontal="left" vertical="center"/>
      <protection locked="0"/>
    </xf>
    <xf numFmtId="0" fontId="15" fillId="26" borderId="140" xfId="0" applyFont="1" applyFill="1" applyBorder="1" applyAlignment="1" applyProtection="1">
      <alignment horizontal="center" vertical="center" wrapText="1"/>
      <protection locked="0"/>
    </xf>
    <xf numFmtId="0" fontId="0" fillId="0" borderId="143" xfId="0" applyBorder="1" applyAlignment="1">
      <alignment horizontal="center" vertical="center" wrapText="1"/>
    </xf>
    <xf numFmtId="0" fontId="0" fillId="0" borderId="141" xfId="0" applyBorder="1" applyAlignment="1">
      <alignment horizontal="center" vertical="center" wrapText="1"/>
    </xf>
    <xf numFmtId="0" fontId="96" fillId="0" borderId="77" xfId="0" applyFont="1" applyBorder="1" applyAlignment="1" applyProtection="1">
      <alignment horizontal="left" vertical="center"/>
      <protection locked="0"/>
    </xf>
    <xf numFmtId="0" fontId="96" fillId="0" borderId="103" xfId="0" applyFont="1" applyBorder="1" applyAlignment="1" applyProtection="1">
      <alignment horizontal="left" vertical="center"/>
      <protection locked="0"/>
    </xf>
    <xf numFmtId="0" fontId="15" fillId="26" borderId="84" xfId="0" applyFont="1" applyFill="1" applyBorder="1" applyAlignment="1" applyProtection="1">
      <alignment horizontal="center" vertical="center"/>
      <protection locked="0"/>
    </xf>
    <xf numFmtId="0" fontId="15" fillId="26" borderId="44" xfId="0" applyFont="1" applyFill="1" applyBorder="1" applyAlignment="1" applyProtection="1">
      <alignment horizontal="center" vertical="center"/>
      <protection locked="0"/>
    </xf>
    <xf numFmtId="0" fontId="15" fillId="26" borderId="19" xfId="0" applyFont="1" applyFill="1" applyBorder="1" applyAlignment="1" applyProtection="1">
      <alignment horizontal="center" vertical="center" wrapText="1"/>
      <protection locked="0"/>
    </xf>
    <xf numFmtId="0" fontId="15" fillId="26" borderId="93" xfId="0" applyFont="1" applyFill="1" applyBorder="1" applyAlignment="1" applyProtection="1">
      <alignment horizontal="center" vertical="center" wrapText="1"/>
      <protection locked="0"/>
    </xf>
    <xf numFmtId="0" fontId="15" fillId="26" borderId="44" xfId="0" applyFont="1" applyFill="1" applyBorder="1" applyAlignment="1" applyProtection="1">
      <alignment horizontal="center" vertical="center" wrapText="1"/>
      <protection locked="0"/>
    </xf>
    <xf numFmtId="0" fontId="15" fillId="26" borderId="83" xfId="0" applyFont="1" applyFill="1" applyBorder="1" applyAlignment="1" applyProtection="1">
      <alignment horizontal="center" vertical="center"/>
      <protection locked="0"/>
    </xf>
    <xf numFmtId="0" fontId="15" fillId="26" borderId="75" xfId="0" applyFont="1" applyFill="1" applyBorder="1" applyAlignment="1" applyProtection="1">
      <alignment horizontal="center" vertical="center"/>
      <protection locked="0"/>
    </xf>
    <xf numFmtId="0" fontId="46" fillId="0" borderId="12" xfId="45" applyFont="1" applyBorder="1" applyAlignment="1" applyProtection="1">
      <alignment horizontal="left" vertical="center" wrapText="1"/>
      <protection locked="0"/>
    </xf>
    <xf numFmtId="0" fontId="46" fillId="0" borderId="12" xfId="45" applyFont="1" applyBorder="1" applyAlignment="1" applyProtection="1">
      <alignment horizontal="left" vertical="center"/>
      <protection locked="0"/>
    </xf>
    <xf numFmtId="0" fontId="96" fillId="0" borderId="12" xfId="0" applyFont="1" applyBorder="1" applyAlignment="1" applyProtection="1">
      <alignment horizontal="left" vertical="center"/>
      <protection locked="0"/>
    </xf>
    <xf numFmtId="0" fontId="96" fillId="0" borderId="15" xfId="0" applyFont="1" applyBorder="1" applyAlignment="1" applyProtection="1">
      <alignment horizontal="left" vertical="center"/>
      <protection locked="0"/>
    </xf>
    <xf numFmtId="0" fontId="15" fillId="26" borderId="45" xfId="0" applyFont="1" applyFill="1" applyBorder="1" applyAlignment="1" applyProtection="1">
      <alignment horizontal="center" vertical="center" wrapText="1"/>
      <protection locked="0"/>
    </xf>
    <xf numFmtId="0" fontId="15" fillId="26" borderId="21" xfId="0" applyFont="1" applyFill="1" applyBorder="1" applyAlignment="1" applyProtection="1">
      <alignment horizontal="center" vertical="center" wrapText="1"/>
      <protection locked="0"/>
    </xf>
    <xf numFmtId="0" fontId="15" fillId="26" borderId="87" xfId="0" applyFont="1" applyFill="1" applyBorder="1" applyAlignment="1" applyProtection="1">
      <alignment horizontal="center" vertical="center" wrapText="1"/>
      <protection locked="0"/>
    </xf>
    <xf numFmtId="0" fontId="15" fillId="26" borderId="37" xfId="0" applyFont="1" applyFill="1" applyBorder="1" applyAlignment="1" applyProtection="1">
      <alignment horizontal="center" vertical="center"/>
      <protection locked="0"/>
    </xf>
    <xf numFmtId="0" fontId="15" fillId="26" borderId="101" xfId="0" applyFont="1" applyFill="1" applyBorder="1" applyAlignment="1" applyProtection="1">
      <alignment horizontal="center" vertical="center"/>
      <protection locked="0"/>
    </xf>
    <xf numFmtId="0" fontId="15" fillId="26" borderId="91" xfId="0" applyFont="1" applyFill="1" applyBorder="1" applyAlignment="1" applyProtection="1">
      <alignment horizontal="center" vertical="center"/>
      <protection locked="0"/>
    </xf>
    <xf numFmtId="0" fontId="15" fillId="26" borderId="122" xfId="0" applyFont="1" applyFill="1" applyBorder="1" applyAlignment="1" applyProtection="1">
      <alignment horizontal="center" vertical="center"/>
      <protection locked="0"/>
    </xf>
    <xf numFmtId="0" fontId="31" fillId="26" borderId="12" xfId="0" applyFont="1" applyFill="1" applyBorder="1" applyAlignment="1" applyProtection="1">
      <alignment horizontal="left" vertical="center"/>
      <protection locked="0"/>
    </xf>
    <xf numFmtId="0" fontId="31" fillId="26" borderId="15" xfId="0" applyFont="1" applyFill="1" applyBorder="1" applyAlignment="1" applyProtection="1">
      <alignment horizontal="left" vertical="center"/>
      <protection locked="0"/>
    </xf>
    <xf numFmtId="0" fontId="96" fillId="0" borderId="16" xfId="0" applyFont="1" applyBorder="1" applyAlignment="1" applyProtection="1">
      <alignment horizontal="left" vertical="center"/>
      <protection locked="0"/>
    </xf>
    <xf numFmtId="0" fontId="96" fillId="0" borderId="63" xfId="0" applyFont="1" applyBorder="1" applyAlignment="1" applyProtection="1">
      <alignment horizontal="left" vertical="center"/>
      <protection locked="0"/>
    </xf>
    <xf numFmtId="0" fontId="46" fillId="0" borderId="75" xfId="0" applyFont="1" applyBorder="1" applyAlignment="1" applyProtection="1">
      <alignment horizontal="left" vertical="center"/>
      <protection locked="0"/>
    </xf>
    <xf numFmtId="0" fontId="46" fillId="0" borderId="76" xfId="0" applyFont="1" applyBorder="1" applyAlignment="1" applyProtection="1">
      <alignment horizontal="left" vertical="center"/>
      <protection locked="0"/>
    </xf>
    <xf numFmtId="0" fontId="96" fillId="0" borderId="44" xfId="0" applyFont="1" applyBorder="1" applyAlignment="1" applyProtection="1">
      <alignment horizontal="left" vertical="center"/>
      <protection locked="0"/>
    </xf>
    <xf numFmtId="0" fontId="96" fillId="0" borderId="45" xfId="0" applyFont="1" applyBorder="1" applyAlignment="1" applyProtection="1">
      <alignment horizontal="left" vertical="center"/>
      <protection locked="0"/>
    </xf>
    <xf numFmtId="0" fontId="96" fillId="0" borderId="18" xfId="0" applyFont="1" applyBorder="1" applyAlignment="1" applyProtection="1">
      <alignment horizontal="left" vertical="center"/>
      <protection locked="0"/>
    </xf>
    <xf numFmtId="0" fontId="96" fillId="0" borderId="64" xfId="0" applyFont="1" applyBorder="1" applyAlignment="1" applyProtection="1">
      <alignment horizontal="left" vertical="center"/>
      <protection locked="0"/>
    </xf>
    <xf numFmtId="0" fontId="46" fillId="0" borderId="15" xfId="45" applyFont="1" applyBorder="1" applyAlignment="1" applyProtection="1">
      <alignment horizontal="left" vertical="center" wrapText="1"/>
      <protection locked="0"/>
    </xf>
    <xf numFmtId="0" fontId="31" fillId="26" borderId="44" xfId="0" applyFont="1" applyFill="1" applyBorder="1" applyAlignment="1" applyProtection="1">
      <alignment horizontal="center" vertical="center"/>
      <protection locked="0"/>
    </xf>
    <xf numFmtId="0" fontId="31" fillId="26" borderId="45" xfId="0" applyFont="1" applyFill="1" applyBorder="1" applyAlignment="1" applyProtection="1">
      <alignment horizontal="center" vertical="center"/>
      <protection locked="0"/>
    </xf>
    <xf numFmtId="0" fontId="46" fillId="0" borderId="15" xfId="0" applyFont="1" applyBorder="1" applyAlignment="1" applyProtection="1">
      <alignment horizontal="left" vertical="center"/>
      <protection locked="0"/>
    </xf>
    <xf numFmtId="0" fontId="96" fillId="0" borderId="66" xfId="0" applyFont="1" applyBorder="1" applyAlignment="1" applyProtection="1">
      <alignment horizontal="center" vertical="center"/>
      <protection locked="0"/>
    </xf>
    <xf numFmtId="0" fontId="96" fillId="0" borderId="80" xfId="0" applyFont="1" applyBorder="1" applyAlignment="1" applyProtection="1">
      <alignment horizontal="center" vertical="center"/>
      <protection locked="0"/>
    </xf>
    <xf numFmtId="0" fontId="46" fillId="0" borderId="130" xfId="0" applyFont="1" applyBorder="1" applyAlignment="1" applyProtection="1">
      <alignment horizontal="left" vertical="center" wrapText="1"/>
      <protection locked="0"/>
    </xf>
    <xf numFmtId="0" fontId="46" fillId="0" borderId="131" xfId="0" applyFont="1" applyBorder="1" applyAlignment="1" applyProtection="1">
      <alignment horizontal="left" vertical="center" wrapText="1"/>
      <protection locked="0"/>
    </xf>
    <xf numFmtId="0" fontId="46" fillId="0" borderId="128" xfId="0" applyFont="1" applyBorder="1" applyAlignment="1" applyProtection="1">
      <alignment horizontal="left" vertical="center" wrapText="1"/>
      <protection locked="0"/>
    </xf>
    <xf numFmtId="0" fontId="46" fillId="0" borderId="129" xfId="0" applyFont="1" applyBorder="1" applyAlignment="1" applyProtection="1">
      <alignment horizontal="left" vertical="center" wrapText="1"/>
      <protection locked="0"/>
    </xf>
    <xf numFmtId="0" fontId="15" fillId="26" borderId="134" xfId="0" applyFont="1" applyFill="1" applyBorder="1" applyAlignment="1" applyProtection="1">
      <alignment horizontal="right" vertical="center" wrapText="1"/>
      <protection locked="0"/>
    </xf>
    <xf numFmtId="0" fontId="15" fillId="26" borderId="135" xfId="0" applyFont="1" applyFill="1" applyBorder="1" applyAlignment="1" applyProtection="1">
      <alignment horizontal="right" vertical="center" wrapText="1"/>
      <protection locked="0"/>
    </xf>
    <xf numFmtId="0" fontId="15" fillId="26" borderId="71" xfId="0" applyFont="1" applyFill="1" applyBorder="1" applyAlignment="1" applyProtection="1">
      <alignment horizontal="right" vertical="center"/>
      <protection locked="0"/>
    </xf>
    <xf numFmtId="0" fontId="15" fillId="26" borderId="66" xfId="0" applyFont="1" applyFill="1" applyBorder="1" applyAlignment="1" applyProtection="1">
      <alignment horizontal="right" vertical="center"/>
      <protection locked="0"/>
    </xf>
    <xf numFmtId="0" fontId="15" fillId="26" borderId="21" xfId="0" applyFont="1" applyFill="1" applyBorder="1" applyAlignment="1" applyProtection="1">
      <alignment horizontal="right" vertical="center"/>
      <protection locked="0"/>
    </xf>
    <xf numFmtId="0" fontId="15" fillId="26" borderId="11" xfId="0" applyFont="1" applyFill="1" applyBorder="1" applyAlignment="1" applyProtection="1">
      <alignment horizontal="right" vertical="center"/>
      <protection locked="0"/>
    </xf>
    <xf numFmtId="0" fontId="15" fillId="26" borderId="12" xfId="0" applyFont="1" applyFill="1" applyBorder="1" applyAlignment="1" applyProtection="1">
      <alignment horizontal="right" vertical="center"/>
      <protection locked="0"/>
    </xf>
    <xf numFmtId="0" fontId="96" fillId="0" borderId="21" xfId="0" applyFont="1" applyBorder="1" applyAlignment="1" applyProtection="1">
      <alignment horizontal="left" vertical="center" wrapText="1"/>
      <protection locked="0"/>
    </xf>
    <xf numFmtId="0" fontId="46" fillId="0" borderId="68" xfId="0" applyFont="1" applyBorder="1" applyAlignment="1" applyProtection="1">
      <alignment horizontal="left" vertical="center" wrapText="1"/>
      <protection locked="0"/>
    </xf>
    <xf numFmtId="0" fontId="46" fillId="0" borderId="20" xfId="0" applyFont="1" applyBorder="1" applyAlignment="1" applyProtection="1">
      <alignment horizontal="left" vertical="center" wrapText="1"/>
      <protection locked="0"/>
    </xf>
    <xf numFmtId="0" fontId="46" fillId="0" borderId="93" xfId="0" applyFont="1" applyBorder="1" applyAlignment="1" applyProtection="1">
      <alignment horizontal="left" vertical="center" wrapText="1"/>
      <protection locked="0"/>
    </xf>
    <xf numFmtId="0" fontId="46" fillId="0" borderId="87" xfId="0" applyFont="1" applyBorder="1" applyAlignment="1" applyProtection="1">
      <alignment horizontal="left" vertical="center" wrapText="1"/>
      <protection locked="0"/>
    </xf>
    <xf numFmtId="0" fontId="46" fillId="0" borderId="19" xfId="0" applyFont="1" applyBorder="1" applyAlignment="1" applyProtection="1">
      <alignment horizontal="left" vertical="center"/>
      <protection locked="0"/>
    </xf>
    <xf numFmtId="0" fontId="46" fillId="0" borderId="86" xfId="0" applyFont="1" applyBorder="1" applyAlignment="1" applyProtection="1">
      <alignment horizontal="left" vertical="center" wrapText="1"/>
      <protection locked="0"/>
    </xf>
    <xf numFmtId="0" fontId="46" fillId="0" borderId="85" xfId="0" applyFont="1" applyBorder="1" applyAlignment="1" applyProtection="1">
      <alignment horizontal="left" vertical="center" wrapText="1"/>
      <protection locked="0"/>
    </xf>
    <xf numFmtId="0" fontId="15" fillId="26" borderId="128" xfId="0" applyFont="1" applyFill="1" applyBorder="1" applyAlignment="1" applyProtection="1">
      <alignment horizontal="right" vertical="center" wrapText="1"/>
      <protection locked="0"/>
    </xf>
    <xf numFmtId="0" fontId="15" fillId="26" borderId="129" xfId="0" applyFont="1" applyFill="1" applyBorder="1" applyAlignment="1" applyProtection="1">
      <alignment horizontal="right" vertical="center" wrapText="1"/>
      <protection locked="0"/>
    </xf>
    <xf numFmtId="0" fontId="46" fillId="0" borderId="68" xfId="0" applyFont="1" applyBorder="1" applyAlignment="1" applyProtection="1">
      <alignment horizontal="left" vertical="center"/>
      <protection locked="0"/>
    </xf>
    <xf numFmtId="0" fontId="46" fillId="0" borderId="20" xfId="0" applyFont="1" applyBorder="1" applyAlignment="1" applyProtection="1">
      <alignment horizontal="left" vertical="center"/>
      <protection locked="0"/>
    </xf>
    <xf numFmtId="0" fontId="15" fillId="26" borderId="84" xfId="0" applyFont="1" applyFill="1" applyBorder="1" applyAlignment="1" applyProtection="1">
      <alignment horizontal="right" vertical="center"/>
      <protection locked="0"/>
    </xf>
    <xf numFmtId="2" fontId="15" fillId="26" borderId="11" xfId="0" applyNumberFormat="1" applyFont="1" applyFill="1" applyBorder="1" applyAlignment="1" applyProtection="1">
      <alignment horizontal="right" vertical="center" wrapText="1"/>
      <protection locked="0"/>
    </xf>
    <xf numFmtId="2" fontId="15" fillId="26" borderId="12" xfId="0" applyNumberFormat="1" applyFont="1" applyFill="1" applyBorder="1" applyAlignment="1" applyProtection="1">
      <alignment horizontal="right" vertical="center" wrapText="1"/>
      <protection locked="0"/>
    </xf>
    <xf numFmtId="0" fontId="46" fillId="0" borderId="139" xfId="0" applyFont="1" applyBorder="1" applyAlignment="1">
      <alignment horizontal="center" vertical="center"/>
    </xf>
    <xf numFmtId="0" fontId="0" fillId="0" borderId="131" xfId="0" applyBorder="1" applyAlignment="1">
      <alignment horizontal="center" vertical="center"/>
    </xf>
    <xf numFmtId="0" fontId="46" fillId="0" borderId="125" xfId="0" applyFont="1" applyBorder="1" applyAlignment="1">
      <alignment horizontal="center" vertical="center"/>
    </xf>
    <xf numFmtId="0" fontId="0" fillId="0" borderId="129" xfId="0" applyBorder="1" applyAlignment="1">
      <alignment horizontal="center" vertical="center"/>
    </xf>
    <xf numFmtId="0" fontId="15" fillId="26" borderId="14" xfId="0" applyFont="1" applyFill="1" applyBorder="1" applyAlignment="1" applyProtection="1">
      <alignment horizontal="center" vertical="center" wrapText="1"/>
      <protection locked="0"/>
    </xf>
    <xf numFmtId="0" fontId="0" fillId="0" borderId="0" xfId="0" applyAlignment="1">
      <alignment horizontal="center" vertical="center" wrapText="1"/>
    </xf>
    <xf numFmtId="0" fontId="0" fillId="0" borderId="82" xfId="0" applyBorder="1" applyAlignment="1">
      <alignment horizontal="center" vertical="center" wrapText="1"/>
    </xf>
    <xf numFmtId="0" fontId="96" fillId="0" borderId="66" xfId="0" applyFont="1" applyBorder="1" applyAlignment="1">
      <alignment horizontal="center" vertical="center"/>
    </xf>
    <xf numFmtId="0" fontId="96" fillId="0" borderId="80" xfId="0" applyFont="1" applyBorder="1" applyAlignment="1">
      <alignment horizontal="center" vertical="center"/>
    </xf>
    <xf numFmtId="0" fontId="15" fillId="26" borderId="79" xfId="0" applyFont="1" applyFill="1" applyBorder="1" applyAlignment="1" applyProtection="1">
      <alignment horizontal="right" vertical="center" wrapText="1"/>
      <protection locked="0"/>
    </xf>
    <xf numFmtId="0" fontId="13" fillId="26" borderId="17" xfId="0" applyFont="1" applyFill="1" applyBorder="1" applyAlignment="1" applyProtection="1">
      <alignment horizontal="right"/>
      <protection locked="0"/>
    </xf>
    <xf numFmtId="0" fontId="13" fillId="26" borderId="12" xfId="0" applyFont="1" applyFill="1" applyBorder="1" applyAlignment="1" applyProtection="1">
      <alignment horizontal="right" wrapText="1"/>
      <protection locked="0"/>
    </xf>
    <xf numFmtId="0" fontId="46" fillId="0" borderId="43" xfId="42" applyFont="1" applyBorder="1" applyAlignment="1">
      <alignment horizontal="left" vertical="center" wrapText="1"/>
    </xf>
    <xf numFmtId="2" fontId="46" fillId="0" borderId="12" xfId="42" quotePrefix="1" applyNumberFormat="1" applyFont="1" applyBorder="1" applyAlignment="1">
      <alignment horizontal="center" vertical="center"/>
    </xf>
    <xf numFmtId="164" fontId="46" fillId="0" borderId="16" xfId="42" quotePrefix="1" applyNumberFormat="1" applyFont="1" applyBorder="1" applyAlignment="1">
      <alignment horizontal="center" vertical="center"/>
    </xf>
    <xf numFmtId="164" fontId="46" fillId="0" borderId="17" xfId="42" quotePrefix="1" applyNumberFormat="1" applyFont="1" applyBorder="1" applyAlignment="1">
      <alignment horizontal="center" vertical="center"/>
    </xf>
    <xf numFmtId="164" fontId="46" fillId="0" borderId="256" xfId="42" quotePrefix="1" applyNumberFormat="1" applyFont="1" applyBorder="1" applyAlignment="1">
      <alignment horizontal="center" vertical="center"/>
    </xf>
    <xf numFmtId="2" fontId="46" fillId="0" borderId="16" xfId="42" quotePrefix="1" applyNumberFormat="1" applyFont="1" applyBorder="1" applyAlignment="1">
      <alignment horizontal="center" vertical="center"/>
    </xf>
    <xf numFmtId="2" fontId="46" fillId="0" borderId="17" xfId="42" quotePrefix="1" applyNumberFormat="1" applyFont="1" applyBorder="1" applyAlignment="1">
      <alignment horizontal="center" vertical="center"/>
    </xf>
    <xf numFmtId="2" fontId="46" fillId="0" borderId="256" xfId="42" quotePrefix="1" applyNumberFormat="1" applyFont="1" applyBorder="1" applyAlignment="1">
      <alignment horizontal="center" vertical="center"/>
    </xf>
    <xf numFmtId="2" fontId="46" fillId="0" borderId="42" xfId="42" quotePrefix="1" applyNumberFormat="1" applyFont="1" applyBorder="1" applyAlignment="1">
      <alignment horizontal="center" vertical="center"/>
    </xf>
    <xf numFmtId="0" fontId="46" fillId="0" borderId="91" xfId="0" applyFont="1" applyBorder="1" applyAlignment="1" applyProtection="1">
      <alignment horizontal="left" vertical="center" wrapText="1"/>
      <protection locked="0"/>
    </xf>
  </cellXfs>
  <cellStyles count="6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28" xr:uid="{00000000-0005-0000-0000-00001C000000}"/>
    <cellStyle name="Currency 3" xfId="29" xr:uid="{00000000-0005-0000-0000-00001D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57" builtinId="8"/>
    <cellStyle name="Hyperlink 2" xfId="36" xr:uid="{00000000-0005-0000-0000-000024000000}"/>
    <cellStyle name="Hyperlink 2 2" xfId="58" xr:uid="{690FA980-AE6E-47F5-8EB7-B9AE1233B8A7}"/>
    <cellStyle name="Hyperlink 3" xfId="37" xr:uid="{00000000-0005-0000-0000-000025000000}"/>
    <cellStyle name="Input" xfId="38" builtinId="20" customBuiltin="1"/>
    <cellStyle name="Linked Cell" xfId="39" builtinId="24" customBuiltin="1"/>
    <cellStyle name="Neutral" xfId="40" builtinId="28" customBuiltin="1"/>
    <cellStyle name="Normal" xfId="0" builtinId="0"/>
    <cellStyle name="Normal 2" xfId="41" xr:uid="{00000000-0005-0000-0000-00002A000000}"/>
    <cellStyle name="Normal 2 2" xfId="42" xr:uid="{00000000-0005-0000-0000-00002B000000}"/>
    <cellStyle name="Normal 3" xfId="43" xr:uid="{00000000-0005-0000-0000-00002C000000}"/>
    <cellStyle name="Normal 3 2" xfId="44" xr:uid="{00000000-0005-0000-0000-00002D000000}"/>
    <cellStyle name="Normal 4" xfId="45" xr:uid="{00000000-0005-0000-0000-00002E000000}"/>
    <cellStyle name="Normal 4 2" xfId="46" xr:uid="{00000000-0005-0000-0000-00002F000000}"/>
    <cellStyle name="Normal 5" xfId="47" xr:uid="{00000000-0005-0000-0000-000030000000}"/>
    <cellStyle name="Normal 6" xfId="55" xr:uid="{00000000-0005-0000-0000-000031000000}"/>
    <cellStyle name="Normal 7" xfId="56" xr:uid="{00000000-0005-0000-0000-000032000000}"/>
    <cellStyle name="Normal_FEE" xfId="48" xr:uid="{00000000-0005-0000-0000-000033000000}"/>
    <cellStyle name="Normal_FICE summary sheet" xfId="49" xr:uid="{00000000-0005-0000-0000-000034000000}"/>
    <cellStyle name="Note" xfId="50" builtinId="10" customBuiltin="1"/>
    <cellStyle name="Output" xfId="51" builtinId="21" customBuiltin="1"/>
    <cellStyle name="Percent 2" xfId="59" xr:uid="{8802F05C-525A-4831-8AFB-304D1AA62EE0}"/>
    <cellStyle name="Title" xfId="52" builtinId="15" customBuiltin="1"/>
    <cellStyle name="Total" xfId="53" builtinId="25" customBuiltin="1"/>
    <cellStyle name="Warning Text" xfId="54" builtinId="11" customBuiltin="1"/>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theme="1" tint="0.24994659260841701"/>
        </patternFill>
      </fill>
      <border>
        <top style="thin">
          <color auto="1"/>
        </top>
      </border>
    </dxf>
    <dxf>
      <font>
        <b/>
        <i val="0"/>
        <color theme="0"/>
      </font>
      <fill>
        <patternFill>
          <bgColor theme="1" tint="0.34998626667073579"/>
        </patternFill>
      </fill>
      <border>
        <top style="thin">
          <color auto="1"/>
        </top>
        <bottom style="thin">
          <color auto="1"/>
        </bottom>
      </border>
    </dxf>
    <dxf>
      <font>
        <b/>
        <i val="0"/>
        <color theme="1"/>
      </font>
      <fill>
        <patternFill>
          <bgColor theme="0" tint="-0.34998626667073579"/>
        </patternFill>
      </fill>
      <border>
        <top style="thin">
          <color auto="1"/>
        </top>
        <bottom style="thin">
          <color auto="1"/>
        </bottom>
      </border>
    </dxf>
    <dxf>
      <font>
        <b/>
        <i val="0"/>
        <color theme="1"/>
      </font>
    </dxf>
    <dxf>
      <font>
        <b val="0"/>
        <i/>
        <color theme="1"/>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microsoft.com/office/2017/10/relationships/person" Target="persons/perso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371475</xdr:colOff>
      <xdr:row>46</xdr:row>
      <xdr:rowOff>0</xdr:rowOff>
    </xdr:from>
    <xdr:to>
      <xdr:col>23</xdr:col>
      <xdr:colOff>276225</xdr:colOff>
      <xdr:row>46</xdr:row>
      <xdr:rowOff>0</xdr:rowOff>
    </xdr:to>
    <xdr:sp macro="" textlink="">
      <xdr:nvSpPr>
        <xdr:cNvPr id="2" name="Rectangle 222">
          <a:extLst>
            <a:ext uri="{FF2B5EF4-FFF2-40B4-BE49-F238E27FC236}">
              <a16:creationId xmlns:a16="http://schemas.microsoft.com/office/drawing/2014/main" id="{C19A12EE-27A6-4227-9534-6A854B668754}"/>
            </a:ext>
          </a:extLst>
        </xdr:cNvPr>
        <xdr:cNvSpPr>
          <a:spLocks noChangeArrowheads="1"/>
        </xdr:cNvSpPr>
      </xdr:nvSpPr>
      <xdr:spPr bwMode="auto">
        <a:xfrm>
          <a:off x="18962370" y="1166812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371475</xdr:colOff>
      <xdr:row>46</xdr:row>
      <xdr:rowOff>0</xdr:rowOff>
    </xdr:from>
    <xdr:to>
      <xdr:col>23</xdr:col>
      <xdr:colOff>276225</xdr:colOff>
      <xdr:row>46</xdr:row>
      <xdr:rowOff>0</xdr:rowOff>
    </xdr:to>
    <xdr:sp macro="" textlink="">
      <xdr:nvSpPr>
        <xdr:cNvPr id="3" name="Rectangle 224">
          <a:extLst>
            <a:ext uri="{FF2B5EF4-FFF2-40B4-BE49-F238E27FC236}">
              <a16:creationId xmlns:a16="http://schemas.microsoft.com/office/drawing/2014/main" id="{B82E1794-C52E-4745-81CB-A116D377F90D}"/>
            </a:ext>
          </a:extLst>
        </xdr:cNvPr>
        <xdr:cNvSpPr>
          <a:spLocks noChangeArrowheads="1"/>
        </xdr:cNvSpPr>
      </xdr:nvSpPr>
      <xdr:spPr bwMode="auto">
        <a:xfrm>
          <a:off x="18962370" y="1166812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371475</xdr:colOff>
      <xdr:row>48</xdr:row>
      <xdr:rowOff>0</xdr:rowOff>
    </xdr:from>
    <xdr:to>
      <xdr:col>23</xdr:col>
      <xdr:colOff>276225</xdr:colOff>
      <xdr:row>48</xdr:row>
      <xdr:rowOff>0</xdr:rowOff>
    </xdr:to>
    <xdr:sp macro="" textlink="">
      <xdr:nvSpPr>
        <xdr:cNvPr id="4" name="Rectangle 222">
          <a:extLst>
            <a:ext uri="{FF2B5EF4-FFF2-40B4-BE49-F238E27FC236}">
              <a16:creationId xmlns:a16="http://schemas.microsoft.com/office/drawing/2014/main" id="{B3E4A476-3ED2-4FAF-A307-F2C75A56F71F}"/>
            </a:ext>
          </a:extLst>
        </xdr:cNvPr>
        <xdr:cNvSpPr>
          <a:spLocks noChangeArrowheads="1"/>
        </xdr:cNvSpPr>
      </xdr:nvSpPr>
      <xdr:spPr bwMode="auto">
        <a:xfrm>
          <a:off x="18962370" y="1201102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371475</xdr:colOff>
      <xdr:row>48</xdr:row>
      <xdr:rowOff>0</xdr:rowOff>
    </xdr:from>
    <xdr:to>
      <xdr:col>23</xdr:col>
      <xdr:colOff>276225</xdr:colOff>
      <xdr:row>48</xdr:row>
      <xdr:rowOff>0</xdr:rowOff>
    </xdr:to>
    <xdr:sp macro="" textlink="">
      <xdr:nvSpPr>
        <xdr:cNvPr id="5" name="Rectangle 224">
          <a:extLst>
            <a:ext uri="{FF2B5EF4-FFF2-40B4-BE49-F238E27FC236}">
              <a16:creationId xmlns:a16="http://schemas.microsoft.com/office/drawing/2014/main" id="{57361B9D-0C3D-4AB7-A6F9-232D27DDCC80}"/>
            </a:ext>
          </a:extLst>
        </xdr:cNvPr>
        <xdr:cNvSpPr>
          <a:spLocks noChangeArrowheads="1"/>
        </xdr:cNvSpPr>
      </xdr:nvSpPr>
      <xdr:spPr bwMode="auto">
        <a:xfrm>
          <a:off x="18962370" y="1201102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371475</xdr:colOff>
      <xdr:row>48</xdr:row>
      <xdr:rowOff>0</xdr:rowOff>
    </xdr:from>
    <xdr:to>
      <xdr:col>23</xdr:col>
      <xdr:colOff>276225</xdr:colOff>
      <xdr:row>48</xdr:row>
      <xdr:rowOff>0</xdr:rowOff>
    </xdr:to>
    <xdr:sp macro="" textlink="">
      <xdr:nvSpPr>
        <xdr:cNvPr id="6" name="Rectangle 222">
          <a:extLst>
            <a:ext uri="{FF2B5EF4-FFF2-40B4-BE49-F238E27FC236}">
              <a16:creationId xmlns:a16="http://schemas.microsoft.com/office/drawing/2014/main" id="{755D3270-6B2B-4A77-B781-264819B10C7F}"/>
            </a:ext>
          </a:extLst>
        </xdr:cNvPr>
        <xdr:cNvSpPr>
          <a:spLocks noChangeArrowheads="1"/>
        </xdr:cNvSpPr>
      </xdr:nvSpPr>
      <xdr:spPr bwMode="auto">
        <a:xfrm>
          <a:off x="18962370" y="1201102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371475</xdr:colOff>
      <xdr:row>48</xdr:row>
      <xdr:rowOff>0</xdr:rowOff>
    </xdr:from>
    <xdr:to>
      <xdr:col>23</xdr:col>
      <xdr:colOff>276225</xdr:colOff>
      <xdr:row>48</xdr:row>
      <xdr:rowOff>0</xdr:rowOff>
    </xdr:to>
    <xdr:sp macro="" textlink="">
      <xdr:nvSpPr>
        <xdr:cNvPr id="7" name="Rectangle 224">
          <a:extLst>
            <a:ext uri="{FF2B5EF4-FFF2-40B4-BE49-F238E27FC236}">
              <a16:creationId xmlns:a16="http://schemas.microsoft.com/office/drawing/2014/main" id="{12931798-CBB2-4367-AB3B-044F133BA5DD}"/>
            </a:ext>
          </a:extLst>
        </xdr:cNvPr>
        <xdr:cNvSpPr>
          <a:spLocks noChangeArrowheads="1"/>
        </xdr:cNvSpPr>
      </xdr:nvSpPr>
      <xdr:spPr bwMode="auto">
        <a:xfrm>
          <a:off x="18962370" y="1201102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770853</xdr:colOff>
      <xdr:row>10</xdr:row>
      <xdr:rowOff>129540</xdr:rowOff>
    </xdr:from>
    <xdr:to>
      <xdr:col>0</xdr:col>
      <xdr:colOff>6898677</xdr:colOff>
      <xdr:row>10</xdr:row>
      <xdr:rowOff>2183130</xdr:rowOff>
    </xdr:to>
    <xdr:pic>
      <xdr:nvPicPr>
        <xdr:cNvPr id="12314" name="Picture 2">
          <a:extLst>
            <a:ext uri="{FF2B5EF4-FFF2-40B4-BE49-F238E27FC236}">
              <a16:creationId xmlns:a16="http://schemas.microsoft.com/office/drawing/2014/main" id="{00000000-0008-0000-1500-00001A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70853" y="3510915"/>
          <a:ext cx="6127824" cy="2053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735330</xdr:colOff>
      <xdr:row>24</xdr:row>
      <xdr:rowOff>147533</xdr:rowOff>
    </xdr:from>
    <xdr:to>
      <xdr:col>0</xdr:col>
      <xdr:colOff>6875145</xdr:colOff>
      <xdr:row>36</xdr:row>
      <xdr:rowOff>147741</xdr:rowOff>
    </xdr:to>
    <xdr:pic>
      <xdr:nvPicPr>
        <xdr:cNvPr id="5" name="Picture 2">
          <a:extLst>
            <a:ext uri="{FF2B5EF4-FFF2-40B4-BE49-F238E27FC236}">
              <a16:creationId xmlns:a16="http://schemas.microsoft.com/office/drawing/2014/main" id="{9A04AC71-C834-4927-AE7A-40E999289B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35330" y="5262458"/>
          <a:ext cx="6139815" cy="2057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849630</xdr:colOff>
      <xdr:row>25</xdr:row>
      <xdr:rowOff>112610</xdr:rowOff>
    </xdr:from>
    <xdr:to>
      <xdr:col>0</xdr:col>
      <xdr:colOff>6987540</xdr:colOff>
      <xdr:row>37</xdr:row>
      <xdr:rowOff>112179</xdr:rowOff>
    </xdr:to>
    <xdr:pic>
      <xdr:nvPicPr>
        <xdr:cNvPr id="14362" name="Picture 2">
          <a:extLst>
            <a:ext uri="{FF2B5EF4-FFF2-40B4-BE49-F238E27FC236}">
              <a16:creationId xmlns:a16="http://schemas.microsoft.com/office/drawing/2014/main" id="{00000000-0008-0000-2300-00001A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49630" y="5398985"/>
          <a:ext cx="6137910" cy="2056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838200</xdr:colOff>
      <xdr:row>22</xdr:row>
      <xdr:rowOff>168483</xdr:rowOff>
    </xdr:from>
    <xdr:to>
      <xdr:col>0</xdr:col>
      <xdr:colOff>6983730</xdr:colOff>
      <xdr:row>34</xdr:row>
      <xdr:rowOff>170606</xdr:rowOff>
    </xdr:to>
    <xdr:pic>
      <xdr:nvPicPr>
        <xdr:cNvPr id="15385" name="Picture 2">
          <a:extLst>
            <a:ext uri="{FF2B5EF4-FFF2-40B4-BE49-F238E27FC236}">
              <a16:creationId xmlns:a16="http://schemas.microsoft.com/office/drawing/2014/main" id="{00000000-0008-0000-2600-0000193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38200" y="4940508"/>
          <a:ext cx="6145530" cy="2059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20</xdr:col>
      <xdr:colOff>371475</xdr:colOff>
      <xdr:row>24</xdr:row>
      <xdr:rowOff>728</xdr:rowOff>
    </xdr:from>
    <xdr:to>
      <xdr:col>21</xdr:col>
      <xdr:colOff>276225</xdr:colOff>
      <xdr:row>24</xdr:row>
      <xdr:rowOff>728</xdr:rowOff>
    </xdr:to>
    <xdr:sp macro="" textlink="">
      <xdr:nvSpPr>
        <xdr:cNvPr id="2" name="Rectangle 222">
          <a:extLst>
            <a:ext uri="{FF2B5EF4-FFF2-40B4-BE49-F238E27FC236}">
              <a16:creationId xmlns:a16="http://schemas.microsoft.com/office/drawing/2014/main" id="{E19D7B8C-B2A3-4B05-98B0-7D49D1800C8D}"/>
            </a:ext>
          </a:extLst>
        </xdr:cNvPr>
        <xdr:cNvSpPr>
          <a:spLocks noChangeArrowheads="1"/>
        </xdr:cNvSpPr>
      </xdr:nvSpPr>
      <xdr:spPr bwMode="auto">
        <a:xfrm>
          <a:off x="19381470" y="6277703"/>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20</xdr:col>
      <xdr:colOff>371475</xdr:colOff>
      <xdr:row>24</xdr:row>
      <xdr:rowOff>728</xdr:rowOff>
    </xdr:from>
    <xdr:to>
      <xdr:col>21</xdr:col>
      <xdr:colOff>276225</xdr:colOff>
      <xdr:row>24</xdr:row>
      <xdr:rowOff>728</xdr:rowOff>
    </xdr:to>
    <xdr:sp macro="" textlink="">
      <xdr:nvSpPr>
        <xdr:cNvPr id="3" name="Rectangle 224">
          <a:extLst>
            <a:ext uri="{FF2B5EF4-FFF2-40B4-BE49-F238E27FC236}">
              <a16:creationId xmlns:a16="http://schemas.microsoft.com/office/drawing/2014/main" id="{0BA97FB2-8B1D-4E76-8BAA-816DD3944B5C}"/>
            </a:ext>
          </a:extLst>
        </xdr:cNvPr>
        <xdr:cNvSpPr>
          <a:spLocks noChangeArrowheads="1"/>
        </xdr:cNvSpPr>
      </xdr:nvSpPr>
      <xdr:spPr bwMode="auto">
        <a:xfrm>
          <a:off x="19381470" y="6277703"/>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20</xdr:col>
      <xdr:colOff>371475</xdr:colOff>
      <xdr:row>26</xdr:row>
      <xdr:rowOff>0</xdr:rowOff>
    </xdr:from>
    <xdr:to>
      <xdr:col>21</xdr:col>
      <xdr:colOff>276225</xdr:colOff>
      <xdr:row>26</xdr:row>
      <xdr:rowOff>0</xdr:rowOff>
    </xdr:to>
    <xdr:sp macro="" textlink="">
      <xdr:nvSpPr>
        <xdr:cNvPr id="4" name="Rectangle 222">
          <a:extLst>
            <a:ext uri="{FF2B5EF4-FFF2-40B4-BE49-F238E27FC236}">
              <a16:creationId xmlns:a16="http://schemas.microsoft.com/office/drawing/2014/main" id="{11D69D01-89B9-4A05-8445-9A173F6586E2}"/>
            </a:ext>
          </a:extLst>
        </xdr:cNvPr>
        <xdr:cNvSpPr>
          <a:spLocks noChangeArrowheads="1"/>
        </xdr:cNvSpPr>
      </xdr:nvSpPr>
      <xdr:spPr bwMode="auto">
        <a:xfrm>
          <a:off x="19381470" y="661987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20</xdr:col>
      <xdr:colOff>371475</xdr:colOff>
      <xdr:row>26</xdr:row>
      <xdr:rowOff>0</xdr:rowOff>
    </xdr:from>
    <xdr:to>
      <xdr:col>21</xdr:col>
      <xdr:colOff>276225</xdr:colOff>
      <xdr:row>26</xdr:row>
      <xdr:rowOff>0</xdr:rowOff>
    </xdr:to>
    <xdr:sp macro="" textlink="">
      <xdr:nvSpPr>
        <xdr:cNvPr id="5" name="Rectangle 224">
          <a:extLst>
            <a:ext uri="{FF2B5EF4-FFF2-40B4-BE49-F238E27FC236}">
              <a16:creationId xmlns:a16="http://schemas.microsoft.com/office/drawing/2014/main" id="{381EF2AD-3D6C-49A0-9056-6FBE524E2A5C}"/>
            </a:ext>
          </a:extLst>
        </xdr:cNvPr>
        <xdr:cNvSpPr>
          <a:spLocks noChangeArrowheads="1"/>
        </xdr:cNvSpPr>
      </xdr:nvSpPr>
      <xdr:spPr bwMode="auto">
        <a:xfrm>
          <a:off x="19381470" y="661987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20</xdr:col>
      <xdr:colOff>371475</xdr:colOff>
      <xdr:row>26</xdr:row>
      <xdr:rowOff>0</xdr:rowOff>
    </xdr:from>
    <xdr:to>
      <xdr:col>21</xdr:col>
      <xdr:colOff>276225</xdr:colOff>
      <xdr:row>26</xdr:row>
      <xdr:rowOff>0</xdr:rowOff>
    </xdr:to>
    <xdr:sp macro="" textlink="">
      <xdr:nvSpPr>
        <xdr:cNvPr id="6" name="Rectangle 222">
          <a:extLst>
            <a:ext uri="{FF2B5EF4-FFF2-40B4-BE49-F238E27FC236}">
              <a16:creationId xmlns:a16="http://schemas.microsoft.com/office/drawing/2014/main" id="{A2089B39-F222-432F-9620-EB9AA9FFA437}"/>
            </a:ext>
          </a:extLst>
        </xdr:cNvPr>
        <xdr:cNvSpPr>
          <a:spLocks noChangeArrowheads="1"/>
        </xdr:cNvSpPr>
      </xdr:nvSpPr>
      <xdr:spPr bwMode="auto">
        <a:xfrm>
          <a:off x="19381470" y="661987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20</xdr:col>
      <xdr:colOff>371475</xdr:colOff>
      <xdr:row>26</xdr:row>
      <xdr:rowOff>0</xdr:rowOff>
    </xdr:from>
    <xdr:to>
      <xdr:col>21</xdr:col>
      <xdr:colOff>276225</xdr:colOff>
      <xdr:row>26</xdr:row>
      <xdr:rowOff>0</xdr:rowOff>
    </xdr:to>
    <xdr:sp macro="" textlink="">
      <xdr:nvSpPr>
        <xdr:cNvPr id="7" name="Rectangle 224">
          <a:extLst>
            <a:ext uri="{FF2B5EF4-FFF2-40B4-BE49-F238E27FC236}">
              <a16:creationId xmlns:a16="http://schemas.microsoft.com/office/drawing/2014/main" id="{A4068E67-8256-4100-B44B-F063C1FAE103}"/>
            </a:ext>
          </a:extLst>
        </xdr:cNvPr>
        <xdr:cNvSpPr>
          <a:spLocks noChangeArrowheads="1"/>
        </xdr:cNvSpPr>
      </xdr:nvSpPr>
      <xdr:spPr bwMode="auto">
        <a:xfrm>
          <a:off x="19381470" y="661987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371475</xdr:colOff>
      <xdr:row>24</xdr:row>
      <xdr:rowOff>728</xdr:rowOff>
    </xdr:from>
    <xdr:to>
      <xdr:col>23</xdr:col>
      <xdr:colOff>276225</xdr:colOff>
      <xdr:row>24</xdr:row>
      <xdr:rowOff>728</xdr:rowOff>
    </xdr:to>
    <xdr:sp macro="" textlink="">
      <xdr:nvSpPr>
        <xdr:cNvPr id="8" name="Rectangle 222">
          <a:extLst>
            <a:ext uri="{FF2B5EF4-FFF2-40B4-BE49-F238E27FC236}">
              <a16:creationId xmlns:a16="http://schemas.microsoft.com/office/drawing/2014/main" id="{666A582A-A18C-44E8-B3D9-BF66706860B5}"/>
            </a:ext>
          </a:extLst>
        </xdr:cNvPr>
        <xdr:cNvSpPr>
          <a:spLocks noChangeArrowheads="1"/>
        </xdr:cNvSpPr>
      </xdr:nvSpPr>
      <xdr:spPr bwMode="auto">
        <a:xfrm>
          <a:off x="20600670" y="6277703"/>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371475</xdr:colOff>
      <xdr:row>24</xdr:row>
      <xdr:rowOff>728</xdr:rowOff>
    </xdr:from>
    <xdr:to>
      <xdr:col>23</xdr:col>
      <xdr:colOff>276225</xdr:colOff>
      <xdr:row>24</xdr:row>
      <xdr:rowOff>728</xdr:rowOff>
    </xdr:to>
    <xdr:sp macro="" textlink="">
      <xdr:nvSpPr>
        <xdr:cNvPr id="9" name="Rectangle 224">
          <a:extLst>
            <a:ext uri="{FF2B5EF4-FFF2-40B4-BE49-F238E27FC236}">
              <a16:creationId xmlns:a16="http://schemas.microsoft.com/office/drawing/2014/main" id="{C80C5C7F-2D5C-4FC0-9F7B-AFC6C304CAB3}"/>
            </a:ext>
          </a:extLst>
        </xdr:cNvPr>
        <xdr:cNvSpPr>
          <a:spLocks noChangeArrowheads="1"/>
        </xdr:cNvSpPr>
      </xdr:nvSpPr>
      <xdr:spPr bwMode="auto">
        <a:xfrm>
          <a:off x="20600670" y="6277703"/>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371475</xdr:colOff>
      <xdr:row>26</xdr:row>
      <xdr:rowOff>0</xdr:rowOff>
    </xdr:from>
    <xdr:to>
      <xdr:col>23</xdr:col>
      <xdr:colOff>276225</xdr:colOff>
      <xdr:row>26</xdr:row>
      <xdr:rowOff>0</xdr:rowOff>
    </xdr:to>
    <xdr:sp macro="" textlink="">
      <xdr:nvSpPr>
        <xdr:cNvPr id="10" name="Rectangle 222">
          <a:extLst>
            <a:ext uri="{FF2B5EF4-FFF2-40B4-BE49-F238E27FC236}">
              <a16:creationId xmlns:a16="http://schemas.microsoft.com/office/drawing/2014/main" id="{0DC6CCA9-16A6-43D8-A181-34C603298EE7}"/>
            </a:ext>
          </a:extLst>
        </xdr:cNvPr>
        <xdr:cNvSpPr>
          <a:spLocks noChangeArrowheads="1"/>
        </xdr:cNvSpPr>
      </xdr:nvSpPr>
      <xdr:spPr bwMode="auto">
        <a:xfrm>
          <a:off x="20600670" y="661987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371475</xdr:colOff>
      <xdr:row>26</xdr:row>
      <xdr:rowOff>0</xdr:rowOff>
    </xdr:from>
    <xdr:to>
      <xdr:col>23</xdr:col>
      <xdr:colOff>276225</xdr:colOff>
      <xdr:row>26</xdr:row>
      <xdr:rowOff>0</xdr:rowOff>
    </xdr:to>
    <xdr:sp macro="" textlink="">
      <xdr:nvSpPr>
        <xdr:cNvPr id="11" name="Rectangle 224">
          <a:extLst>
            <a:ext uri="{FF2B5EF4-FFF2-40B4-BE49-F238E27FC236}">
              <a16:creationId xmlns:a16="http://schemas.microsoft.com/office/drawing/2014/main" id="{A971D3C2-3502-4707-8997-D078305C6B4F}"/>
            </a:ext>
          </a:extLst>
        </xdr:cNvPr>
        <xdr:cNvSpPr>
          <a:spLocks noChangeArrowheads="1"/>
        </xdr:cNvSpPr>
      </xdr:nvSpPr>
      <xdr:spPr bwMode="auto">
        <a:xfrm>
          <a:off x="20600670" y="661987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371475</xdr:colOff>
      <xdr:row>26</xdr:row>
      <xdr:rowOff>0</xdr:rowOff>
    </xdr:from>
    <xdr:to>
      <xdr:col>23</xdr:col>
      <xdr:colOff>276225</xdr:colOff>
      <xdr:row>26</xdr:row>
      <xdr:rowOff>0</xdr:rowOff>
    </xdr:to>
    <xdr:sp macro="" textlink="">
      <xdr:nvSpPr>
        <xdr:cNvPr id="12" name="Rectangle 222">
          <a:extLst>
            <a:ext uri="{FF2B5EF4-FFF2-40B4-BE49-F238E27FC236}">
              <a16:creationId xmlns:a16="http://schemas.microsoft.com/office/drawing/2014/main" id="{7A66A294-572B-41E8-AD82-6101130B81C1}"/>
            </a:ext>
          </a:extLst>
        </xdr:cNvPr>
        <xdr:cNvSpPr>
          <a:spLocks noChangeArrowheads="1"/>
        </xdr:cNvSpPr>
      </xdr:nvSpPr>
      <xdr:spPr bwMode="auto">
        <a:xfrm>
          <a:off x="20600670" y="661987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371475</xdr:colOff>
      <xdr:row>26</xdr:row>
      <xdr:rowOff>0</xdr:rowOff>
    </xdr:from>
    <xdr:to>
      <xdr:col>23</xdr:col>
      <xdr:colOff>276225</xdr:colOff>
      <xdr:row>26</xdr:row>
      <xdr:rowOff>0</xdr:rowOff>
    </xdr:to>
    <xdr:sp macro="" textlink="">
      <xdr:nvSpPr>
        <xdr:cNvPr id="13" name="Rectangle 224">
          <a:extLst>
            <a:ext uri="{FF2B5EF4-FFF2-40B4-BE49-F238E27FC236}">
              <a16:creationId xmlns:a16="http://schemas.microsoft.com/office/drawing/2014/main" id="{555423B3-6880-4341-BC5D-123BD149F6D3}"/>
            </a:ext>
          </a:extLst>
        </xdr:cNvPr>
        <xdr:cNvSpPr>
          <a:spLocks noChangeArrowheads="1"/>
        </xdr:cNvSpPr>
      </xdr:nvSpPr>
      <xdr:spPr bwMode="auto">
        <a:xfrm>
          <a:off x="20600670" y="6619875"/>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371475</xdr:colOff>
      <xdr:row>17</xdr:row>
      <xdr:rowOff>0</xdr:rowOff>
    </xdr:from>
    <xdr:to>
      <xdr:col>22</xdr:col>
      <xdr:colOff>276225</xdr:colOff>
      <xdr:row>17</xdr:row>
      <xdr:rowOff>0</xdr:rowOff>
    </xdr:to>
    <xdr:sp macro="" textlink="">
      <xdr:nvSpPr>
        <xdr:cNvPr id="14" name="Rectangle 222">
          <a:extLst>
            <a:ext uri="{FF2B5EF4-FFF2-40B4-BE49-F238E27FC236}">
              <a16:creationId xmlns:a16="http://schemas.microsoft.com/office/drawing/2014/main" id="{CB94FC72-4C0F-4B20-9EED-48355AAF2013}"/>
            </a:ext>
          </a:extLst>
        </xdr:cNvPr>
        <xdr:cNvSpPr>
          <a:spLocks noChangeArrowheads="1"/>
        </xdr:cNvSpPr>
      </xdr:nvSpPr>
      <xdr:spPr bwMode="auto">
        <a:xfrm>
          <a:off x="19991070" y="4514850"/>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371475</xdr:colOff>
      <xdr:row>17</xdr:row>
      <xdr:rowOff>0</xdr:rowOff>
    </xdr:from>
    <xdr:to>
      <xdr:col>22</xdr:col>
      <xdr:colOff>276225</xdr:colOff>
      <xdr:row>17</xdr:row>
      <xdr:rowOff>0</xdr:rowOff>
    </xdr:to>
    <xdr:sp macro="" textlink="">
      <xdr:nvSpPr>
        <xdr:cNvPr id="15" name="Rectangle 224">
          <a:extLst>
            <a:ext uri="{FF2B5EF4-FFF2-40B4-BE49-F238E27FC236}">
              <a16:creationId xmlns:a16="http://schemas.microsoft.com/office/drawing/2014/main" id="{FCCAC7D0-0669-49A8-BCB2-614BA9F7054D}"/>
            </a:ext>
          </a:extLst>
        </xdr:cNvPr>
        <xdr:cNvSpPr>
          <a:spLocks noChangeArrowheads="1"/>
        </xdr:cNvSpPr>
      </xdr:nvSpPr>
      <xdr:spPr bwMode="auto">
        <a:xfrm>
          <a:off x="19991070" y="4514850"/>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371475</xdr:colOff>
      <xdr:row>17</xdr:row>
      <xdr:rowOff>0</xdr:rowOff>
    </xdr:from>
    <xdr:to>
      <xdr:col>22</xdr:col>
      <xdr:colOff>276225</xdr:colOff>
      <xdr:row>17</xdr:row>
      <xdr:rowOff>0</xdr:rowOff>
    </xdr:to>
    <xdr:sp macro="" textlink="">
      <xdr:nvSpPr>
        <xdr:cNvPr id="16" name="Rectangle 222">
          <a:extLst>
            <a:ext uri="{FF2B5EF4-FFF2-40B4-BE49-F238E27FC236}">
              <a16:creationId xmlns:a16="http://schemas.microsoft.com/office/drawing/2014/main" id="{70E17841-75C0-4EE5-A543-7EC20BBCF40D}"/>
            </a:ext>
          </a:extLst>
        </xdr:cNvPr>
        <xdr:cNvSpPr>
          <a:spLocks noChangeArrowheads="1"/>
        </xdr:cNvSpPr>
      </xdr:nvSpPr>
      <xdr:spPr bwMode="auto">
        <a:xfrm>
          <a:off x="19991070" y="4514850"/>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371475</xdr:colOff>
      <xdr:row>17</xdr:row>
      <xdr:rowOff>0</xdr:rowOff>
    </xdr:from>
    <xdr:to>
      <xdr:col>22</xdr:col>
      <xdr:colOff>276225</xdr:colOff>
      <xdr:row>17</xdr:row>
      <xdr:rowOff>0</xdr:rowOff>
    </xdr:to>
    <xdr:sp macro="" textlink="">
      <xdr:nvSpPr>
        <xdr:cNvPr id="17" name="Rectangle 224">
          <a:extLst>
            <a:ext uri="{FF2B5EF4-FFF2-40B4-BE49-F238E27FC236}">
              <a16:creationId xmlns:a16="http://schemas.microsoft.com/office/drawing/2014/main" id="{D325F1C7-5989-491E-9556-E332BCEED582}"/>
            </a:ext>
          </a:extLst>
        </xdr:cNvPr>
        <xdr:cNvSpPr>
          <a:spLocks noChangeArrowheads="1"/>
        </xdr:cNvSpPr>
      </xdr:nvSpPr>
      <xdr:spPr bwMode="auto">
        <a:xfrm>
          <a:off x="19991070" y="4514850"/>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371475</xdr:colOff>
      <xdr:row>17</xdr:row>
      <xdr:rowOff>0</xdr:rowOff>
    </xdr:from>
    <xdr:to>
      <xdr:col>22</xdr:col>
      <xdr:colOff>276225</xdr:colOff>
      <xdr:row>17</xdr:row>
      <xdr:rowOff>0</xdr:rowOff>
    </xdr:to>
    <xdr:sp macro="" textlink="">
      <xdr:nvSpPr>
        <xdr:cNvPr id="18" name="Rectangle 222">
          <a:extLst>
            <a:ext uri="{FF2B5EF4-FFF2-40B4-BE49-F238E27FC236}">
              <a16:creationId xmlns:a16="http://schemas.microsoft.com/office/drawing/2014/main" id="{B099051C-D35B-425A-A431-229D15A3C5D1}"/>
            </a:ext>
          </a:extLst>
        </xdr:cNvPr>
        <xdr:cNvSpPr>
          <a:spLocks noChangeArrowheads="1"/>
        </xdr:cNvSpPr>
      </xdr:nvSpPr>
      <xdr:spPr bwMode="auto">
        <a:xfrm>
          <a:off x="19991070" y="4514850"/>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371475</xdr:colOff>
      <xdr:row>17</xdr:row>
      <xdr:rowOff>0</xdr:rowOff>
    </xdr:from>
    <xdr:to>
      <xdr:col>22</xdr:col>
      <xdr:colOff>276225</xdr:colOff>
      <xdr:row>17</xdr:row>
      <xdr:rowOff>0</xdr:rowOff>
    </xdr:to>
    <xdr:sp macro="" textlink="">
      <xdr:nvSpPr>
        <xdr:cNvPr id="19" name="Rectangle 224">
          <a:extLst>
            <a:ext uri="{FF2B5EF4-FFF2-40B4-BE49-F238E27FC236}">
              <a16:creationId xmlns:a16="http://schemas.microsoft.com/office/drawing/2014/main" id="{5D440D29-8235-4BEA-A169-4F6040F6E6E7}"/>
            </a:ext>
          </a:extLst>
        </xdr:cNvPr>
        <xdr:cNvSpPr>
          <a:spLocks noChangeArrowheads="1"/>
        </xdr:cNvSpPr>
      </xdr:nvSpPr>
      <xdr:spPr bwMode="auto">
        <a:xfrm>
          <a:off x="19991070" y="4514850"/>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371475</xdr:colOff>
      <xdr:row>17</xdr:row>
      <xdr:rowOff>0</xdr:rowOff>
    </xdr:from>
    <xdr:to>
      <xdr:col>24</xdr:col>
      <xdr:colOff>276225</xdr:colOff>
      <xdr:row>17</xdr:row>
      <xdr:rowOff>0</xdr:rowOff>
    </xdr:to>
    <xdr:sp macro="" textlink="">
      <xdr:nvSpPr>
        <xdr:cNvPr id="20" name="Rectangle 222">
          <a:extLst>
            <a:ext uri="{FF2B5EF4-FFF2-40B4-BE49-F238E27FC236}">
              <a16:creationId xmlns:a16="http://schemas.microsoft.com/office/drawing/2014/main" id="{12D0D498-5F52-4184-9F16-E9F9878A7CAD}"/>
            </a:ext>
          </a:extLst>
        </xdr:cNvPr>
        <xdr:cNvSpPr>
          <a:spLocks noChangeArrowheads="1"/>
        </xdr:cNvSpPr>
      </xdr:nvSpPr>
      <xdr:spPr bwMode="auto">
        <a:xfrm>
          <a:off x="21210270" y="4514850"/>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371475</xdr:colOff>
      <xdr:row>17</xdr:row>
      <xdr:rowOff>0</xdr:rowOff>
    </xdr:from>
    <xdr:to>
      <xdr:col>24</xdr:col>
      <xdr:colOff>276225</xdr:colOff>
      <xdr:row>17</xdr:row>
      <xdr:rowOff>0</xdr:rowOff>
    </xdr:to>
    <xdr:sp macro="" textlink="">
      <xdr:nvSpPr>
        <xdr:cNvPr id="21" name="Rectangle 224">
          <a:extLst>
            <a:ext uri="{FF2B5EF4-FFF2-40B4-BE49-F238E27FC236}">
              <a16:creationId xmlns:a16="http://schemas.microsoft.com/office/drawing/2014/main" id="{E3796BDE-828C-4844-B86E-F95951E7D9AA}"/>
            </a:ext>
          </a:extLst>
        </xdr:cNvPr>
        <xdr:cNvSpPr>
          <a:spLocks noChangeArrowheads="1"/>
        </xdr:cNvSpPr>
      </xdr:nvSpPr>
      <xdr:spPr bwMode="auto">
        <a:xfrm>
          <a:off x="21210270" y="4514850"/>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371475</xdr:colOff>
      <xdr:row>17</xdr:row>
      <xdr:rowOff>0</xdr:rowOff>
    </xdr:from>
    <xdr:to>
      <xdr:col>24</xdr:col>
      <xdr:colOff>276225</xdr:colOff>
      <xdr:row>17</xdr:row>
      <xdr:rowOff>0</xdr:rowOff>
    </xdr:to>
    <xdr:sp macro="" textlink="">
      <xdr:nvSpPr>
        <xdr:cNvPr id="22" name="Rectangle 222">
          <a:extLst>
            <a:ext uri="{FF2B5EF4-FFF2-40B4-BE49-F238E27FC236}">
              <a16:creationId xmlns:a16="http://schemas.microsoft.com/office/drawing/2014/main" id="{32EEAA43-B20D-44C0-B00C-A00A57D24AD6}"/>
            </a:ext>
          </a:extLst>
        </xdr:cNvPr>
        <xdr:cNvSpPr>
          <a:spLocks noChangeArrowheads="1"/>
        </xdr:cNvSpPr>
      </xdr:nvSpPr>
      <xdr:spPr bwMode="auto">
        <a:xfrm>
          <a:off x="21210270" y="4514850"/>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371475</xdr:colOff>
      <xdr:row>17</xdr:row>
      <xdr:rowOff>0</xdr:rowOff>
    </xdr:from>
    <xdr:to>
      <xdr:col>24</xdr:col>
      <xdr:colOff>276225</xdr:colOff>
      <xdr:row>17</xdr:row>
      <xdr:rowOff>0</xdr:rowOff>
    </xdr:to>
    <xdr:sp macro="" textlink="">
      <xdr:nvSpPr>
        <xdr:cNvPr id="23" name="Rectangle 224">
          <a:extLst>
            <a:ext uri="{FF2B5EF4-FFF2-40B4-BE49-F238E27FC236}">
              <a16:creationId xmlns:a16="http://schemas.microsoft.com/office/drawing/2014/main" id="{7117A624-EF79-4726-9AA4-3B5B45F8447B}"/>
            </a:ext>
          </a:extLst>
        </xdr:cNvPr>
        <xdr:cNvSpPr>
          <a:spLocks noChangeArrowheads="1"/>
        </xdr:cNvSpPr>
      </xdr:nvSpPr>
      <xdr:spPr bwMode="auto">
        <a:xfrm>
          <a:off x="21210270" y="4514850"/>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371475</xdr:colOff>
      <xdr:row>17</xdr:row>
      <xdr:rowOff>0</xdr:rowOff>
    </xdr:from>
    <xdr:to>
      <xdr:col>24</xdr:col>
      <xdr:colOff>276225</xdr:colOff>
      <xdr:row>17</xdr:row>
      <xdr:rowOff>0</xdr:rowOff>
    </xdr:to>
    <xdr:sp macro="" textlink="">
      <xdr:nvSpPr>
        <xdr:cNvPr id="24" name="Rectangle 222">
          <a:extLst>
            <a:ext uri="{FF2B5EF4-FFF2-40B4-BE49-F238E27FC236}">
              <a16:creationId xmlns:a16="http://schemas.microsoft.com/office/drawing/2014/main" id="{9A36AB08-2679-450B-8EBC-12787C647222}"/>
            </a:ext>
          </a:extLst>
        </xdr:cNvPr>
        <xdr:cNvSpPr>
          <a:spLocks noChangeArrowheads="1"/>
        </xdr:cNvSpPr>
      </xdr:nvSpPr>
      <xdr:spPr bwMode="auto">
        <a:xfrm>
          <a:off x="21210270" y="4514850"/>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371475</xdr:colOff>
      <xdr:row>17</xdr:row>
      <xdr:rowOff>0</xdr:rowOff>
    </xdr:from>
    <xdr:to>
      <xdr:col>24</xdr:col>
      <xdr:colOff>276225</xdr:colOff>
      <xdr:row>17</xdr:row>
      <xdr:rowOff>0</xdr:rowOff>
    </xdr:to>
    <xdr:sp macro="" textlink="">
      <xdr:nvSpPr>
        <xdr:cNvPr id="25" name="Rectangle 224">
          <a:extLst>
            <a:ext uri="{FF2B5EF4-FFF2-40B4-BE49-F238E27FC236}">
              <a16:creationId xmlns:a16="http://schemas.microsoft.com/office/drawing/2014/main" id="{418499CF-FAA1-4A3D-BBE3-CAF8F301DAEF}"/>
            </a:ext>
          </a:extLst>
        </xdr:cNvPr>
        <xdr:cNvSpPr>
          <a:spLocks noChangeArrowheads="1"/>
        </xdr:cNvSpPr>
      </xdr:nvSpPr>
      <xdr:spPr bwMode="auto">
        <a:xfrm>
          <a:off x="21210270" y="4514850"/>
          <a:ext cx="51816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9525</xdr:colOff>
      <xdr:row>0</xdr:row>
      <xdr:rowOff>0</xdr:rowOff>
    </xdr:to>
    <xdr:sp macro="" textlink="">
      <xdr:nvSpPr>
        <xdr:cNvPr id="2" name="Rectangle 24">
          <a:extLst>
            <a:ext uri="{FF2B5EF4-FFF2-40B4-BE49-F238E27FC236}">
              <a16:creationId xmlns:a16="http://schemas.microsoft.com/office/drawing/2014/main" id="{FB5ED294-D8EF-4BE8-8AEC-0C8D2956205D}"/>
            </a:ext>
          </a:extLst>
        </xdr:cNvPr>
        <xdr:cNvSpPr>
          <a:spLocks noChangeArrowheads="1"/>
        </xdr:cNvSpPr>
      </xdr:nvSpPr>
      <xdr:spPr bwMode="auto">
        <a:xfrm>
          <a:off x="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571500</xdr:colOff>
      <xdr:row>0</xdr:row>
      <xdr:rowOff>0</xdr:rowOff>
    </xdr:from>
    <xdr:to>
      <xdr:col>12</xdr:col>
      <xdr:colOff>581025</xdr:colOff>
      <xdr:row>0</xdr:row>
      <xdr:rowOff>0</xdr:rowOff>
    </xdr:to>
    <xdr:sp macro="" textlink="">
      <xdr:nvSpPr>
        <xdr:cNvPr id="3" name="Rectangle 25">
          <a:extLst>
            <a:ext uri="{FF2B5EF4-FFF2-40B4-BE49-F238E27FC236}">
              <a16:creationId xmlns:a16="http://schemas.microsoft.com/office/drawing/2014/main" id="{6C0FC36C-4483-4F34-AB0E-BC799329D8E2}"/>
            </a:ext>
          </a:extLst>
        </xdr:cNvPr>
        <xdr:cNvSpPr>
          <a:spLocks noChangeArrowheads="1"/>
        </xdr:cNvSpPr>
      </xdr:nvSpPr>
      <xdr:spPr bwMode="auto">
        <a:xfrm>
          <a:off x="806958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 name="Line 26">
          <a:extLst>
            <a:ext uri="{FF2B5EF4-FFF2-40B4-BE49-F238E27FC236}">
              <a16:creationId xmlns:a16="http://schemas.microsoft.com/office/drawing/2014/main" id="{1554F70D-752E-4E18-8956-758CF7F0D087}"/>
            </a:ext>
          </a:extLst>
        </xdr:cNvPr>
        <xdr:cNvSpPr>
          <a:spLocks noChangeShapeType="1"/>
        </xdr:cNvSpPr>
      </xdr:nvSpPr>
      <xdr:spPr bwMode="auto">
        <a:xfrm>
          <a:off x="0" y="0"/>
          <a:ext cx="0"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9525</xdr:colOff>
      <xdr:row>0</xdr:row>
      <xdr:rowOff>0</xdr:rowOff>
    </xdr:to>
    <xdr:sp macro="" textlink="">
      <xdr:nvSpPr>
        <xdr:cNvPr id="5" name="Rectangle 27">
          <a:extLst>
            <a:ext uri="{FF2B5EF4-FFF2-40B4-BE49-F238E27FC236}">
              <a16:creationId xmlns:a16="http://schemas.microsoft.com/office/drawing/2014/main" id="{63233C2A-37E5-4F84-AA52-5B3EA2504A9A}"/>
            </a:ext>
          </a:extLst>
        </xdr:cNvPr>
        <xdr:cNvSpPr>
          <a:spLocks noChangeArrowheads="1"/>
        </xdr:cNvSpPr>
      </xdr:nvSpPr>
      <xdr:spPr bwMode="auto">
        <a:xfrm>
          <a:off x="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571500</xdr:colOff>
      <xdr:row>0</xdr:row>
      <xdr:rowOff>0</xdr:rowOff>
    </xdr:from>
    <xdr:to>
      <xdr:col>12</xdr:col>
      <xdr:colOff>571500</xdr:colOff>
      <xdr:row>0</xdr:row>
      <xdr:rowOff>0</xdr:rowOff>
    </xdr:to>
    <xdr:sp macro="" textlink="">
      <xdr:nvSpPr>
        <xdr:cNvPr id="6" name="Line 28">
          <a:extLst>
            <a:ext uri="{FF2B5EF4-FFF2-40B4-BE49-F238E27FC236}">
              <a16:creationId xmlns:a16="http://schemas.microsoft.com/office/drawing/2014/main" id="{3BBFF5DA-8B1F-4D65-8B30-FA513AB4117A}"/>
            </a:ext>
          </a:extLst>
        </xdr:cNvPr>
        <xdr:cNvSpPr>
          <a:spLocks noChangeShapeType="1"/>
        </xdr:cNvSpPr>
      </xdr:nvSpPr>
      <xdr:spPr bwMode="auto">
        <a:xfrm>
          <a:off x="8069580" y="0"/>
          <a:ext cx="0"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571500</xdr:colOff>
      <xdr:row>0</xdr:row>
      <xdr:rowOff>0</xdr:rowOff>
    </xdr:from>
    <xdr:to>
      <xdr:col>12</xdr:col>
      <xdr:colOff>581025</xdr:colOff>
      <xdr:row>0</xdr:row>
      <xdr:rowOff>0</xdr:rowOff>
    </xdr:to>
    <xdr:sp macro="" textlink="">
      <xdr:nvSpPr>
        <xdr:cNvPr id="7" name="Rectangle 29">
          <a:extLst>
            <a:ext uri="{FF2B5EF4-FFF2-40B4-BE49-F238E27FC236}">
              <a16:creationId xmlns:a16="http://schemas.microsoft.com/office/drawing/2014/main" id="{0372DEAB-5E96-4504-B849-30BA55B3BE61}"/>
            </a:ext>
          </a:extLst>
        </xdr:cNvPr>
        <xdr:cNvSpPr>
          <a:spLocks noChangeArrowheads="1"/>
        </xdr:cNvSpPr>
      </xdr:nvSpPr>
      <xdr:spPr bwMode="auto">
        <a:xfrm>
          <a:off x="806958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 name="Line 30">
          <a:extLst>
            <a:ext uri="{FF2B5EF4-FFF2-40B4-BE49-F238E27FC236}">
              <a16:creationId xmlns:a16="http://schemas.microsoft.com/office/drawing/2014/main" id="{FDA4AFC2-0396-4274-AF19-067EC3626402}"/>
            </a:ext>
          </a:extLst>
        </xdr:cNvPr>
        <xdr:cNvSpPr>
          <a:spLocks noChangeShapeType="1"/>
        </xdr:cNvSpPr>
      </xdr:nvSpPr>
      <xdr:spPr bwMode="auto">
        <a:xfrm>
          <a:off x="0" y="0"/>
          <a:ext cx="0"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9525</xdr:colOff>
      <xdr:row>0</xdr:row>
      <xdr:rowOff>0</xdr:rowOff>
    </xdr:to>
    <xdr:sp macro="" textlink="">
      <xdr:nvSpPr>
        <xdr:cNvPr id="9" name="Rectangle 31">
          <a:extLst>
            <a:ext uri="{FF2B5EF4-FFF2-40B4-BE49-F238E27FC236}">
              <a16:creationId xmlns:a16="http://schemas.microsoft.com/office/drawing/2014/main" id="{57693FCB-0B3F-4FC2-92C2-FAD60E7CD96A}"/>
            </a:ext>
          </a:extLst>
        </xdr:cNvPr>
        <xdr:cNvSpPr>
          <a:spLocks noChangeArrowheads="1"/>
        </xdr:cNvSpPr>
      </xdr:nvSpPr>
      <xdr:spPr bwMode="auto">
        <a:xfrm>
          <a:off x="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571500</xdr:colOff>
      <xdr:row>0</xdr:row>
      <xdr:rowOff>0</xdr:rowOff>
    </xdr:from>
    <xdr:to>
      <xdr:col>12</xdr:col>
      <xdr:colOff>571500</xdr:colOff>
      <xdr:row>0</xdr:row>
      <xdr:rowOff>0</xdr:rowOff>
    </xdr:to>
    <xdr:sp macro="" textlink="">
      <xdr:nvSpPr>
        <xdr:cNvPr id="10" name="Line 32">
          <a:extLst>
            <a:ext uri="{FF2B5EF4-FFF2-40B4-BE49-F238E27FC236}">
              <a16:creationId xmlns:a16="http://schemas.microsoft.com/office/drawing/2014/main" id="{A83F4D9D-6EBB-40D2-B0ED-FB370D1222F8}"/>
            </a:ext>
          </a:extLst>
        </xdr:cNvPr>
        <xdr:cNvSpPr>
          <a:spLocks noChangeShapeType="1"/>
        </xdr:cNvSpPr>
      </xdr:nvSpPr>
      <xdr:spPr bwMode="auto">
        <a:xfrm>
          <a:off x="8069580" y="0"/>
          <a:ext cx="0"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571500</xdr:colOff>
      <xdr:row>0</xdr:row>
      <xdr:rowOff>0</xdr:rowOff>
    </xdr:from>
    <xdr:to>
      <xdr:col>12</xdr:col>
      <xdr:colOff>581025</xdr:colOff>
      <xdr:row>0</xdr:row>
      <xdr:rowOff>0</xdr:rowOff>
    </xdr:to>
    <xdr:sp macro="" textlink="">
      <xdr:nvSpPr>
        <xdr:cNvPr id="11" name="Rectangle 33">
          <a:extLst>
            <a:ext uri="{FF2B5EF4-FFF2-40B4-BE49-F238E27FC236}">
              <a16:creationId xmlns:a16="http://schemas.microsoft.com/office/drawing/2014/main" id="{57035D84-A7E6-404A-A0DD-620A5DCB5EFA}"/>
            </a:ext>
          </a:extLst>
        </xdr:cNvPr>
        <xdr:cNvSpPr>
          <a:spLocks noChangeArrowheads="1"/>
        </xdr:cNvSpPr>
      </xdr:nvSpPr>
      <xdr:spPr bwMode="auto">
        <a:xfrm>
          <a:off x="806958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 name="Line 34">
          <a:extLst>
            <a:ext uri="{FF2B5EF4-FFF2-40B4-BE49-F238E27FC236}">
              <a16:creationId xmlns:a16="http://schemas.microsoft.com/office/drawing/2014/main" id="{37FF863F-E107-4B78-852A-ABB6E37BFB60}"/>
            </a:ext>
          </a:extLst>
        </xdr:cNvPr>
        <xdr:cNvSpPr>
          <a:spLocks noChangeShapeType="1"/>
        </xdr:cNvSpPr>
      </xdr:nvSpPr>
      <xdr:spPr bwMode="auto">
        <a:xfrm>
          <a:off x="0" y="0"/>
          <a:ext cx="0"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9525</xdr:colOff>
      <xdr:row>0</xdr:row>
      <xdr:rowOff>0</xdr:rowOff>
    </xdr:to>
    <xdr:sp macro="" textlink="">
      <xdr:nvSpPr>
        <xdr:cNvPr id="13" name="Rectangle 35">
          <a:extLst>
            <a:ext uri="{FF2B5EF4-FFF2-40B4-BE49-F238E27FC236}">
              <a16:creationId xmlns:a16="http://schemas.microsoft.com/office/drawing/2014/main" id="{D000C22C-3E3B-4B4F-BDA0-90A5028F04F5}"/>
            </a:ext>
          </a:extLst>
        </xdr:cNvPr>
        <xdr:cNvSpPr>
          <a:spLocks noChangeArrowheads="1"/>
        </xdr:cNvSpPr>
      </xdr:nvSpPr>
      <xdr:spPr bwMode="auto">
        <a:xfrm>
          <a:off x="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571500</xdr:colOff>
      <xdr:row>0</xdr:row>
      <xdr:rowOff>0</xdr:rowOff>
    </xdr:from>
    <xdr:to>
      <xdr:col>12</xdr:col>
      <xdr:colOff>571500</xdr:colOff>
      <xdr:row>0</xdr:row>
      <xdr:rowOff>0</xdr:rowOff>
    </xdr:to>
    <xdr:sp macro="" textlink="">
      <xdr:nvSpPr>
        <xdr:cNvPr id="14" name="Line 36">
          <a:extLst>
            <a:ext uri="{FF2B5EF4-FFF2-40B4-BE49-F238E27FC236}">
              <a16:creationId xmlns:a16="http://schemas.microsoft.com/office/drawing/2014/main" id="{F22C9BCD-4884-4055-A4B7-3AC6AB492777}"/>
            </a:ext>
          </a:extLst>
        </xdr:cNvPr>
        <xdr:cNvSpPr>
          <a:spLocks noChangeShapeType="1"/>
        </xdr:cNvSpPr>
      </xdr:nvSpPr>
      <xdr:spPr bwMode="auto">
        <a:xfrm>
          <a:off x="8069580" y="0"/>
          <a:ext cx="0"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571500</xdr:colOff>
      <xdr:row>0</xdr:row>
      <xdr:rowOff>0</xdr:rowOff>
    </xdr:from>
    <xdr:to>
      <xdr:col>12</xdr:col>
      <xdr:colOff>581025</xdr:colOff>
      <xdr:row>0</xdr:row>
      <xdr:rowOff>0</xdr:rowOff>
    </xdr:to>
    <xdr:sp macro="" textlink="">
      <xdr:nvSpPr>
        <xdr:cNvPr id="15" name="Rectangle 37">
          <a:extLst>
            <a:ext uri="{FF2B5EF4-FFF2-40B4-BE49-F238E27FC236}">
              <a16:creationId xmlns:a16="http://schemas.microsoft.com/office/drawing/2014/main" id="{89C8B446-5CAB-435E-AD5A-CB63892B4671}"/>
            </a:ext>
          </a:extLst>
        </xdr:cNvPr>
        <xdr:cNvSpPr>
          <a:spLocks noChangeArrowheads="1"/>
        </xdr:cNvSpPr>
      </xdr:nvSpPr>
      <xdr:spPr bwMode="auto">
        <a:xfrm>
          <a:off x="806958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9525</xdr:colOff>
      <xdr:row>0</xdr:row>
      <xdr:rowOff>0</xdr:rowOff>
    </xdr:to>
    <xdr:sp macro="" textlink="">
      <xdr:nvSpPr>
        <xdr:cNvPr id="16" name="Line 38">
          <a:extLst>
            <a:ext uri="{FF2B5EF4-FFF2-40B4-BE49-F238E27FC236}">
              <a16:creationId xmlns:a16="http://schemas.microsoft.com/office/drawing/2014/main" id="{6F802E5C-39BF-458B-8BC4-01867DD51747}"/>
            </a:ext>
          </a:extLst>
        </xdr:cNvPr>
        <xdr:cNvSpPr>
          <a:spLocks noChangeShapeType="1"/>
        </xdr:cNvSpPr>
      </xdr:nvSpPr>
      <xdr:spPr bwMode="auto">
        <a:xfrm>
          <a:off x="0"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9525</xdr:colOff>
      <xdr:row>0</xdr:row>
      <xdr:rowOff>0</xdr:rowOff>
    </xdr:to>
    <xdr:sp macro="" textlink="">
      <xdr:nvSpPr>
        <xdr:cNvPr id="17" name="Rectangle 39">
          <a:extLst>
            <a:ext uri="{FF2B5EF4-FFF2-40B4-BE49-F238E27FC236}">
              <a16:creationId xmlns:a16="http://schemas.microsoft.com/office/drawing/2014/main" id="{B8FDBEAB-7B4B-402E-8486-6E4C062BCFCB}"/>
            </a:ext>
          </a:extLst>
        </xdr:cNvPr>
        <xdr:cNvSpPr>
          <a:spLocks noChangeArrowheads="1"/>
        </xdr:cNvSpPr>
      </xdr:nvSpPr>
      <xdr:spPr bwMode="auto">
        <a:xfrm>
          <a:off x="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571500</xdr:colOff>
      <xdr:row>0</xdr:row>
      <xdr:rowOff>0</xdr:rowOff>
    </xdr:from>
    <xdr:to>
      <xdr:col>12</xdr:col>
      <xdr:colOff>581025</xdr:colOff>
      <xdr:row>0</xdr:row>
      <xdr:rowOff>0</xdr:rowOff>
    </xdr:to>
    <xdr:sp macro="" textlink="">
      <xdr:nvSpPr>
        <xdr:cNvPr id="18" name="Line 40">
          <a:extLst>
            <a:ext uri="{FF2B5EF4-FFF2-40B4-BE49-F238E27FC236}">
              <a16:creationId xmlns:a16="http://schemas.microsoft.com/office/drawing/2014/main" id="{91F86CF2-C9BA-4482-A59A-77942167237E}"/>
            </a:ext>
          </a:extLst>
        </xdr:cNvPr>
        <xdr:cNvSpPr>
          <a:spLocks noChangeShapeType="1"/>
        </xdr:cNvSpPr>
      </xdr:nvSpPr>
      <xdr:spPr bwMode="auto">
        <a:xfrm>
          <a:off x="8069580"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571500</xdr:colOff>
      <xdr:row>0</xdr:row>
      <xdr:rowOff>0</xdr:rowOff>
    </xdr:from>
    <xdr:to>
      <xdr:col>12</xdr:col>
      <xdr:colOff>581025</xdr:colOff>
      <xdr:row>0</xdr:row>
      <xdr:rowOff>0</xdr:rowOff>
    </xdr:to>
    <xdr:sp macro="" textlink="">
      <xdr:nvSpPr>
        <xdr:cNvPr id="19" name="Rectangle 41">
          <a:extLst>
            <a:ext uri="{FF2B5EF4-FFF2-40B4-BE49-F238E27FC236}">
              <a16:creationId xmlns:a16="http://schemas.microsoft.com/office/drawing/2014/main" id="{C37BF2FF-01F1-449A-9244-7112282F2192}"/>
            </a:ext>
          </a:extLst>
        </xdr:cNvPr>
        <xdr:cNvSpPr>
          <a:spLocks noChangeArrowheads="1"/>
        </xdr:cNvSpPr>
      </xdr:nvSpPr>
      <xdr:spPr bwMode="auto">
        <a:xfrm>
          <a:off x="806958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0" name="Line 42">
          <a:extLst>
            <a:ext uri="{FF2B5EF4-FFF2-40B4-BE49-F238E27FC236}">
              <a16:creationId xmlns:a16="http://schemas.microsoft.com/office/drawing/2014/main" id="{F84652D1-E720-405E-9379-1142979EC505}"/>
            </a:ext>
          </a:extLst>
        </xdr:cNvPr>
        <xdr:cNvSpPr>
          <a:spLocks noChangeShapeType="1"/>
        </xdr:cNvSpPr>
      </xdr:nvSpPr>
      <xdr:spPr bwMode="auto">
        <a:xfrm>
          <a:off x="807910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1" name="Rectangle 43">
          <a:extLst>
            <a:ext uri="{FF2B5EF4-FFF2-40B4-BE49-F238E27FC236}">
              <a16:creationId xmlns:a16="http://schemas.microsoft.com/office/drawing/2014/main" id="{0A21D4A8-0B87-4BE8-A9C5-914E256F4492}"/>
            </a:ext>
          </a:extLst>
        </xdr:cNvPr>
        <xdr:cNvSpPr>
          <a:spLocks noChangeArrowheads="1"/>
        </xdr:cNvSpPr>
      </xdr:nvSpPr>
      <xdr:spPr bwMode="auto">
        <a:xfrm>
          <a:off x="807910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2" name="Line 44">
          <a:extLst>
            <a:ext uri="{FF2B5EF4-FFF2-40B4-BE49-F238E27FC236}">
              <a16:creationId xmlns:a16="http://schemas.microsoft.com/office/drawing/2014/main" id="{DEAC8864-4835-4CDA-AE0D-BC9B8E51790C}"/>
            </a:ext>
          </a:extLst>
        </xdr:cNvPr>
        <xdr:cNvSpPr>
          <a:spLocks noChangeShapeType="1"/>
        </xdr:cNvSpPr>
      </xdr:nvSpPr>
      <xdr:spPr bwMode="auto">
        <a:xfrm>
          <a:off x="807910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 name="Rectangle 45">
          <a:extLst>
            <a:ext uri="{FF2B5EF4-FFF2-40B4-BE49-F238E27FC236}">
              <a16:creationId xmlns:a16="http://schemas.microsoft.com/office/drawing/2014/main" id="{C0EC0721-1F13-437D-921E-000D6F0A7109}"/>
            </a:ext>
          </a:extLst>
        </xdr:cNvPr>
        <xdr:cNvSpPr>
          <a:spLocks noChangeArrowheads="1"/>
        </xdr:cNvSpPr>
      </xdr:nvSpPr>
      <xdr:spPr bwMode="auto">
        <a:xfrm>
          <a:off x="807910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4" name="Line 46">
          <a:extLst>
            <a:ext uri="{FF2B5EF4-FFF2-40B4-BE49-F238E27FC236}">
              <a16:creationId xmlns:a16="http://schemas.microsoft.com/office/drawing/2014/main" id="{DDD8C184-E33C-48EF-B4A7-0D7EC1DCB5C1}"/>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5" name="Line 48">
          <a:extLst>
            <a:ext uri="{FF2B5EF4-FFF2-40B4-BE49-F238E27FC236}">
              <a16:creationId xmlns:a16="http://schemas.microsoft.com/office/drawing/2014/main" id="{4DBE9990-8478-47E6-A454-5C4B3EEA8A2F}"/>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6" name="Rectangle 49">
          <a:extLst>
            <a:ext uri="{FF2B5EF4-FFF2-40B4-BE49-F238E27FC236}">
              <a16:creationId xmlns:a16="http://schemas.microsoft.com/office/drawing/2014/main" id="{7F1CBFE5-8F7F-4DD1-BD9D-2912CA6A1842}"/>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7" name="Line 50">
          <a:extLst>
            <a:ext uri="{FF2B5EF4-FFF2-40B4-BE49-F238E27FC236}">
              <a16:creationId xmlns:a16="http://schemas.microsoft.com/office/drawing/2014/main" id="{1954B13D-AAAE-4586-9631-7B58F5EF5880}"/>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8" name="Rectangle 51">
          <a:extLst>
            <a:ext uri="{FF2B5EF4-FFF2-40B4-BE49-F238E27FC236}">
              <a16:creationId xmlns:a16="http://schemas.microsoft.com/office/drawing/2014/main" id="{ECC4A184-4549-4ADD-ADCF-6596E6F60421}"/>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9" name="Line 52">
          <a:extLst>
            <a:ext uri="{FF2B5EF4-FFF2-40B4-BE49-F238E27FC236}">
              <a16:creationId xmlns:a16="http://schemas.microsoft.com/office/drawing/2014/main" id="{09FAC72E-5AA4-4AF2-B027-94CB2E07487D}"/>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30" name="Rectangle 53">
          <a:extLst>
            <a:ext uri="{FF2B5EF4-FFF2-40B4-BE49-F238E27FC236}">
              <a16:creationId xmlns:a16="http://schemas.microsoft.com/office/drawing/2014/main" id="{5E17B506-0F92-4D33-9ABB-99D5488D4313}"/>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31" name="Line 54">
          <a:extLst>
            <a:ext uri="{FF2B5EF4-FFF2-40B4-BE49-F238E27FC236}">
              <a16:creationId xmlns:a16="http://schemas.microsoft.com/office/drawing/2014/main" id="{01210126-5D1E-4CA6-BB6F-3E72C1D68AD8}"/>
            </a:ext>
          </a:extLst>
        </xdr:cNvPr>
        <xdr:cNvSpPr>
          <a:spLocks noChangeShapeType="1"/>
        </xdr:cNvSpPr>
      </xdr:nvSpPr>
      <xdr:spPr bwMode="auto">
        <a:xfrm>
          <a:off x="807910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32" name="Rectangle 55">
          <a:extLst>
            <a:ext uri="{FF2B5EF4-FFF2-40B4-BE49-F238E27FC236}">
              <a16:creationId xmlns:a16="http://schemas.microsoft.com/office/drawing/2014/main" id="{3354EBBE-0B28-4593-A15F-B95F19F39845}"/>
            </a:ext>
          </a:extLst>
        </xdr:cNvPr>
        <xdr:cNvSpPr>
          <a:spLocks noChangeArrowheads="1"/>
        </xdr:cNvSpPr>
      </xdr:nvSpPr>
      <xdr:spPr bwMode="auto">
        <a:xfrm>
          <a:off x="807910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33" name="Line 56">
          <a:extLst>
            <a:ext uri="{FF2B5EF4-FFF2-40B4-BE49-F238E27FC236}">
              <a16:creationId xmlns:a16="http://schemas.microsoft.com/office/drawing/2014/main" id="{E4BC15DC-F903-4B01-B87C-515D430C0E96}"/>
            </a:ext>
          </a:extLst>
        </xdr:cNvPr>
        <xdr:cNvSpPr>
          <a:spLocks noChangeShapeType="1"/>
        </xdr:cNvSpPr>
      </xdr:nvSpPr>
      <xdr:spPr bwMode="auto">
        <a:xfrm>
          <a:off x="807910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34" name="Rectangle 57">
          <a:extLst>
            <a:ext uri="{FF2B5EF4-FFF2-40B4-BE49-F238E27FC236}">
              <a16:creationId xmlns:a16="http://schemas.microsoft.com/office/drawing/2014/main" id="{149B18B3-EAD2-4F36-A2EE-DD006721F739}"/>
            </a:ext>
          </a:extLst>
        </xdr:cNvPr>
        <xdr:cNvSpPr>
          <a:spLocks noChangeArrowheads="1"/>
        </xdr:cNvSpPr>
      </xdr:nvSpPr>
      <xdr:spPr bwMode="auto">
        <a:xfrm>
          <a:off x="807910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35" name="Line 58">
          <a:extLst>
            <a:ext uri="{FF2B5EF4-FFF2-40B4-BE49-F238E27FC236}">
              <a16:creationId xmlns:a16="http://schemas.microsoft.com/office/drawing/2014/main" id="{6B533831-AF25-42B3-9905-FA330404D8AD}"/>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36" name="Rectangle 59">
          <a:extLst>
            <a:ext uri="{FF2B5EF4-FFF2-40B4-BE49-F238E27FC236}">
              <a16:creationId xmlns:a16="http://schemas.microsoft.com/office/drawing/2014/main" id="{25B5154F-DD82-4352-8C83-416DC2C0ABEF}"/>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37" name="Line 60">
          <a:extLst>
            <a:ext uri="{FF2B5EF4-FFF2-40B4-BE49-F238E27FC236}">
              <a16:creationId xmlns:a16="http://schemas.microsoft.com/office/drawing/2014/main" id="{198F5B33-2A7C-4DC0-9DB9-4F2DF545CA16}"/>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38" name="Rectangle 61">
          <a:extLst>
            <a:ext uri="{FF2B5EF4-FFF2-40B4-BE49-F238E27FC236}">
              <a16:creationId xmlns:a16="http://schemas.microsoft.com/office/drawing/2014/main" id="{2FD72DBF-FB7E-48F9-B0C7-1D0534B38FA4}"/>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39" name="Line 62">
          <a:extLst>
            <a:ext uri="{FF2B5EF4-FFF2-40B4-BE49-F238E27FC236}">
              <a16:creationId xmlns:a16="http://schemas.microsoft.com/office/drawing/2014/main" id="{7EEC0C8A-F46C-430F-9D2C-834704E05FF7}"/>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40" name="Rectangle 63">
          <a:extLst>
            <a:ext uri="{FF2B5EF4-FFF2-40B4-BE49-F238E27FC236}">
              <a16:creationId xmlns:a16="http://schemas.microsoft.com/office/drawing/2014/main" id="{D40211B5-6FD9-4EBA-9300-6399E9B44C3D}"/>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41" name="Line 64">
          <a:extLst>
            <a:ext uri="{FF2B5EF4-FFF2-40B4-BE49-F238E27FC236}">
              <a16:creationId xmlns:a16="http://schemas.microsoft.com/office/drawing/2014/main" id="{458532A1-9237-498E-A798-F3BB2BB19269}"/>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42" name="Rectangle 65">
          <a:extLst>
            <a:ext uri="{FF2B5EF4-FFF2-40B4-BE49-F238E27FC236}">
              <a16:creationId xmlns:a16="http://schemas.microsoft.com/office/drawing/2014/main" id="{162866FA-6A54-434C-A9A2-D1A129FE699F}"/>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43" name="Line 66">
          <a:extLst>
            <a:ext uri="{FF2B5EF4-FFF2-40B4-BE49-F238E27FC236}">
              <a16:creationId xmlns:a16="http://schemas.microsoft.com/office/drawing/2014/main" id="{0634166C-5297-4FB4-A4F4-7A0F33F18A62}"/>
            </a:ext>
          </a:extLst>
        </xdr:cNvPr>
        <xdr:cNvSpPr>
          <a:spLocks noChangeShapeType="1"/>
        </xdr:cNvSpPr>
      </xdr:nvSpPr>
      <xdr:spPr bwMode="auto">
        <a:xfrm>
          <a:off x="807910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44" name="Rectangle 67">
          <a:extLst>
            <a:ext uri="{FF2B5EF4-FFF2-40B4-BE49-F238E27FC236}">
              <a16:creationId xmlns:a16="http://schemas.microsoft.com/office/drawing/2014/main" id="{13E34249-CE36-45B5-9783-0CD0BA0E3888}"/>
            </a:ext>
          </a:extLst>
        </xdr:cNvPr>
        <xdr:cNvSpPr>
          <a:spLocks noChangeArrowheads="1"/>
        </xdr:cNvSpPr>
      </xdr:nvSpPr>
      <xdr:spPr bwMode="auto">
        <a:xfrm>
          <a:off x="807910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45" name="Line 68">
          <a:extLst>
            <a:ext uri="{FF2B5EF4-FFF2-40B4-BE49-F238E27FC236}">
              <a16:creationId xmlns:a16="http://schemas.microsoft.com/office/drawing/2014/main" id="{1FADFBC9-20B1-4410-ACAC-868676258C7C}"/>
            </a:ext>
          </a:extLst>
        </xdr:cNvPr>
        <xdr:cNvSpPr>
          <a:spLocks noChangeShapeType="1"/>
        </xdr:cNvSpPr>
      </xdr:nvSpPr>
      <xdr:spPr bwMode="auto">
        <a:xfrm>
          <a:off x="807910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46" name="Rectangle 69">
          <a:extLst>
            <a:ext uri="{FF2B5EF4-FFF2-40B4-BE49-F238E27FC236}">
              <a16:creationId xmlns:a16="http://schemas.microsoft.com/office/drawing/2014/main" id="{5EB52198-C17F-4B0C-A47E-A9489E21876A}"/>
            </a:ext>
          </a:extLst>
        </xdr:cNvPr>
        <xdr:cNvSpPr>
          <a:spLocks noChangeArrowheads="1"/>
        </xdr:cNvSpPr>
      </xdr:nvSpPr>
      <xdr:spPr bwMode="auto">
        <a:xfrm>
          <a:off x="807910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47" name="Rectangle 71">
          <a:extLst>
            <a:ext uri="{FF2B5EF4-FFF2-40B4-BE49-F238E27FC236}">
              <a16:creationId xmlns:a16="http://schemas.microsoft.com/office/drawing/2014/main" id="{4F63827A-0BA6-439F-B3EA-31ED97078374}"/>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48" name="Line 72">
          <a:extLst>
            <a:ext uri="{FF2B5EF4-FFF2-40B4-BE49-F238E27FC236}">
              <a16:creationId xmlns:a16="http://schemas.microsoft.com/office/drawing/2014/main" id="{9696C7CA-8722-4307-B93E-06F7D3890967}"/>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49" name="Rectangle 73">
          <a:extLst>
            <a:ext uri="{FF2B5EF4-FFF2-40B4-BE49-F238E27FC236}">
              <a16:creationId xmlns:a16="http://schemas.microsoft.com/office/drawing/2014/main" id="{487E3B0A-0709-4C58-A92A-E49CFEAD59F6}"/>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50" name="Line 74">
          <a:extLst>
            <a:ext uri="{FF2B5EF4-FFF2-40B4-BE49-F238E27FC236}">
              <a16:creationId xmlns:a16="http://schemas.microsoft.com/office/drawing/2014/main" id="{205C2499-928D-4EC6-A31F-FE1D3FCF2644}"/>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51" name="Rectangle 75">
          <a:extLst>
            <a:ext uri="{FF2B5EF4-FFF2-40B4-BE49-F238E27FC236}">
              <a16:creationId xmlns:a16="http://schemas.microsoft.com/office/drawing/2014/main" id="{828D783C-1490-44BE-8D81-6FB8DBF32642}"/>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52" name="Line 76">
          <a:extLst>
            <a:ext uri="{FF2B5EF4-FFF2-40B4-BE49-F238E27FC236}">
              <a16:creationId xmlns:a16="http://schemas.microsoft.com/office/drawing/2014/main" id="{B59FA944-5893-4DAF-9058-FC7E55807294}"/>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53" name="Rectangle 77">
          <a:extLst>
            <a:ext uri="{FF2B5EF4-FFF2-40B4-BE49-F238E27FC236}">
              <a16:creationId xmlns:a16="http://schemas.microsoft.com/office/drawing/2014/main" id="{C7549650-39D6-4C0F-B19D-B6F06D44D960}"/>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54" name="Line 78">
          <a:extLst>
            <a:ext uri="{FF2B5EF4-FFF2-40B4-BE49-F238E27FC236}">
              <a16:creationId xmlns:a16="http://schemas.microsoft.com/office/drawing/2014/main" id="{93A56741-84AE-4DAC-A8F0-98C3E5A03071}"/>
            </a:ext>
          </a:extLst>
        </xdr:cNvPr>
        <xdr:cNvSpPr>
          <a:spLocks noChangeShapeType="1"/>
        </xdr:cNvSpPr>
      </xdr:nvSpPr>
      <xdr:spPr bwMode="auto">
        <a:xfrm>
          <a:off x="807910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55" name="Rectangle 79">
          <a:extLst>
            <a:ext uri="{FF2B5EF4-FFF2-40B4-BE49-F238E27FC236}">
              <a16:creationId xmlns:a16="http://schemas.microsoft.com/office/drawing/2014/main" id="{DC31F454-D987-4B1E-B4FA-7865E1153ADB}"/>
            </a:ext>
          </a:extLst>
        </xdr:cNvPr>
        <xdr:cNvSpPr>
          <a:spLocks noChangeArrowheads="1"/>
        </xdr:cNvSpPr>
      </xdr:nvSpPr>
      <xdr:spPr bwMode="auto">
        <a:xfrm>
          <a:off x="807910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56" name="Line 80">
          <a:extLst>
            <a:ext uri="{FF2B5EF4-FFF2-40B4-BE49-F238E27FC236}">
              <a16:creationId xmlns:a16="http://schemas.microsoft.com/office/drawing/2014/main" id="{C6438490-C42F-462D-96F4-F8C5591D51F7}"/>
            </a:ext>
          </a:extLst>
        </xdr:cNvPr>
        <xdr:cNvSpPr>
          <a:spLocks noChangeShapeType="1"/>
        </xdr:cNvSpPr>
      </xdr:nvSpPr>
      <xdr:spPr bwMode="auto">
        <a:xfrm>
          <a:off x="807910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57" name="Rectangle 81">
          <a:extLst>
            <a:ext uri="{FF2B5EF4-FFF2-40B4-BE49-F238E27FC236}">
              <a16:creationId xmlns:a16="http://schemas.microsoft.com/office/drawing/2014/main" id="{F5193D47-9234-4A87-B393-DD11D0BA1F50}"/>
            </a:ext>
          </a:extLst>
        </xdr:cNvPr>
        <xdr:cNvSpPr>
          <a:spLocks noChangeArrowheads="1"/>
        </xdr:cNvSpPr>
      </xdr:nvSpPr>
      <xdr:spPr bwMode="auto">
        <a:xfrm>
          <a:off x="807910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58" name="Line 82">
          <a:extLst>
            <a:ext uri="{FF2B5EF4-FFF2-40B4-BE49-F238E27FC236}">
              <a16:creationId xmlns:a16="http://schemas.microsoft.com/office/drawing/2014/main" id="{5E98F2A5-B08C-4297-BDE6-F6536D349D96}"/>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59" name="Line 84">
          <a:extLst>
            <a:ext uri="{FF2B5EF4-FFF2-40B4-BE49-F238E27FC236}">
              <a16:creationId xmlns:a16="http://schemas.microsoft.com/office/drawing/2014/main" id="{0FA28683-4437-47B3-9FB8-960CEC5C9384}"/>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60" name="Line 86">
          <a:extLst>
            <a:ext uri="{FF2B5EF4-FFF2-40B4-BE49-F238E27FC236}">
              <a16:creationId xmlns:a16="http://schemas.microsoft.com/office/drawing/2014/main" id="{060AD6D4-E166-4E82-A492-FB4622B85924}"/>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61" name="Rectangle 87">
          <a:extLst>
            <a:ext uri="{FF2B5EF4-FFF2-40B4-BE49-F238E27FC236}">
              <a16:creationId xmlns:a16="http://schemas.microsoft.com/office/drawing/2014/main" id="{92F693D4-F86A-4140-A0B2-1F53390FA1FF}"/>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62" name="Line 88">
          <a:extLst>
            <a:ext uri="{FF2B5EF4-FFF2-40B4-BE49-F238E27FC236}">
              <a16:creationId xmlns:a16="http://schemas.microsoft.com/office/drawing/2014/main" id="{DA3C3A60-BBBF-4A64-823D-256AB97BFFB2}"/>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63" name="Rectangle 89">
          <a:extLst>
            <a:ext uri="{FF2B5EF4-FFF2-40B4-BE49-F238E27FC236}">
              <a16:creationId xmlns:a16="http://schemas.microsoft.com/office/drawing/2014/main" id="{5F5B68B2-1580-41E1-AE81-18FDB4C7A642}"/>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64" name="Line 90">
          <a:extLst>
            <a:ext uri="{FF2B5EF4-FFF2-40B4-BE49-F238E27FC236}">
              <a16:creationId xmlns:a16="http://schemas.microsoft.com/office/drawing/2014/main" id="{C7270A8C-50F1-46C2-9AB1-4576A67A79D8}"/>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65" name="Rectangle 91">
          <a:extLst>
            <a:ext uri="{FF2B5EF4-FFF2-40B4-BE49-F238E27FC236}">
              <a16:creationId xmlns:a16="http://schemas.microsoft.com/office/drawing/2014/main" id="{9FBDDEB6-150B-4FD1-83AD-2DA14673FD8C}"/>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66" name="Line 92">
          <a:extLst>
            <a:ext uri="{FF2B5EF4-FFF2-40B4-BE49-F238E27FC236}">
              <a16:creationId xmlns:a16="http://schemas.microsoft.com/office/drawing/2014/main" id="{D37E22C6-17D9-4F1A-80EC-49F5077A34C4}"/>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67" name="Rectangle 93">
          <a:extLst>
            <a:ext uri="{FF2B5EF4-FFF2-40B4-BE49-F238E27FC236}">
              <a16:creationId xmlns:a16="http://schemas.microsoft.com/office/drawing/2014/main" id="{885231E9-ACA7-49E5-9D35-8BCC30835152}"/>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68" name="Line 94">
          <a:extLst>
            <a:ext uri="{FF2B5EF4-FFF2-40B4-BE49-F238E27FC236}">
              <a16:creationId xmlns:a16="http://schemas.microsoft.com/office/drawing/2014/main" id="{D434F416-FFC7-40CB-83C9-1F40D1730DE0}"/>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69" name="Rectangle 95">
          <a:extLst>
            <a:ext uri="{FF2B5EF4-FFF2-40B4-BE49-F238E27FC236}">
              <a16:creationId xmlns:a16="http://schemas.microsoft.com/office/drawing/2014/main" id="{A07194A2-0505-4BF6-BB91-0D6548713656}"/>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70" name="Line 96">
          <a:extLst>
            <a:ext uri="{FF2B5EF4-FFF2-40B4-BE49-F238E27FC236}">
              <a16:creationId xmlns:a16="http://schemas.microsoft.com/office/drawing/2014/main" id="{F32D0789-BF97-498E-B9C5-4F07514803C5}"/>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71" name="Rectangle 97">
          <a:extLst>
            <a:ext uri="{FF2B5EF4-FFF2-40B4-BE49-F238E27FC236}">
              <a16:creationId xmlns:a16="http://schemas.microsoft.com/office/drawing/2014/main" id="{A0E67C77-16E6-4FA7-856B-8F1E17632697}"/>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72" name="Line 98">
          <a:extLst>
            <a:ext uri="{FF2B5EF4-FFF2-40B4-BE49-F238E27FC236}">
              <a16:creationId xmlns:a16="http://schemas.microsoft.com/office/drawing/2014/main" id="{5DCC62B0-452F-437B-89B6-B972F51266D0}"/>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73" name="Rectangle 99">
          <a:extLst>
            <a:ext uri="{FF2B5EF4-FFF2-40B4-BE49-F238E27FC236}">
              <a16:creationId xmlns:a16="http://schemas.microsoft.com/office/drawing/2014/main" id="{45AACB6D-3343-4709-A206-33C1CC363A6C}"/>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74" name="Line 100">
          <a:extLst>
            <a:ext uri="{FF2B5EF4-FFF2-40B4-BE49-F238E27FC236}">
              <a16:creationId xmlns:a16="http://schemas.microsoft.com/office/drawing/2014/main" id="{5B17B4C9-EA07-46C3-8DF5-CEC3F7817FA9}"/>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75" name="Rectangle 101">
          <a:extLst>
            <a:ext uri="{FF2B5EF4-FFF2-40B4-BE49-F238E27FC236}">
              <a16:creationId xmlns:a16="http://schemas.microsoft.com/office/drawing/2014/main" id="{3D7FCDB4-3A1A-4C42-A870-B0B93A3055FA}"/>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76" name="Line 102">
          <a:extLst>
            <a:ext uri="{FF2B5EF4-FFF2-40B4-BE49-F238E27FC236}">
              <a16:creationId xmlns:a16="http://schemas.microsoft.com/office/drawing/2014/main" id="{F1D76078-86A1-4FC1-B7A4-DFD8C69A11B2}"/>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77" name="Rectangle 103">
          <a:extLst>
            <a:ext uri="{FF2B5EF4-FFF2-40B4-BE49-F238E27FC236}">
              <a16:creationId xmlns:a16="http://schemas.microsoft.com/office/drawing/2014/main" id="{541517C1-1027-41C0-A4CF-809E3DDBA874}"/>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78" name="Line 104">
          <a:extLst>
            <a:ext uri="{FF2B5EF4-FFF2-40B4-BE49-F238E27FC236}">
              <a16:creationId xmlns:a16="http://schemas.microsoft.com/office/drawing/2014/main" id="{07CCE261-3D27-414C-906D-51BAF5748C21}"/>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79" name="Rectangle 105">
          <a:extLst>
            <a:ext uri="{FF2B5EF4-FFF2-40B4-BE49-F238E27FC236}">
              <a16:creationId xmlns:a16="http://schemas.microsoft.com/office/drawing/2014/main" id="{1C5DBC04-D72F-4048-BF57-E2385933A048}"/>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80" name="Line 106">
          <a:extLst>
            <a:ext uri="{FF2B5EF4-FFF2-40B4-BE49-F238E27FC236}">
              <a16:creationId xmlns:a16="http://schemas.microsoft.com/office/drawing/2014/main" id="{F058849B-9AED-4F47-8BC0-E5147B0297D3}"/>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81" name="Rectangle 107">
          <a:extLst>
            <a:ext uri="{FF2B5EF4-FFF2-40B4-BE49-F238E27FC236}">
              <a16:creationId xmlns:a16="http://schemas.microsoft.com/office/drawing/2014/main" id="{89323254-631C-4271-9736-17FEB884C214}"/>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82" name="Line 108">
          <a:extLst>
            <a:ext uri="{FF2B5EF4-FFF2-40B4-BE49-F238E27FC236}">
              <a16:creationId xmlns:a16="http://schemas.microsoft.com/office/drawing/2014/main" id="{4FDB02F8-811D-4564-8881-12D69025CC17}"/>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83" name="Rectangle 109">
          <a:extLst>
            <a:ext uri="{FF2B5EF4-FFF2-40B4-BE49-F238E27FC236}">
              <a16:creationId xmlns:a16="http://schemas.microsoft.com/office/drawing/2014/main" id="{36DB22A1-950F-4F93-9D43-CF8993D60187}"/>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84" name="Line 110">
          <a:extLst>
            <a:ext uri="{FF2B5EF4-FFF2-40B4-BE49-F238E27FC236}">
              <a16:creationId xmlns:a16="http://schemas.microsoft.com/office/drawing/2014/main" id="{6F74273F-EF99-48B7-9549-FCC2DA13B2C4}"/>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85" name="Rectangle 111">
          <a:extLst>
            <a:ext uri="{FF2B5EF4-FFF2-40B4-BE49-F238E27FC236}">
              <a16:creationId xmlns:a16="http://schemas.microsoft.com/office/drawing/2014/main" id="{F2A7FA11-666E-4D98-BD3B-74B56C2BC557}"/>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86" name="Line 112">
          <a:extLst>
            <a:ext uri="{FF2B5EF4-FFF2-40B4-BE49-F238E27FC236}">
              <a16:creationId xmlns:a16="http://schemas.microsoft.com/office/drawing/2014/main" id="{74F90F32-68CB-49F6-AA2A-ED1875E93433}"/>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87" name="Rectangle 113">
          <a:extLst>
            <a:ext uri="{FF2B5EF4-FFF2-40B4-BE49-F238E27FC236}">
              <a16:creationId xmlns:a16="http://schemas.microsoft.com/office/drawing/2014/main" id="{DBAA927F-9E30-4764-BC2D-16BC7C7A5419}"/>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88" name="Line 114">
          <a:extLst>
            <a:ext uri="{FF2B5EF4-FFF2-40B4-BE49-F238E27FC236}">
              <a16:creationId xmlns:a16="http://schemas.microsoft.com/office/drawing/2014/main" id="{78618BE4-E0EC-4AB1-B7DD-6D6121A4F603}"/>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89" name="Rectangle 115">
          <a:extLst>
            <a:ext uri="{FF2B5EF4-FFF2-40B4-BE49-F238E27FC236}">
              <a16:creationId xmlns:a16="http://schemas.microsoft.com/office/drawing/2014/main" id="{3C3C75E5-F2A9-4985-ACED-6ADC5706503B}"/>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90" name="Line 116">
          <a:extLst>
            <a:ext uri="{FF2B5EF4-FFF2-40B4-BE49-F238E27FC236}">
              <a16:creationId xmlns:a16="http://schemas.microsoft.com/office/drawing/2014/main" id="{17732C98-1366-4EC5-8741-B3A09E50C3D8}"/>
            </a:ext>
          </a:extLst>
        </xdr:cNvPr>
        <xdr:cNvSpPr>
          <a:spLocks noChangeShapeType="1"/>
        </xdr:cNvSpPr>
      </xdr:nvSpPr>
      <xdr:spPr bwMode="auto">
        <a:xfrm>
          <a:off x="0" y="0"/>
          <a:ext cx="807910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91" name="Rectangle 117">
          <a:extLst>
            <a:ext uri="{FF2B5EF4-FFF2-40B4-BE49-F238E27FC236}">
              <a16:creationId xmlns:a16="http://schemas.microsoft.com/office/drawing/2014/main" id="{2BC8F2C3-56D1-4E87-A315-907BD5DA6CB3}"/>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9525</xdr:rowOff>
    </xdr:from>
    <xdr:to>
      <xdr:col>12</xdr:col>
      <xdr:colOff>582930</xdr:colOff>
      <xdr:row>0</xdr:row>
      <xdr:rowOff>9525</xdr:rowOff>
    </xdr:to>
    <xdr:sp macro="" textlink="">
      <xdr:nvSpPr>
        <xdr:cNvPr id="92" name="Line 118">
          <a:extLst>
            <a:ext uri="{FF2B5EF4-FFF2-40B4-BE49-F238E27FC236}">
              <a16:creationId xmlns:a16="http://schemas.microsoft.com/office/drawing/2014/main" id="{98225D8D-FD56-4D4A-B531-EAA3BF7E0D6C}"/>
            </a:ext>
          </a:extLst>
        </xdr:cNvPr>
        <xdr:cNvSpPr>
          <a:spLocks noChangeShapeType="1"/>
        </xdr:cNvSpPr>
      </xdr:nvSpPr>
      <xdr:spPr bwMode="auto">
        <a:xfrm>
          <a:off x="0" y="9525"/>
          <a:ext cx="15594330"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93" name="Rectangle 119">
          <a:extLst>
            <a:ext uri="{FF2B5EF4-FFF2-40B4-BE49-F238E27FC236}">
              <a16:creationId xmlns:a16="http://schemas.microsoft.com/office/drawing/2014/main" id="{189D144D-1F35-4514-A448-01502A992927}"/>
            </a:ext>
          </a:extLst>
        </xdr:cNvPr>
        <xdr:cNvSpPr>
          <a:spLocks noChangeArrowheads="1"/>
        </xdr:cNvSpPr>
      </xdr:nvSpPr>
      <xdr:spPr bwMode="auto">
        <a:xfrm>
          <a:off x="0" y="0"/>
          <a:ext cx="808863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1055370</xdr:colOff>
      <xdr:row>46</xdr:row>
      <xdr:rowOff>160863</xdr:rowOff>
    </xdr:from>
    <xdr:to>
      <xdr:col>0</xdr:col>
      <xdr:colOff>7200900</xdr:colOff>
      <xdr:row>58</xdr:row>
      <xdr:rowOff>162986</xdr:rowOff>
    </xdr:to>
    <xdr:pic>
      <xdr:nvPicPr>
        <xdr:cNvPr id="94" name="Picture 120">
          <a:extLst>
            <a:ext uri="{FF2B5EF4-FFF2-40B4-BE49-F238E27FC236}">
              <a16:creationId xmlns:a16="http://schemas.microsoft.com/office/drawing/2014/main" id="{F1AF7C5F-EABA-4BF1-BEBF-9C7E8BA498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621030" y="7872303"/>
          <a:ext cx="3810" cy="2013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9525</xdr:colOff>
      <xdr:row>0</xdr:row>
      <xdr:rowOff>0</xdr:rowOff>
    </xdr:to>
    <xdr:sp macro="" textlink="">
      <xdr:nvSpPr>
        <xdr:cNvPr id="23644" name="Rectangle 24">
          <a:extLst>
            <a:ext uri="{FF2B5EF4-FFF2-40B4-BE49-F238E27FC236}">
              <a16:creationId xmlns:a16="http://schemas.microsoft.com/office/drawing/2014/main" id="{00000000-0008-0000-3400-00005C5C0000}"/>
            </a:ext>
          </a:extLst>
        </xdr:cNvPr>
        <xdr:cNvSpPr>
          <a:spLocks noChangeArrowheads="1"/>
        </xdr:cNvSpPr>
      </xdr:nvSpPr>
      <xdr:spPr bwMode="auto">
        <a:xfrm>
          <a:off x="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571500</xdr:colOff>
      <xdr:row>0</xdr:row>
      <xdr:rowOff>0</xdr:rowOff>
    </xdr:from>
    <xdr:to>
      <xdr:col>12</xdr:col>
      <xdr:colOff>581025</xdr:colOff>
      <xdr:row>0</xdr:row>
      <xdr:rowOff>0</xdr:rowOff>
    </xdr:to>
    <xdr:sp macro="" textlink="">
      <xdr:nvSpPr>
        <xdr:cNvPr id="23645" name="Rectangle 25">
          <a:extLst>
            <a:ext uri="{FF2B5EF4-FFF2-40B4-BE49-F238E27FC236}">
              <a16:creationId xmlns:a16="http://schemas.microsoft.com/office/drawing/2014/main" id="{00000000-0008-0000-3400-00005D5C0000}"/>
            </a:ext>
          </a:extLst>
        </xdr:cNvPr>
        <xdr:cNvSpPr>
          <a:spLocks noChangeArrowheads="1"/>
        </xdr:cNvSpPr>
      </xdr:nvSpPr>
      <xdr:spPr bwMode="auto">
        <a:xfrm>
          <a:off x="1514475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3646" name="Line 26">
          <a:extLst>
            <a:ext uri="{FF2B5EF4-FFF2-40B4-BE49-F238E27FC236}">
              <a16:creationId xmlns:a16="http://schemas.microsoft.com/office/drawing/2014/main" id="{00000000-0008-0000-3400-00005E5C0000}"/>
            </a:ext>
          </a:extLst>
        </xdr:cNvPr>
        <xdr:cNvSpPr>
          <a:spLocks noChangeShapeType="1"/>
        </xdr:cNvSpPr>
      </xdr:nvSpPr>
      <xdr:spPr bwMode="auto">
        <a:xfrm>
          <a:off x="0" y="0"/>
          <a:ext cx="0"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9525</xdr:colOff>
      <xdr:row>0</xdr:row>
      <xdr:rowOff>0</xdr:rowOff>
    </xdr:to>
    <xdr:sp macro="" textlink="">
      <xdr:nvSpPr>
        <xdr:cNvPr id="23647" name="Rectangle 27">
          <a:extLst>
            <a:ext uri="{FF2B5EF4-FFF2-40B4-BE49-F238E27FC236}">
              <a16:creationId xmlns:a16="http://schemas.microsoft.com/office/drawing/2014/main" id="{00000000-0008-0000-3400-00005F5C0000}"/>
            </a:ext>
          </a:extLst>
        </xdr:cNvPr>
        <xdr:cNvSpPr>
          <a:spLocks noChangeArrowheads="1"/>
        </xdr:cNvSpPr>
      </xdr:nvSpPr>
      <xdr:spPr bwMode="auto">
        <a:xfrm>
          <a:off x="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571500</xdr:colOff>
      <xdr:row>0</xdr:row>
      <xdr:rowOff>0</xdr:rowOff>
    </xdr:from>
    <xdr:to>
      <xdr:col>12</xdr:col>
      <xdr:colOff>571500</xdr:colOff>
      <xdr:row>0</xdr:row>
      <xdr:rowOff>0</xdr:rowOff>
    </xdr:to>
    <xdr:sp macro="" textlink="">
      <xdr:nvSpPr>
        <xdr:cNvPr id="23648" name="Line 28">
          <a:extLst>
            <a:ext uri="{FF2B5EF4-FFF2-40B4-BE49-F238E27FC236}">
              <a16:creationId xmlns:a16="http://schemas.microsoft.com/office/drawing/2014/main" id="{00000000-0008-0000-3400-0000605C0000}"/>
            </a:ext>
          </a:extLst>
        </xdr:cNvPr>
        <xdr:cNvSpPr>
          <a:spLocks noChangeShapeType="1"/>
        </xdr:cNvSpPr>
      </xdr:nvSpPr>
      <xdr:spPr bwMode="auto">
        <a:xfrm>
          <a:off x="15144750" y="0"/>
          <a:ext cx="0"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571500</xdr:colOff>
      <xdr:row>0</xdr:row>
      <xdr:rowOff>0</xdr:rowOff>
    </xdr:from>
    <xdr:to>
      <xdr:col>12</xdr:col>
      <xdr:colOff>581025</xdr:colOff>
      <xdr:row>0</xdr:row>
      <xdr:rowOff>0</xdr:rowOff>
    </xdr:to>
    <xdr:sp macro="" textlink="">
      <xdr:nvSpPr>
        <xdr:cNvPr id="23649" name="Rectangle 29">
          <a:extLst>
            <a:ext uri="{FF2B5EF4-FFF2-40B4-BE49-F238E27FC236}">
              <a16:creationId xmlns:a16="http://schemas.microsoft.com/office/drawing/2014/main" id="{00000000-0008-0000-3400-0000615C0000}"/>
            </a:ext>
          </a:extLst>
        </xdr:cNvPr>
        <xdr:cNvSpPr>
          <a:spLocks noChangeArrowheads="1"/>
        </xdr:cNvSpPr>
      </xdr:nvSpPr>
      <xdr:spPr bwMode="auto">
        <a:xfrm>
          <a:off x="1514475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3650" name="Line 30">
          <a:extLst>
            <a:ext uri="{FF2B5EF4-FFF2-40B4-BE49-F238E27FC236}">
              <a16:creationId xmlns:a16="http://schemas.microsoft.com/office/drawing/2014/main" id="{00000000-0008-0000-3400-0000625C0000}"/>
            </a:ext>
          </a:extLst>
        </xdr:cNvPr>
        <xdr:cNvSpPr>
          <a:spLocks noChangeShapeType="1"/>
        </xdr:cNvSpPr>
      </xdr:nvSpPr>
      <xdr:spPr bwMode="auto">
        <a:xfrm>
          <a:off x="0" y="0"/>
          <a:ext cx="0"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9525</xdr:colOff>
      <xdr:row>0</xdr:row>
      <xdr:rowOff>0</xdr:rowOff>
    </xdr:to>
    <xdr:sp macro="" textlink="">
      <xdr:nvSpPr>
        <xdr:cNvPr id="23651" name="Rectangle 31">
          <a:extLst>
            <a:ext uri="{FF2B5EF4-FFF2-40B4-BE49-F238E27FC236}">
              <a16:creationId xmlns:a16="http://schemas.microsoft.com/office/drawing/2014/main" id="{00000000-0008-0000-3400-0000635C0000}"/>
            </a:ext>
          </a:extLst>
        </xdr:cNvPr>
        <xdr:cNvSpPr>
          <a:spLocks noChangeArrowheads="1"/>
        </xdr:cNvSpPr>
      </xdr:nvSpPr>
      <xdr:spPr bwMode="auto">
        <a:xfrm>
          <a:off x="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571500</xdr:colOff>
      <xdr:row>0</xdr:row>
      <xdr:rowOff>0</xdr:rowOff>
    </xdr:from>
    <xdr:to>
      <xdr:col>12</xdr:col>
      <xdr:colOff>571500</xdr:colOff>
      <xdr:row>0</xdr:row>
      <xdr:rowOff>0</xdr:rowOff>
    </xdr:to>
    <xdr:sp macro="" textlink="">
      <xdr:nvSpPr>
        <xdr:cNvPr id="23652" name="Line 32">
          <a:extLst>
            <a:ext uri="{FF2B5EF4-FFF2-40B4-BE49-F238E27FC236}">
              <a16:creationId xmlns:a16="http://schemas.microsoft.com/office/drawing/2014/main" id="{00000000-0008-0000-3400-0000645C0000}"/>
            </a:ext>
          </a:extLst>
        </xdr:cNvPr>
        <xdr:cNvSpPr>
          <a:spLocks noChangeShapeType="1"/>
        </xdr:cNvSpPr>
      </xdr:nvSpPr>
      <xdr:spPr bwMode="auto">
        <a:xfrm>
          <a:off x="15144750" y="0"/>
          <a:ext cx="0"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571500</xdr:colOff>
      <xdr:row>0</xdr:row>
      <xdr:rowOff>0</xdr:rowOff>
    </xdr:from>
    <xdr:to>
      <xdr:col>12</xdr:col>
      <xdr:colOff>581025</xdr:colOff>
      <xdr:row>0</xdr:row>
      <xdr:rowOff>0</xdr:rowOff>
    </xdr:to>
    <xdr:sp macro="" textlink="">
      <xdr:nvSpPr>
        <xdr:cNvPr id="23653" name="Rectangle 33">
          <a:extLst>
            <a:ext uri="{FF2B5EF4-FFF2-40B4-BE49-F238E27FC236}">
              <a16:creationId xmlns:a16="http://schemas.microsoft.com/office/drawing/2014/main" id="{00000000-0008-0000-3400-0000655C0000}"/>
            </a:ext>
          </a:extLst>
        </xdr:cNvPr>
        <xdr:cNvSpPr>
          <a:spLocks noChangeArrowheads="1"/>
        </xdr:cNvSpPr>
      </xdr:nvSpPr>
      <xdr:spPr bwMode="auto">
        <a:xfrm>
          <a:off x="1514475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3654" name="Line 34">
          <a:extLst>
            <a:ext uri="{FF2B5EF4-FFF2-40B4-BE49-F238E27FC236}">
              <a16:creationId xmlns:a16="http://schemas.microsoft.com/office/drawing/2014/main" id="{00000000-0008-0000-3400-0000665C0000}"/>
            </a:ext>
          </a:extLst>
        </xdr:cNvPr>
        <xdr:cNvSpPr>
          <a:spLocks noChangeShapeType="1"/>
        </xdr:cNvSpPr>
      </xdr:nvSpPr>
      <xdr:spPr bwMode="auto">
        <a:xfrm>
          <a:off x="0" y="0"/>
          <a:ext cx="0"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9525</xdr:colOff>
      <xdr:row>0</xdr:row>
      <xdr:rowOff>0</xdr:rowOff>
    </xdr:to>
    <xdr:sp macro="" textlink="">
      <xdr:nvSpPr>
        <xdr:cNvPr id="23655" name="Rectangle 35">
          <a:extLst>
            <a:ext uri="{FF2B5EF4-FFF2-40B4-BE49-F238E27FC236}">
              <a16:creationId xmlns:a16="http://schemas.microsoft.com/office/drawing/2014/main" id="{00000000-0008-0000-3400-0000675C0000}"/>
            </a:ext>
          </a:extLst>
        </xdr:cNvPr>
        <xdr:cNvSpPr>
          <a:spLocks noChangeArrowheads="1"/>
        </xdr:cNvSpPr>
      </xdr:nvSpPr>
      <xdr:spPr bwMode="auto">
        <a:xfrm>
          <a:off x="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571500</xdr:colOff>
      <xdr:row>0</xdr:row>
      <xdr:rowOff>0</xdr:rowOff>
    </xdr:from>
    <xdr:to>
      <xdr:col>12</xdr:col>
      <xdr:colOff>571500</xdr:colOff>
      <xdr:row>0</xdr:row>
      <xdr:rowOff>0</xdr:rowOff>
    </xdr:to>
    <xdr:sp macro="" textlink="">
      <xdr:nvSpPr>
        <xdr:cNvPr id="23656" name="Line 36">
          <a:extLst>
            <a:ext uri="{FF2B5EF4-FFF2-40B4-BE49-F238E27FC236}">
              <a16:creationId xmlns:a16="http://schemas.microsoft.com/office/drawing/2014/main" id="{00000000-0008-0000-3400-0000685C0000}"/>
            </a:ext>
          </a:extLst>
        </xdr:cNvPr>
        <xdr:cNvSpPr>
          <a:spLocks noChangeShapeType="1"/>
        </xdr:cNvSpPr>
      </xdr:nvSpPr>
      <xdr:spPr bwMode="auto">
        <a:xfrm>
          <a:off x="15144750" y="0"/>
          <a:ext cx="0"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571500</xdr:colOff>
      <xdr:row>0</xdr:row>
      <xdr:rowOff>0</xdr:rowOff>
    </xdr:from>
    <xdr:to>
      <xdr:col>12</xdr:col>
      <xdr:colOff>581025</xdr:colOff>
      <xdr:row>0</xdr:row>
      <xdr:rowOff>0</xdr:rowOff>
    </xdr:to>
    <xdr:sp macro="" textlink="">
      <xdr:nvSpPr>
        <xdr:cNvPr id="23657" name="Rectangle 37">
          <a:extLst>
            <a:ext uri="{FF2B5EF4-FFF2-40B4-BE49-F238E27FC236}">
              <a16:creationId xmlns:a16="http://schemas.microsoft.com/office/drawing/2014/main" id="{00000000-0008-0000-3400-0000695C0000}"/>
            </a:ext>
          </a:extLst>
        </xdr:cNvPr>
        <xdr:cNvSpPr>
          <a:spLocks noChangeArrowheads="1"/>
        </xdr:cNvSpPr>
      </xdr:nvSpPr>
      <xdr:spPr bwMode="auto">
        <a:xfrm>
          <a:off x="1514475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9525</xdr:colOff>
      <xdr:row>0</xdr:row>
      <xdr:rowOff>0</xdr:rowOff>
    </xdr:to>
    <xdr:sp macro="" textlink="">
      <xdr:nvSpPr>
        <xdr:cNvPr id="23658" name="Line 38">
          <a:extLst>
            <a:ext uri="{FF2B5EF4-FFF2-40B4-BE49-F238E27FC236}">
              <a16:creationId xmlns:a16="http://schemas.microsoft.com/office/drawing/2014/main" id="{00000000-0008-0000-3400-00006A5C0000}"/>
            </a:ext>
          </a:extLst>
        </xdr:cNvPr>
        <xdr:cNvSpPr>
          <a:spLocks noChangeShapeType="1"/>
        </xdr:cNvSpPr>
      </xdr:nvSpPr>
      <xdr:spPr bwMode="auto">
        <a:xfrm>
          <a:off x="0"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9525</xdr:colOff>
      <xdr:row>0</xdr:row>
      <xdr:rowOff>0</xdr:rowOff>
    </xdr:to>
    <xdr:sp macro="" textlink="">
      <xdr:nvSpPr>
        <xdr:cNvPr id="23659" name="Rectangle 39">
          <a:extLst>
            <a:ext uri="{FF2B5EF4-FFF2-40B4-BE49-F238E27FC236}">
              <a16:creationId xmlns:a16="http://schemas.microsoft.com/office/drawing/2014/main" id="{00000000-0008-0000-3400-00006B5C0000}"/>
            </a:ext>
          </a:extLst>
        </xdr:cNvPr>
        <xdr:cNvSpPr>
          <a:spLocks noChangeArrowheads="1"/>
        </xdr:cNvSpPr>
      </xdr:nvSpPr>
      <xdr:spPr bwMode="auto">
        <a:xfrm>
          <a:off x="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571500</xdr:colOff>
      <xdr:row>0</xdr:row>
      <xdr:rowOff>0</xdr:rowOff>
    </xdr:from>
    <xdr:to>
      <xdr:col>12</xdr:col>
      <xdr:colOff>581025</xdr:colOff>
      <xdr:row>0</xdr:row>
      <xdr:rowOff>0</xdr:rowOff>
    </xdr:to>
    <xdr:sp macro="" textlink="">
      <xdr:nvSpPr>
        <xdr:cNvPr id="23660" name="Line 40">
          <a:extLst>
            <a:ext uri="{FF2B5EF4-FFF2-40B4-BE49-F238E27FC236}">
              <a16:creationId xmlns:a16="http://schemas.microsoft.com/office/drawing/2014/main" id="{00000000-0008-0000-3400-00006C5C0000}"/>
            </a:ext>
          </a:extLst>
        </xdr:cNvPr>
        <xdr:cNvSpPr>
          <a:spLocks noChangeShapeType="1"/>
        </xdr:cNvSpPr>
      </xdr:nvSpPr>
      <xdr:spPr bwMode="auto">
        <a:xfrm>
          <a:off x="15144750"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571500</xdr:colOff>
      <xdr:row>0</xdr:row>
      <xdr:rowOff>0</xdr:rowOff>
    </xdr:from>
    <xdr:to>
      <xdr:col>12</xdr:col>
      <xdr:colOff>581025</xdr:colOff>
      <xdr:row>0</xdr:row>
      <xdr:rowOff>0</xdr:rowOff>
    </xdr:to>
    <xdr:sp macro="" textlink="">
      <xdr:nvSpPr>
        <xdr:cNvPr id="23661" name="Rectangle 41">
          <a:extLst>
            <a:ext uri="{FF2B5EF4-FFF2-40B4-BE49-F238E27FC236}">
              <a16:creationId xmlns:a16="http://schemas.microsoft.com/office/drawing/2014/main" id="{00000000-0008-0000-3400-00006D5C0000}"/>
            </a:ext>
          </a:extLst>
        </xdr:cNvPr>
        <xdr:cNvSpPr>
          <a:spLocks noChangeArrowheads="1"/>
        </xdr:cNvSpPr>
      </xdr:nvSpPr>
      <xdr:spPr bwMode="auto">
        <a:xfrm>
          <a:off x="15144750"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62" name="Line 42">
          <a:extLst>
            <a:ext uri="{FF2B5EF4-FFF2-40B4-BE49-F238E27FC236}">
              <a16:creationId xmlns:a16="http://schemas.microsoft.com/office/drawing/2014/main" id="{00000000-0008-0000-3400-00006E5C0000}"/>
            </a:ext>
          </a:extLst>
        </xdr:cNvPr>
        <xdr:cNvSpPr>
          <a:spLocks noChangeShapeType="1"/>
        </xdr:cNvSpPr>
      </xdr:nvSpPr>
      <xdr:spPr bwMode="auto">
        <a:xfrm>
          <a:off x="1515427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63" name="Rectangle 43">
          <a:extLst>
            <a:ext uri="{FF2B5EF4-FFF2-40B4-BE49-F238E27FC236}">
              <a16:creationId xmlns:a16="http://schemas.microsoft.com/office/drawing/2014/main" id="{00000000-0008-0000-3400-00006F5C0000}"/>
            </a:ext>
          </a:extLst>
        </xdr:cNvPr>
        <xdr:cNvSpPr>
          <a:spLocks noChangeArrowheads="1"/>
        </xdr:cNvSpPr>
      </xdr:nvSpPr>
      <xdr:spPr bwMode="auto">
        <a:xfrm>
          <a:off x="1515427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64" name="Line 44">
          <a:extLst>
            <a:ext uri="{FF2B5EF4-FFF2-40B4-BE49-F238E27FC236}">
              <a16:creationId xmlns:a16="http://schemas.microsoft.com/office/drawing/2014/main" id="{00000000-0008-0000-3400-0000705C0000}"/>
            </a:ext>
          </a:extLst>
        </xdr:cNvPr>
        <xdr:cNvSpPr>
          <a:spLocks noChangeShapeType="1"/>
        </xdr:cNvSpPr>
      </xdr:nvSpPr>
      <xdr:spPr bwMode="auto">
        <a:xfrm>
          <a:off x="1515427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65" name="Rectangle 45">
          <a:extLst>
            <a:ext uri="{FF2B5EF4-FFF2-40B4-BE49-F238E27FC236}">
              <a16:creationId xmlns:a16="http://schemas.microsoft.com/office/drawing/2014/main" id="{00000000-0008-0000-3400-0000715C0000}"/>
            </a:ext>
          </a:extLst>
        </xdr:cNvPr>
        <xdr:cNvSpPr>
          <a:spLocks noChangeArrowheads="1"/>
        </xdr:cNvSpPr>
      </xdr:nvSpPr>
      <xdr:spPr bwMode="auto">
        <a:xfrm>
          <a:off x="1515427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666" name="Line 46">
          <a:extLst>
            <a:ext uri="{FF2B5EF4-FFF2-40B4-BE49-F238E27FC236}">
              <a16:creationId xmlns:a16="http://schemas.microsoft.com/office/drawing/2014/main" id="{00000000-0008-0000-3400-000072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667" name="Line 48">
          <a:extLst>
            <a:ext uri="{FF2B5EF4-FFF2-40B4-BE49-F238E27FC236}">
              <a16:creationId xmlns:a16="http://schemas.microsoft.com/office/drawing/2014/main" id="{00000000-0008-0000-3400-000073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668" name="Rectangle 49">
          <a:extLst>
            <a:ext uri="{FF2B5EF4-FFF2-40B4-BE49-F238E27FC236}">
              <a16:creationId xmlns:a16="http://schemas.microsoft.com/office/drawing/2014/main" id="{00000000-0008-0000-3400-000074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669" name="Line 50">
          <a:extLst>
            <a:ext uri="{FF2B5EF4-FFF2-40B4-BE49-F238E27FC236}">
              <a16:creationId xmlns:a16="http://schemas.microsoft.com/office/drawing/2014/main" id="{00000000-0008-0000-3400-000075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670" name="Rectangle 51">
          <a:extLst>
            <a:ext uri="{FF2B5EF4-FFF2-40B4-BE49-F238E27FC236}">
              <a16:creationId xmlns:a16="http://schemas.microsoft.com/office/drawing/2014/main" id="{00000000-0008-0000-3400-000076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671" name="Line 52">
          <a:extLst>
            <a:ext uri="{FF2B5EF4-FFF2-40B4-BE49-F238E27FC236}">
              <a16:creationId xmlns:a16="http://schemas.microsoft.com/office/drawing/2014/main" id="{00000000-0008-0000-3400-000077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672" name="Rectangle 53">
          <a:extLst>
            <a:ext uri="{FF2B5EF4-FFF2-40B4-BE49-F238E27FC236}">
              <a16:creationId xmlns:a16="http://schemas.microsoft.com/office/drawing/2014/main" id="{00000000-0008-0000-3400-000078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73" name="Line 54">
          <a:extLst>
            <a:ext uri="{FF2B5EF4-FFF2-40B4-BE49-F238E27FC236}">
              <a16:creationId xmlns:a16="http://schemas.microsoft.com/office/drawing/2014/main" id="{00000000-0008-0000-3400-0000795C0000}"/>
            </a:ext>
          </a:extLst>
        </xdr:cNvPr>
        <xdr:cNvSpPr>
          <a:spLocks noChangeShapeType="1"/>
        </xdr:cNvSpPr>
      </xdr:nvSpPr>
      <xdr:spPr bwMode="auto">
        <a:xfrm>
          <a:off x="1515427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74" name="Rectangle 55">
          <a:extLst>
            <a:ext uri="{FF2B5EF4-FFF2-40B4-BE49-F238E27FC236}">
              <a16:creationId xmlns:a16="http://schemas.microsoft.com/office/drawing/2014/main" id="{00000000-0008-0000-3400-00007A5C0000}"/>
            </a:ext>
          </a:extLst>
        </xdr:cNvPr>
        <xdr:cNvSpPr>
          <a:spLocks noChangeArrowheads="1"/>
        </xdr:cNvSpPr>
      </xdr:nvSpPr>
      <xdr:spPr bwMode="auto">
        <a:xfrm>
          <a:off x="1515427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75" name="Line 56">
          <a:extLst>
            <a:ext uri="{FF2B5EF4-FFF2-40B4-BE49-F238E27FC236}">
              <a16:creationId xmlns:a16="http://schemas.microsoft.com/office/drawing/2014/main" id="{00000000-0008-0000-3400-00007B5C0000}"/>
            </a:ext>
          </a:extLst>
        </xdr:cNvPr>
        <xdr:cNvSpPr>
          <a:spLocks noChangeShapeType="1"/>
        </xdr:cNvSpPr>
      </xdr:nvSpPr>
      <xdr:spPr bwMode="auto">
        <a:xfrm>
          <a:off x="1515427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76" name="Rectangle 57">
          <a:extLst>
            <a:ext uri="{FF2B5EF4-FFF2-40B4-BE49-F238E27FC236}">
              <a16:creationId xmlns:a16="http://schemas.microsoft.com/office/drawing/2014/main" id="{00000000-0008-0000-3400-00007C5C0000}"/>
            </a:ext>
          </a:extLst>
        </xdr:cNvPr>
        <xdr:cNvSpPr>
          <a:spLocks noChangeArrowheads="1"/>
        </xdr:cNvSpPr>
      </xdr:nvSpPr>
      <xdr:spPr bwMode="auto">
        <a:xfrm>
          <a:off x="1515427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677" name="Line 58">
          <a:extLst>
            <a:ext uri="{FF2B5EF4-FFF2-40B4-BE49-F238E27FC236}">
              <a16:creationId xmlns:a16="http://schemas.microsoft.com/office/drawing/2014/main" id="{00000000-0008-0000-3400-00007D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678" name="Rectangle 59">
          <a:extLst>
            <a:ext uri="{FF2B5EF4-FFF2-40B4-BE49-F238E27FC236}">
              <a16:creationId xmlns:a16="http://schemas.microsoft.com/office/drawing/2014/main" id="{00000000-0008-0000-3400-00007E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679" name="Line 60">
          <a:extLst>
            <a:ext uri="{FF2B5EF4-FFF2-40B4-BE49-F238E27FC236}">
              <a16:creationId xmlns:a16="http://schemas.microsoft.com/office/drawing/2014/main" id="{00000000-0008-0000-3400-00007F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680" name="Rectangle 61">
          <a:extLst>
            <a:ext uri="{FF2B5EF4-FFF2-40B4-BE49-F238E27FC236}">
              <a16:creationId xmlns:a16="http://schemas.microsoft.com/office/drawing/2014/main" id="{00000000-0008-0000-3400-000080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681" name="Line 62">
          <a:extLst>
            <a:ext uri="{FF2B5EF4-FFF2-40B4-BE49-F238E27FC236}">
              <a16:creationId xmlns:a16="http://schemas.microsoft.com/office/drawing/2014/main" id="{00000000-0008-0000-3400-000081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682" name="Rectangle 63">
          <a:extLst>
            <a:ext uri="{FF2B5EF4-FFF2-40B4-BE49-F238E27FC236}">
              <a16:creationId xmlns:a16="http://schemas.microsoft.com/office/drawing/2014/main" id="{00000000-0008-0000-3400-000082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683" name="Line 64">
          <a:extLst>
            <a:ext uri="{FF2B5EF4-FFF2-40B4-BE49-F238E27FC236}">
              <a16:creationId xmlns:a16="http://schemas.microsoft.com/office/drawing/2014/main" id="{00000000-0008-0000-3400-000083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684" name="Rectangle 65">
          <a:extLst>
            <a:ext uri="{FF2B5EF4-FFF2-40B4-BE49-F238E27FC236}">
              <a16:creationId xmlns:a16="http://schemas.microsoft.com/office/drawing/2014/main" id="{00000000-0008-0000-3400-000084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85" name="Line 66">
          <a:extLst>
            <a:ext uri="{FF2B5EF4-FFF2-40B4-BE49-F238E27FC236}">
              <a16:creationId xmlns:a16="http://schemas.microsoft.com/office/drawing/2014/main" id="{00000000-0008-0000-3400-0000855C0000}"/>
            </a:ext>
          </a:extLst>
        </xdr:cNvPr>
        <xdr:cNvSpPr>
          <a:spLocks noChangeShapeType="1"/>
        </xdr:cNvSpPr>
      </xdr:nvSpPr>
      <xdr:spPr bwMode="auto">
        <a:xfrm>
          <a:off x="1515427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86" name="Rectangle 67">
          <a:extLst>
            <a:ext uri="{FF2B5EF4-FFF2-40B4-BE49-F238E27FC236}">
              <a16:creationId xmlns:a16="http://schemas.microsoft.com/office/drawing/2014/main" id="{00000000-0008-0000-3400-0000865C0000}"/>
            </a:ext>
          </a:extLst>
        </xdr:cNvPr>
        <xdr:cNvSpPr>
          <a:spLocks noChangeArrowheads="1"/>
        </xdr:cNvSpPr>
      </xdr:nvSpPr>
      <xdr:spPr bwMode="auto">
        <a:xfrm>
          <a:off x="1515427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87" name="Line 68">
          <a:extLst>
            <a:ext uri="{FF2B5EF4-FFF2-40B4-BE49-F238E27FC236}">
              <a16:creationId xmlns:a16="http://schemas.microsoft.com/office/drawing/2014/main" id="{00000000-0008-0000-3400-0000875C0000}"/>
            </a:ext>
          </a:extLst>
        </xdr:cNvPr>
        <xdr:cNvSpPr>
          <a:spLocks noChangeShapeType="1"/>
        </xdr:cNvSpPr>
      </xdr:nvSpPr>
      <xdr:spPr bwMode="auto">
        <a:xfrm>
          <a:off x="1515427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88" name="Rectangle 69">
          <a:extLst>
            <a:ext uri="{FF2B5EF4-FFF2-40B4-BE49-F238E27FC236}">
              <a16:creationId xmlns:a16="http://schemas.microsoft.com/office/drawing/2014/main" id="{00000000-0008-0000-3400-0000885C0000}"/>
            </a:ext>
          </a:extLst>
        </xdr:cNvPr>
        <xdr:cNvSpPr>
          <a:spLocks noChangeArrowheads="1"/>
        </xdr:cNvSpPr>
      </xdr:nvSpPr>
      <xdr:spPr bwMode="auto">
        <a:xfrm>
          <a:off x="1515427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689" name="Rectangle 71">
          <a:extLst>
            <a:ext uri="{FF2B5EF4-FFF2-40B4-BE49-F238E27FC236}">
              <a16:creationId xmlns:a16="http://schemas.microsoft.com/office/drawing/2014/main" id="{00000000-0008-0000-3400-000089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690" name="Line 72">
          <a:extLst>
            <a:ext uri="{FF2B5EF4-FFF2-40B4-BE49-F238E27FC236}">
              <a16:creationId xmlns:a16="http://schemas.microsoft.com/office/drawing/2014/main" id="{00000000-0008-0000-3400-00008A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691" name="Rectangle 73">
          <a:extLst>
            <a:ext uri="{FF2B5EF4-FFF2-40B4-BE49-F238E27FC236}">
              <a16:creationId xmlns:a16="http://schemas.microsoft.com/office/drawing/2014/main" id="{00000000-0008-0000-3400-00008B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692" name="Line 74">
          <a:extLst>
            <a:ext uri="{FF2B5EF4-FFF2-40B4-BE49-F238E27FC236}">
              <a16:creationId xmlns:a16="http://schemas.microsoft.com/office/drawing/2014/main" id="{00000000-0008-0000-3400-00008C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693" name="Rectangle 75">
          <a:extLst>
            <a:ext uri="{FF2B5EF4-FFF2-40B4-BE49-F238E27FC236}">
              <a16:creationId xmlns:a16="http://schemas.microsoft.com/office/drawing/2014/main" id="{00000000-0008-0000-3400-00008D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694" name="Line 76">
          <a:extLst>
            <a:ext uri="{FF2B5EF4-FFF2-40B4-BE49-F238E27FC236}">
              <a16:creationId xmlns:a16="http://schemas.microsoft.com/office/drawing/2014/main" id="{00000000-0008-0000-3400-00008E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695" name="Rectangle 77">
          <a:extLst>
            <a:ext uri="{FF2B5EF4-FFF2-40B4-BE49-F238E27FC236}">
              <a16:creationId xmlns:a16="http://schemas.microsoft.com/office/drawing/2014/main" id="{00000000-0008-0000-3400-00008F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96" name="Line 78">
          <a:extLst>
            <a:ext uri="{FF2B5EF4-FFF2-40B4-BE49-F238E27FC236}">
              <a16:creationId xmlns:a16="http://schemas.microsoft.com/office/drawing/2014/main" id="{00000000-0008-0000-3400-0000905C0000}"/>
            </a:ext>
          </a:extLst>
        </xdr:cNvPr>
        <xdr:cNvSpPr>
          <a:spLocks noChangeShapeType="1"/>
        </xdr:cNvSpPr>
      </xdr:nvSpPr>
      <xdr:spPr bwMode="auto">
        <a:xfrm>
          <a:off x="1515427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97" name="Rectangle 79">
          <a:extLst>
            <a:ext uri="{FF2B5EF4-FFF2-40B4-BE49-F238E27FC236}">
              <a16:creationId xmlns:a16="http://schemas.microsoft.com/office/drawing/2014/main" id="{00000000-0008-0000-3400-0000915C0000}"/>
            </a:ext>
          </a:extLst>
        </xdr:cNvPr>
        <xdr:cNvSpPr>
          <a:spLocks noChangeArrowheads="1"/>
        </xdr:cNvSpPr>
      </xdr:nvSpPr>
      <xdr:spPr bwMode="auto">
        <a:xfrm>
          <a:off x="1515427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98" name="Line 80">
          <a:extLst>
            <a:ext uri="{FF2B5EF4-FFF2-40B4-BE49-F238E27FC236}">
              <a16:creationId xmlns:a16="http://schemas.microsoft.com/office/drawing/2014/main" id="{00000000-0008-0000-3400-0000925C0000}"/>
            </a:ext>
          </a:extLst>
        </xdr:cNvPr>
        <xdr:cNvSpPr>
          <a:spLocks noChangeShapeType="1"/>
        </xdr:cNvSpPr>
      </xdr:nvSpPr>
      <xdr:spPr bwMode="auto">
        <a:xfrm>
          <a:off x="15154275" y="0"/>
          <a:ext cx="952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581025</xdr:colOff>
      <xdr:row>0</xdr:row>
      <xdr:rowOff>0</xdr:rowOff>
    </xdr:from>
    <xdr:to>
      <xdr:col>12</xdr:col>
      <xdr:colOff>590550</xdr:colOff>
      <xdr:row>0</xdr:row>
      <xdr:rowOff>0</xdr:rowOff>
    </xdr:to>
    <xdr:sp macro="" textlink="">
      <xdr:nvSpPr>
        <xdr:cNvPr id="23699" name="Rectangle 81">
          <a:extLst>
            <a:ext uri="{FF2B5EF4-FFF2-40B4-BE49-F238E27FC236}">
              <a16:creationId xmlns:a16="http://schemas.microsoft.com/office/drawing/2014/main" id="{00000000-0008-0000-3400-0000935C0000}"/>
            </a:ext>
          </a:extLst>
        </xdr:cNvPr>
        <xdr:cNvSpPr>
          <a:spLocks noChangeArrowheads="1"/>
        </xdr:cNvSpPr>
      </xdr:nvSpPr>
      <xdr:spPr bwMode="auto">
        <a:xfrm>
          <a:off x="15154275" y="0"/>
          <a:ext cx="9525"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00" name="Line 82">
          <a:extLst>
            <a:ext uri="{FF2B5EF4-FFF2-40B4-BE49-F238E27FC236}">
              <a16:creationId xmlns:a16="http://schemas.microsoft.com/office/drawing/2014/main" id="{00000000-0008-0000-3400-000094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01" name="Line 84">
          <a:extLst>
            <a:ext uri="{FF2B5EF4-FFF2-40B4-BE49-F238E27FC236}">
              <a16:creationId xmlns:a16="http://schemas.microsoft.com/office/drawing/2014/main" id="{00000000-0008-0000-3400-000095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02" name="Line 86">
          <a:extLst>
            <a:ext uri="{FF2B5EF4-FFF2-40B4-BE49-F238E27FC236}">
              <a16:creationId xmlns:a16="http://schemas.microsoft.com/office/drawing/2014/main" id="{00000000-0008-0000-3400-000096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03" name="Rectangle 87">
          <a:extLst>
            <a:ext uri="{FF2B5EF4-FFF2-40B4-BE49-F238E27FC236}">
              <a16:creationId xmlns:a16="http://schemas.microsoft.com/office/drawing/2014/main" id="{00000000-0008-0000-3400-000097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04" name="Line 88">
          <a:extLst>
            <a:ext uri="{FF2B5EF4-FFF2-40B4-BE49-F238E27FC236}">
              <a16:creationId xmlns:a16="http://schemas.microsoft.com/office/drawing/2014/main" id="{00000000-0008-0000-3400-000098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05" name="Rectangle 89">
          <a:extLst>
            <a:ext uri="{FF2B5EF4-FFF2-40B4-BE49-F238E27FC236}">
              <a16:creationId xmlns:a16="http://schemas.microsoft.com/office/drawing/2014/main" id="{00000000-0008-0000-3400-000099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06" name="Line 90">
          <a:extLst>
            <a:ext uri="{FF2B5EF4-FFF2-40B4-BE49-F238E27FC236}">
              <a16:creationId xmlns:a16="http://schemas.microsoft.com/office/drawing/2014/main" id="{00000000-0008-0000-3400-00009A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07" name="Rectangle 91">
          <a:extLst>
            <a:ext uri="{FF2B5EF4-FFF2-40B4-BE49-F238E27FC236}">
              <a16:creationId xmlns:a16="http://schemas.microsoft.com/office/drawing/2014/main" id="{00000000-0008-0000-3400-00009B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08" name="Line 92">
          <a:extLst>
            <a:ext uri="{FF2B5EF4-FFF2-40B4-BE49-F238E27FC236}">
              <a16:creationId xmlns:a16="http://schemas.microsoft.com/office/drawing/2014/main" id="{00000000-0008-0000-3400-00009C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09" name="Rectangle 93">
          <a:extLst>
            <a:ext uri="{FF2B5EF4-FFF2-40B4-BE49-F238E27FC236}">
              <a16:creationId xmlns:a16="http://schemas.microsoft.com/office/drawing/2014/main" id="{00000000-0008-0000-3400-00009D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10" name="Line 94">
          <a:extLst>
            <a:ext uri="{FF2B5EF4-FFF2-40B4-BE49-F238E27FC236}">
              <a16:creationId xmlns:a16="http://schemas.microsoft.com/office/drawing/2014/main" id="{00000000-0008-0000-3400-00009E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11" name="Rectangle 95">
          <a:extLst>
            <a:ext uri="{FF2B5EF4-FFF2-40B4-BE49-F238E27FC236}">
              <a16:creationId xmlns:a16="http://schemas.microsoft.com/office/drawing/2014/main" id="{00000000-0008-0000-3400-00009F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12" name="Line 96">
          <a:extLst>
            <a:ext uri="{FF2B5EF4-FFF2-40B4-BE49-F238E27FC236}">
              <a16:creationId xmlns:a16="http://schemas.microsoft.com/office/drawing/2014/main" id="{00000000-0008-0000-3400-0000A0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13" name="Rectangle 97">
          <a:extLst>
            <a:ext uri="{FF2B5EF4-FFF2-40B4-BE49-F238E27FC236}">
              <a16:creationId xmlns:a16="http://schemas.microsoft.com/office/drawing/2014/main" id="{00000000-0008-0000-3400-0000A1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14" name="Line 98">
          <a:extLst>
            <a:ext uri="{FF2B5EF4-FFF2-40B4-BE49-F238E27FC236}">
              <a16:creationId xmlns:a16="http://schemas.microsoft.com/office/drawing/2014/main" id="{00000000-0008-0000-3400-0000A2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15" name="Rectangle 99">
          <a:extLst>
            <a:ext uri="{FF2B5EF4-FFF2-40B4-BE49-F238E27FC236}">
              <a16:creationId xmlns:a16="http://schemas.microsoft.com/office/drawing/2014/main" id="{00000000-0008-0000-3400-0000A3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16" name="Line 100">
          <a:extLst>
            <a:ext uri="{FF2B5EF4-FFF2-40B4-BE49-F238E27FC236}">
              <a16:creationId xmlns:a16="http://schemas.microsoft.com/office/drawing/2014/main" id="{00000000-0008-0000-3400-0000A4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17" name="Rectangle 101">
          <a:extLst>
            <a:ext uri="{FF2B5EF4-FFF2-40B4-BE49-F238E27FC236}">
              <a16:creationId xmlns:a16="http://schemas.microsoft.com/office/drawing/2014/main" id="{00000000-0008-0000-3400-0000A5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18" name="Line 102">
          <a:extLst>
            <a:ext uri="{FF2B5EF4-FFF2-40B4-BE49-F238E27FC236}">
              <a16:creationId xmlns:a16="http://schemas.microsoft.com/office/drawing/2014/main" id="{00000000-0008-0000-3400-0000A6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19" name="Rectangle 103">
          <a:extLst>
            <a:ext uri="{FF2B5EF4-FFF2-40B4-BE49-F238E27FC236}">
              <a16:creationId xmlns:a16="http://schemas.microsoft.com/office/drawing/2014/main" id="{00000000-0008-0000-3400-0000A7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20" name="Line 104">
          <a:extLst>
            <a:ext uri="{FF2B5EF4-FFF2-40B4-BE49-F238E27FC236}">
              <a16:creationId xmlns:a16="http://schemas.microsoft.com/office/drawing/2014/main" id="{00000000-0008-0000-3400-0000A8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21" name="Rectangle 105">
          <a:extLst>
            <a:ext uri="{FF2B5EF4-FFF2-40B4-BE49-F238E27FC236}">
              <a16:creationId xmlns:a16="http://schemas.microsoft.com/office/drawing/2014/main" id="{00000000-0008-0000-3400-0000A9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22" name="Line 106">
          <a:extLst>
            <a:ext uri="{FF2B5EF4-FFF2-40B4-BE49-F238E27FC236}">
              <a16:creationId xmlns:a16="http://schemas.microsoft.com/office/drawing/2014/main" id="{00000000-0008-0000-3400-0000AA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23" name="Rectangle 107">
          <a:extLst>
            <a:ext uri="{FF2B5EF4-FFF2-40B4-BE49-F238E27FC236}">
              <a16:creationId xmlns:a16="http://schemas.microsoft.com/office/drawing/2014/main" id="{00000000-0008-0000-3400-0000AB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24" name="Line 108">
          <a:extLst>
            <a:ext uri="{FF2B5EF4-FFF2-40B4-BE49-F238E27FC236}">
              <a16:creationId xmlns:a16="http://schemas.microsoft.com/office/drawing/2014/main" id="{00000000-0008-0000-3400-0000AC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25" name="Rectangle 109">
          <a:extLst>
            <a:ext uri="{FF2B5EF4-FFF2-40B4-BE49-F238E27FC236}">
              <a16:creationId xmlns:a16="http://schemas.microsoft.com/office/drawing/2014/main" id="{00000000-0008-0000-3400-0000AD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26" name="Line 110">
          <a:extLst>
            <a:ext uri="{FF2B5EF4-FFF2-40B4-BE49-F238E27FC236}">
              <a16:creationId xmlns:a16="http://schemas.microsoft.com/office/drawing/2014/main" id="{00000000-0008-0000-3400-0000AE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27" name="Rectangle 111">
          <a:extLst>
            <a:ext uri="{FF2B5EF4-FFF2-40B4-BE49-F238E27FC236}">
              <a16:creationId xmlns:a16="http://schemas.microsoft.com/office/drawing/2014/main" id="{00000000-0008-0000-3400-0000AF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28" name="Line 112">
          <a:extLst>
            <a:ext uri="{FF2B5EF4-FFF2-40B4-BE49-F238E27FC236}">
              <a16:creationId xmlns:a16="http://schemas.microsoft.com/office/drawing/2014/main" id="{00000000-0008-0000-3400-0000B0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29" name="Rectangle 113">
          <a:extLst>
            <a:ext uri="{FF2B5EF4-FFF2-40B4-BE49-F238E27FC236}">
              <a16:creationId xmlns:a16="http://schemas.microsoft.com/office/drawing/2014/main" id="{00000000-0008-0000-3400-0000B1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30" name="Line 114">
          <a:extLst>
            <a:ext uri="{FF2B5EF4-FFF2-40B4-BE49-F238E27FC236}">
              <a16:creationId xmlns:a16="http://schemas.microsoft.com/office/drawing/2014/main" id="{00000000-0008-0000-3400-0000B2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31" name="Rectangle 115">
          <a:extLst>
            <a:ext uri="{FF2B5EF4-FFF2-40B4-BE49-F238E27FC236}">
              <a16:creationId xmlns:a16="http://schemas.microsoft.com/office/drawing/2014/main" id="{00000000-0008-0000-3400-0000B3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32" name="Line 116">
          <a:extLst>
            <a:ext uri="{FF2B5EF4-FFF2-40B4-BE49-F238E27FC236}">
              <a16:creationId xmlns:a16="http://schemas.microsoft.com/office/drawing/2014/main" id="{00000000-0008-0000-3400-0000B4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33" name="Rectangle 117">
          <a:extLst>
            <a:ext uri="{FF2B5EF4-FFF2-40B4-BE49-F238E27FC236}">
              <a16:creationId xmlns:a16="http://schemas.microsoft.com/office/drawing/2014/main" id="{00000000-0008-0000-3400-0000B5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12</xdr:col>
      <xdr:colOff>581025</xdr:colOff>
      <xdr:row>0</xdr:row>
      <xdr:rowOff>0</xdr:rowOff>
    </xdr:to>
    <xdr:sp macro="" textlink="">
      <xdr:nvSpPr>
        <xdr:cNvPr id="23734" name="Line 118">
          <a:extLst>
            <a:ext uri="{FF2B5EF4-FFF2-40B4-BE49-F238E27FC236}">
              <a16:creationId xmlns:a16="http://schemas.microsoft.com/office/drawing/2014/main" id="{00000000-0008-0000-3400-0000B65C0000}"/>
            </a:ext>
          </a:extLst>
        </xdr:cNvPr>
        <xdr:cNvSpPr>
          <a:spLocks noChangeShapeType="1"/>
        </xdr:cNvSpPr>
      </xdr:nvSpPr>
      <xdr:spPr bwMode="auto">
        <a:xfrm>
          <a:off x="0" y="0"/>
          <a:ext cx="15154275" cy="0"/>
        </a:xfrm>
        <a:prstGeom prst="line">
          <a:avLst/>
        </a:prstGeom>
        <a:noFill/>
        <a:ln w="0">
          <a:solidFill>
            <a:srgbClr val="D0D7E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12</xdr:col>
      <xdr:colOff>590550</xdr:colOff>
      <xdr:row>0</xdr:row>
      <xdr:rowOff>0</xdr:rowOff>
    </xdr:to>
    <xdr:sp macro="" textlink="">
      <xdr:nvSpPr>
        <xdr:cNvPr id="23735" name="Rectangle 119">
          <a:extLst>
            <a:ext uri="{FF2B5EF4-FFF2-40B4-BE49-F238E27FC236}">
              <a16:creationId xmlns:a16="http://schemas.microsoft.com/office/drawing/2014/main" id="{00000000-0008-0000-3400-0000B75C0000}"/>
            </a:ext>
          </a:extLst>
        </xdr:cNvPr>
        <xdr:cNvSpPr>
          <a:spLocks noChangeArrowheads="1"/>
        </xdr:cNvSpPr>
      </xdr:nvSpPr>
      <xdr:spPr bwMode="auto">
        <a:xfrm>
          <a:off x="0" y="0"/>
          <a:ext cx="15163800" cy="0"/>
        </a:xfrm>
        <a:prstGeom prst="rect">
          <a:avLst/>
        </a:prstGeom>
        <a:solidFill>
          <a:srgbClr val="D0D7E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1055370</xdr:colOff>
      <xdr:row>24</xdr:row>
      <xdr:rowOff>114812</xdr:rowOff>
    </xdr:from>
    <xdr:to>
      <xdr:col>0</xdr:col>
      <xdr:colOff>7200900</xdr:colOff>
      <xdr:row>36</xdr:row>
      <xdr:rowOff>87118</xdr:rowOff>
    </xdr:to>
    <xdr:pic>
      <xdr:nvPicPr>
        <xdr:cNvPr id="23736" name="Picture 120">
          <a:extLst>
            <a:ext uri="{FF2B5EF4-FFF2-40B4-BE49-F238E27FC236}">
              <a16:creationId xmlns:a16="http://schemas.microsoft.com/office/drawing/2014/main" id="{00000000-0008-0000-3400-0000B8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055370" y="4753073"/>
          <a:ext cx="6145530" cy="2059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data\shares\CO\PSO\Project_Management\ScopeAndStaffHours\ScopeOfServices\2022Update\January2022\DesignSHEForms-RL-11-2021-PH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Disclaimer"/>
      <sheetName val="Spreadsheet instructions"/>
      <sheetName val="Project Information"/>
      <sheetName val="Summary"/>
      <sheetName val="Staff Hour Summary--Grand Total"/>
      <sheetName val="Staff Hour Summary - Firm"/>
      <sheetName val="Fee Sheet - Prime"/>
      <sheetName val="Fee Sheet - Sub"/>
      <sheetName val="3. Project General Tasks"/>
      <sheetName val="Selective C&amp;G Guidelines"/>
      <sheetName val="Tree Disposition Guidelines"/>
      <sheetName val="Roadway Guidelines"/>
      <sheetName val="4. Roadway Analysis"/>
      <sheetName val="5. Roadway Plans"/>
      <sheetName val="Units to Miles"/>
      <sheetName val="5. RDWY Plans-Calcs"/>
      <sheetName val="6a. Drainage Analysis"/>
      <sheetName val="6b. Drainage Plans-Calcs"/>
      <sheetName val="Utility Guidelines"/>
      <sheetName val="7. Utilities"/>
      <sheetName val="Environmental Permit Guidelines"/>
      <sheetName val="Structures-Guidelines"/>
      <sheetName val="9. Structures Summary"/>
      <sheetName val="10. Structures-BDR"/>
      <sheetName val="11. Temporary Bridge"/>
      <sheetName val="12. Short Span Concrete"/>
      <sheetName val="13. Medium Span Concrete "/>
      <sheetName val="14. Structures-Structural Steel"/>
      <sheetName val="15.Str.-Segmental Concrete"/>
      <sheetName val="16. Structures-Movable Span"/>
      <sheetName val="17. Str-Retaining Walls"/>
      <sheetName val="18. Structures-Miscellaneous"/>
      <sheetName val="Signing &amp; Marking Guidelines"/>
      <sheetName val="19. Signing &amp; Marking Analysis"/>
      <sheetName val="20. Signing &amp; Marking Plans"/>
      <sheetName val="20. S+PM Plans-Calcs"/>
      <sheetName val="Signalization Guidelines"/>
      <sheetName val="21. Signalization Analysis"/>
      <sheetName val="22. Signalization Plans"/>
      <sheetName val="22. Signal Plans-Calcs"/>
      <sheetName val="Lighting Guidelines"/>
      <sheetName val="23. Lighting Analysis"/>
      <sheetName val="24. Lighting Plans"/>
      <sheetName val="24. Lighting Plans-Calcs"/>
      <sheetName val="Landscape Guidelines"/>
      <sheetName val="8. Env. Permits and Clearances"/>
      <sheetName val="25. Landscape Analysis"/>
      <sheetName val="26. Landscape Plans-Calcs"/>
      <sheetName val="Survey Guidelines"/>
      <sheetName val="27. Survey"/>
      <sheetName val="28. Photogrammetry"/>
      <sheetName val="29. Mapping"/>
      <sheetName val="29. Mapping-Calcs"/>
      <sheetName val="30. Terrestrial Mobile LiDAR"/>
      <sheetName val="Architecture Guidelines"/>
      <sheetName val="31. Architecture Development"/>
      <sheetName val="Noise Guidelines"/>
      <sheetName val="32. Noise Barrier Assessment"/>
      <sheetName val="ITS Guidelines"/>
      <sheetName val="33. ITS Analysis"/>
      <sheetName val="34. ITS Plans"/>
      <sheetName val="34. ITS Plan-Calcs"/>
      <sheetName val="Geotechnical Guidelines"/>
      <sheetName val="35. Geotechnical"/>
      <sheetName val="3D Modeling Guidelines"/>
      <sheetName val="36. 3D Modeling"/>
    </sheetNames>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3.bin"/><Relationship Id="rId1" Type="http://schemas.openxmlformats.org/officeDocument/2006/relationships/hyperlink" Target="https://www.youtube.com/playlist?list=PLVo87uPoJ9HzkaJVYJ89eIReVFJaXlGj3" TargetMode="External"/><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4.bin"/><Relationship Id="rId1" Type="http://schemas.openxmlformats.org/officeDocument/2006/relationships/hyperlink" Target="https://www.youtube.com/playlist?list=PLVo87uPoJ9HzkaJVYJ89eIReVFJaXlGj3" TargetMode="External"/><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5.bin"/><Relationship Id="rId1" Type="http://schemas.openxmlformats.org/officeDocument/2006/relationships/hyperlink" Target="https://www.youtube.com/playlist?list=PLVo87uPoJ9HzkaJVYJ89eIReVFJaXlGj3" TargetMode="External"/><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6.bin"/><Relationship Id="rId1" Type="http://schemas.openxmlformats.org/officeDocument/2006/relationships/hyperlink" Target="https://www.youtube.com/playlist?list=PLVo87uPoJ9HzkaJVYJ89eIReVFJaXlGj3" TargetMode="External"/><Relationship Id="rId4"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hyperlink" Target="https://www.youtube.com/playlist?list=PLVo87uPoJ9HzkaJVYJ89eIReVFJaXlGj3"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hyperlink" Target="https://www.youtube.com/playlist?list=PLVo87uPoJ9HzkaJVYJ89eIReVFJaXlGj3" TargetMode="Externa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37.bin"/><Relationship Id="rId1" Type="http://schemas.openxmlformats.org/officeDocument/2006/relationships/hyperlink" Target="https://www.youtube.com/playlist?list=PLVo87uPoJ9HzkaJVYJ89eIReVFJaXlGj3" TargetMode="External"/><Relationship Id="rId4" Type="http://schemas.openxmlformats.org/officeDocument/2006/relationships/comments" Target="../comments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hyperlink" Target="https://www.youtube.com/playlist?list=PLVo87uPoJ9HzkaJVYJ89eIReVFJaXlGj3" TargetMode="Externa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printerSettings" Target="../printerSettings/printerSettings41.bin"/><Relationship Id="rId1" Type="http://schemas.openxmlformats.org/officeDocument/2006/relationships/hyperlink" Target="https://www.youtube.com/playlist?list=PLVo87uPoJ9HzkaJVYJ89eIReVFJaXlGj3" TargetMode="External"/><Relationship Id="rId4" Type="http://schemas.openxmlformats.org/officeDocument/2006/relationships/comments" Target="../comments14.xml"/></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printerSettings" Target="../printerSettings/printerSettings42.bin"/><Relationship Id="rId1" Type="http://schemas.openxmlformats.org/officeDocument/2006/relationships/hyperlink" Target="https://www.youtube.com/playlist?list=PLVo87uPoJ9HzkaJVYJ89eIReVFJaXlGj3" TargetMode="External"/><Relationship Id="rId4" Type="http://schemas.openxmlformats.org/officeDocument/2006/relationships/comments" Target="../comments15.xm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printerSettings" Target="../printerSettings/printerSettings46.bin"/><Relationship Id="rId1" Type="http://schemas.openxmlformats.org/officeDocument/2006/relationships/hyperlink" Target="https://www.youtube.com/playlist?list=PLVo87uPoJ9HzkaJVYJ89eIReVFJaXlGj3" TargetMode="External"/><Relationship Id="rId4" Type="http://schemas.openxmlformats.org/officeDocument/2006/relationships/comments" Target="../comments1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printerSettings" Target="../printerSettings/printerSettings54.bin"/><Relationship Id="rId1" Type="http://schemas.openxmlformats.org/officeDocument/2006/relationships/hyperlink" Target="https://www.youtube.com/playlist?list=PLVo87uPoJ9HzkaJVYJ89eIReVFJaXlGj3" TargetMode="External"/><Relationship Id="rId4" Type="http://schemas.openxmlformats.org/officeDocument/2006/relationships/comments" Target="../comments18.xml"/></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15"/>
  <sheetViews>
    <sheetView showGridLines="0" tabSelected="1" zoomScale="85" zoomScaleNormal="85" zoomScaleSheetLayoutView="100" workbookViewId="0"/>
  </sheetViews>
  <sheetFormatPr defaultRowHeight="13.2"/>
  <cols>
    <col min="1" max="1" width="175.88671875" customWidth="1"/>
  </cols>
  <sheetData>
    <row r="1" spans="1:1">
      <c r="A1" s="4"/>
    </row>
    <row r="8" spans="1:1">
      <c r="A8" s="140"/>
    </row>
    <row r="11" spans="1:1" ht="30">
      <c r="A11" s="148" t="s">
        <v>812</v>
      </c>
    </row>
    <row r="12" spans="1:1" ht="30">
      <c r="A12" s="148" t="s">
        <v>215</v>
      </c>
    </row>
    <row r="13" spans="1:1" ht="28.2">
      <c r="A13" s="149"/>
    </row>
    <row r="14" spans="1:1" ht="28.2">
      <c r="A14" s="1053" t="s">
        <v>2796</v>
      </c>
    </row>
    <row r="15" spans="1:1">
      <c r="A15" s="1054" t="s">
        <v>2795</v>
      </c>
    </row>
  </sheetData>
  <phoneticPr fontId="62"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J70"/>
  <sheetViews>
    <sheetView showGridLines="0" showRuler="0" zoomScaleNormal="100" zoomScaleSheetLayoutView="85" workbookViewId="0">
      <selection sqref="A1:B1"/>
    </sheetView>
  </sheetViews>
  <sheetFormatPr defaultColWidth="9.109375" defaultRowHeight="13.8"/>
  <cols>
    <col min="1" max="1" width="9.44140625" style="304" customWidth="1"/>
    <col min="2" max="2" width="50.6640625" style="270" customWidth="1"/>
    <col min="3" max="6" width="12.6640625" style="225" customWidth="1"/>
    <col min="7" max="7" width="100.6640625" style="225" customWidth="1"/>
    <col min="8" max="8" width="9.109375" style="225"/>
    <col min="9" max="10" width="9.109375" style="225" hidden="1" customWidth="1"/>
    <col min="11" max="16384" width="9.109375" style="225"/>
  </cols>
  <sheetData>
    <row r="1" spans="1:7" s="303" customFormat="1" ht="20.100000000000001" customHeight="1">
      <c r="A1" s="2077" t="s">
        <v>595</v>
      </c>
      <c r="B1" s="2078"/>
      <c r="C1" s="1567"/>
      <c r="D1" s="1567"/>
      <c r="E1" s="1567"/>
      <c r="F1" s="1567"/>
      <c r="G1" s="1568" t="str">
        <f>'Project Information'!$B$3</f>
        <v>Enter project name &amp; description</v>
      </c>
    </row>
    <row r="2" spans="1:7" s="303" customFormat="1" ht="20.100000000000001" customHeight="1">
      <c r="A2" s="1569"/>
      <c r="B2" s="1570"/>
      <c r="G2" s="1571" t="str">
        <f>'Project Information'!$B$1</f>
        <v>999999-1-32-01</v>
      </c>
    </row>
    <row r="3" spans="1:7" ht="14.4" thickBot="1">
      <c r="A3" s="1572"/>
      <c r="G3" s="1573"/>
    </row>
    <row r="4" spans="1:7" ht="28.5" customHeight="1" thickBot="1">
      <c r="A4" s="2086" t="s">
        <v>1396</v>
      </c>
      <c r="B4" s="2087"/>
      <c r="C4" s="2088" t="s">
        <v>1397</v>
      </c>
      <c r="D4" s="2088"/>
      <c r="E4" s="2088"/>
      <c r="F4" s="2088"/>
      <c r="G4" s="242" t="s">
        <v>1398</v>
      </c>
    </row>
    <row r="5" spans="1:7" ht="28.5" customHeight="1">
      <c r="A5" s="2089" t="s">
        <v>1400</v>
      </c>
      <c r="B5" s="2090"/>
      <c r="C5" s="2091"/>
      <c r="D5" s="2091"/>
      <c r="E5" s="2091"/>
      <c r="F5" s="2091"/>
      <c r="G5" s="1565"/>
    </row>
    <row r="6" spans="1:7" ht="28.5" customHeight="1" thickBot="1">
      <c r="A6" s="2083" t="s">
        <v>1399</v>
      </c>
      <c r="B6" s="2084"/>
      <c r="C6" s="2085"/>
      <c r="D6" s="2085"/>
      <c r="E6" s="2085"/>
      <c r="F6" s="2085"/>
      <c r="G6" s="241"/>
    </row>
    <row r="7" spans="1:7" ht="15.6">
      <c r="A7" s="1574" t="s">
        <v>1430</v>
      </c>
      <c r="G7" s="1573"/>
    </row>
    <row r="8" spans="1:7" ht="14.25" customHeight="1" thickBot="1">
      <c r="A8" s="1575"/>
      <c r="G8" s="1573"/>
    </row>
    <row r="9" spans="1:7" ht="31.2">
      <c r="A9" s="298" t="s">
        <v>79</v>
      </c>
      <c r="B9" s="299" t="s">
        <v>190</v>
      </c>
      <c r="C9" s="266" t="s">
        <v>87</v>
      </c>
      <c r="D9" s="266" t="s">
        <v>101</v>
      </c>
      <c r="E9" s="266" t="s">
        <v>706</v>
      </c>
      <c r="F9" s="266" t="s">
        <v>102</v>
      </c>
      <c r="G9" s="319" t="s">
        <v>164</v>
      </c>
    </row>
    <row r="10" spans="1:7" ht="28.5" customHeight="1">
      <c r="A10" s="271">
        <v>3.1</v>
      </c>
      <c r="B10" s="2092" t="s">
        <v>90</v>
      </c>
      <c r="C10" s="2093"/>
      <c r="D10" s="2093"/>
      <c r="E10" s="2093"/>
      <c r="F10" s="2094"/>
      <c r="G10" s="410"/>
    </row>
    <row r="11" spans="1:7" ht="28.5" customHeight="1">
      <c r="A11" s="272" t="s">
        <v>275</v>
      </c>
      <c r="B11" s="302" t="s">
        <v>287</v>
      </c>
      <c r="C11" s="219" t="s">
        <v>85</v>
      </c>
      <c r="D11" s="219">
        <v>1</v>
      </c>
      <c r="E11" s="962">
        <v>0</v>
      </c>
      <c r="F11" s="222">
        <f t="shared" ref="F11:F22" si="0">ROUND((E11*D11),0)</f>
        <v>0</v>
      </c>
      <c r="G11" s="410"/>
    </row>
    <row r="12" spans="1:7" ht="28.5" customHeight="1">
      <c r="A12" s="272" t="s">
        <v>276</v>
      </c>
      <c r="B12" s="302" t="s">
        <v>288</v>
      </c>
      <c r="C12" s="219" t="s">
        <v>85</v>
      </c>
      <c r="D12" s="219">
        <v>1</v>
      </c>
      <c r="E12" s="962">
        <v>0</v>
      </c>
      <c r="F12" s="222">
        <f t="shared" si="0"/>
        <v>0</v>
      </c>
      <c r="G12" s="410"/>
    </row>
    <row r="13" spans="1:7" ht="28.5" customHeight="1">
      <c r="A13" s="272" t="s">
        <v>277</v>
      </c>
      <c r="B13" s="302" t="s">
        <v>1658</v>
      </c>
      <c r="C13" s="219" t="s">
        <v>85</v>
      </c>
      <c r="D13" s="219">
        <v>1</v>
      </c>
      <c r="E13" s="962">
        <v>0</v>
      </c>
      <c r="F13" s="222">
        <f t="shared" si="0"/>
        <v>0</v>
      </c>
      <c r="G13" s="410"/>
    </row>
    <row r="14" spans="1:7" ht="28.5" customHeight="1">
      <c r="A14" s="272" t="s">
        <v>278</v>
      </c>
      <c r="B14" s="302" t="s">
        <v>289</v>
      </c>
      <c r="C14" s="219" t="s">
        <v>85</v>
      </c>
      <c r="D14" s="219">
        <v>1</v>
      </c>
      <c r="E14" s="962">
        <v>0</v>
      </c>
      <c r="F14" s="222">
        <f t="shared" si="0"/>
        <v>0</v>
      </c>
      <c r="G14" s="410"/>
    </row>
    <row r="15" spans="1:7" ht="28.5" customHeight="1">
      <c r="A15" s="272" t="s">
        <v>279</v>
      </c>
      <c r="B15" s="302" t="s">
        <v>290</v>
      </c>
      <c r="C15" s="219" t="s">
        <v>85</v>
      </c>
      <c r="D15" s="219">
        <v>1</v>
      </c>
      <c r="E15" s="962">
        <v>0</v>
      </c>
      <c r="F15" s="222">
        <f t="shared" si="0"/>
        <v>0</v>
      </c>
      <c r="G15" s="410"/>
    </row>
    <row r="16" spans="1:7" ht="28.5" customHeight="1">
      <c r="A16" s="272" t="s">
        <v>280</v>
      </c>
      <c r="B16" s="302" t="s">
        <v>291</v>
      </c>
      <c r="C16" s="219" t="s">
        <v>85</v>
      </c>
      <c r="D16" s="219">
        <v>1</v>
      </c>
      <c r="E16" s="962">
        <v>0</v>
      </c>
      <c r="F16" s="222">
        <f t="shared" si="0"/>
        <v>0</v>
      </c>
      <c r="G16" s="410"/>
    </row>
    <row r="17" spans="1:10" ht="28.5" customHeight="1">
      <c r="A17" s="272" t="s">
        <v>281</v>
      </c>
      <c r="B17" s="302" t="s">
        <v>292</v>
      </c>
      <c r="C17" s="219" t="s">
        <v>85</v>
      </c>
      <c r="D17" s="219">
        <v>1</v>
      </c>
      <c r="E17" s="962">
        <v>0</v>
      </c>
      <c r="F17" s="222">
        <f t="shared" si="0"/>
        <v>0</v>
      </c>
      <c r="G17" s="410"/>
    </row>
    <row r="18" spans="1:10" ht="28.5" customHeight="1">
      <c r="A18" s="272" t="s">
        <v>282</v>
      </c>
      <c r="B18" s="302" t="s">
        <v>293</v>
      </c>
      <c r="C18" s="219" t="s">
        <v>85</v>
      </c>
      <c r="D18" s="219">
        <v>1</v>
      </c>
      <c r="E18" s="962">
        <v>0</v>
      </c>
      <c r="F18" s="222">
        <f t="shared" si="0"/>
        <v>0</v>
      </c>
      <c r="G18" s="410"/>
    </row>
    <row r="19" spans="1:10" ht="28.5" customHeight="1">
      <c r="A19" s="272" t="s">
        <v>283</v>
      </c>
      <c r="B19" s="302" t="s">
        <v>294</v>
      </c>
      <c r="C19" s="219" t="s">
        <v>85</v>
      </c>
      <c r="D19" s="219">
        <v>1</v>
      </c>
      <c r="E19" s="962">
        <v>0</v>
      </c>
      <c r="F19" s="222">
        <f t="shared" si="0"/>
        <v>0</v>
      </c>
      <c r="G19" s="410"/>
    </row>
    <row r="20" spans="1:10" ht="28.5" customHeight="1">
      <c r="A20" s="272" t="s">
        <v>284</v>
      </c>
      <c r="B20" s="302" t="s">
        <v>295</v>
      </c>
      <c r="C20" s="219" t="s">
        <v>85</v>
      </c>
      <c r="D20" s="219">
        <v>1</v>
      </c>
      <c r="E20" s="962">
        <v>0</v>
      </c>
      <c r="F20" s="222">
        <f t="shared" si="0"/>
        <v>0</v>
      </c>
      <c r="G20" s="410"/>
    </row>
    <row r="21" spans="1:10" ht="28.5" customHeight="1">
      <c r="A21" s="272" t="s">
        <v>285</v>
      </c>
      <c r="B21" s="302" t="s">
        <v>1172</v>
      </c>
      <c r="C21" s="219" t="s">
        <v>85</v>
      </c>
      <c r="D21" s="219">
        <v>1</v>
      </c>
      <c r="E21" s="962">
        <v>0</v>
      </c>
      <c r="F21" s="222">
        <f t="shared" si="0"/>
        <v>0</v>
      </c>
      <c r="G21" s="410"/>
    </row>
    <row r="22" spans="1:10" ht="28.5" customHeight="1" thickBot="1">
      <c r="A22" s="1566" t="s">
        <v>286</v>
      </c>
      <c r="B22" s="543" t="s">
        <v>296</v>
      </c>
      <c r="C22" s="223" t="s">
        <v>85</v>
      </c>
      <c r="D22" s="223">
        <v>1</v>
      </c>
      <c r="E22" s="963">
        <v>0</v>
      </c>
      <c r="F22" s="224">
        <f t="shared" si="0"/>
        <v>0</v>
      </c>
      <c r="G22" s="411"/>
    </row>
    <row r="23" spans="1:10" ht="24" customHeight="1" thickTop="1">
      <c r="A23" s="2079" t="s">
        <v>394</v>
      </c>
      <c r="B23" s="2080"/>
      <c r="C23" s="2080"/>
      <c r="D23" s="2080"/>
      <c r="E23" s="2080"/>
      <c r="F23" s="350">
        <f>SUM(F11:F22)</f>
        <v>0</v>
      </c>
      <c r="G23" s="1576"/>
    </row>
    <row r="24" spans="1:10" ht="28.5" customHeight="1">
      <c r="A24" s="271">
        <v>3.2</v>
      </c>
      <c r="B24" s="302" t="s">
        <v>91</v>
      </c>
      <c r="C24" s="219" t="s">
        <v>141</v>
      </c>
      <c r="D24" s="962">
        <v>0</v>
      </c>
      <c r="E24" s="962">
        <v>0</v>
      </c>
      <c r="F24" s="222">
        <f>ROUND((E24*D24),0)</f>
        <v>0</v>
      </c>
      <c r="G24" s="410"/>
    </row>
    <row r="25" spans="1:10" ht="28.5" customHeight="1">
      <c r="A25" s="271">
        <v>3.3</v>
      </c>
      <c r="B25" s="2092" t="s">
        <v>1811</v>
      </c>
      <c r="C25" s="2093"/>
      <c r="D25" s="2093"/>
      <c r="E25" s="2093"/>
      <c r="F25" s="2094"/>
      <c r="G25" s="410"/>
    </row>
    <row r="26" spans="1:10" ht="28.5" customHeight="1">
      <c r="A26" s="271" t="s">
        <v>1810</v>
      </c>
      <c r="B26" s="302" t="s">
        <v>80</v>
      </c>
      <c r="C26" s="219" t="s">
        <v>85</v>
      </c>
      <c r="D26" s="219">
        <v>1</v>
      </c>
      <c r="E26" s="962">
        <v>0</v>
      </c>
      <c r="F26" s="222">
        <f t="shared" ref="F26:F32" si="1">ROUND((E26*D26),0)</f>
        <v>0</v>
      </c>
      <c r="G26" s="410"/>
    </row>
    <row r="27" spans="1:10" ht="28.5" customHeight="1">
      <c r="A27" s="2095" t="s">
        <v>1773</v>
      </c>
      <c r="B27" s="2097" t="s">
        <v>2585</v>
      </c>
      <c r="C27" s="219" t="s">
        <v>2031</v>
      </c>
      <c r="D27" s="1562">
        <v>0</v>
      </c>
      <c r="E27" s="374" t="s">
        <v>1868</v>
      </c>
      <c r="F27" s="2065">
        <v>0</v>
      </c>
      <c r="G27" s="2071"/>
    </row>
    <row r="28" spans="1:10" ht="28.5" customHeight="1">
      <c r="A28" s="2096"/>
      <c r="B28" s="2098"/>
      <c r="C28" s="219" t="s">
        <v>2032</v>
      </c>
      <c r="D28" s="962">
        <v>0</v>
      </c>
      <c r="E28" s="1563">
        <f>IF(D27=1,I28+(D28*J28),0)</f>
        <v>0</v>
      </c>
      <c r="F28" s="2066"/>
      <c r="G28" s="2072"/>
      <c r="I28" s="225">
        <v>16</v>
      </c>
      <c r="J28" s="225">
        <v>2</v>
      </c>
    </row>
    <row r="29" spans="1:10" ht="28.5" customHeight="1">
      <c r="A29" s="271">
        <v>3.4</v>
      </c>
      <c r="B29" s="302" t="s">
        <v>1653</v>
      </c>
      <c r="C29" s="219" t="s">
        <v>85</v>
      </c>
      <c r="D29" s="219">
        <v>1</v>
      </c>
      <c r="E29" s="962">
        <v>0</v>
      </c>
      <c r="F29" s="222">
        <f t="shared" si="1"/>
        <v>0</v>
      </c>
      <c r="G29" s="410"/>
    </row>
    <row r="30" spans="1:10" ht="28.5" customHeight="1">
      <c r="A30" s="271">
        <v>3.5</v>
      </c>
      <c r="B30" s="302" t="s">
        <v>225</v>
      </c>
      <c r="C30" s="219" t="s">
        <v>85</v>
      </c>
      <c r="D30" s="219">
        <v>1</v>
      </c>
      <c r="E30" s="962">
        <v>0</v>
      </c>
      <c r="F30" s="222">
        <f t="shared" si="1"/>
        <v>0</v>
      </c>
      <c r="G30" s="410"/>
    </row>
    <row r="31" spans="1:10" ht="28.5" customHeight="1">
      <c r="A31" s="271">
        <v>3.6</v>
      </c>
      <c r="B31" s="302" t="s">
        <v>413</v>
      </c>
      <c r="C31" s="219" t="s">
        <v>85</v>
      </c>
      <c r="D31" s="219">
        <v>1</v>
      </c>
      <c r="E31" s="222">
        <f>F65</f>
        <v>0</v>
      </c>
      <c r="F31" s="222">
        <f t="shared" si="1"/>
        <v>0</v>
      </c>
      <c r="G31" s="410" t="s">
        <v>395</v>
      </c>
    </row>
    <row r="32" spans="1:10" ht="28.5" customHeight="1">
      <c r="A32" s="271">
        <v>3.7</v>
      </c>
      <c r="B32" s="302" t="s">
        <v>226</v>
      </c>
      <c r="C32" s="219" t="s">
        <v>85</v>
      </c>
      <c r="D32" s="219">
        <v>1</v>
      </c>
      <c r="E32" s="962">
        <v>0</v>
      </c>
      <c r="F32" s="222">
        <f t="shared" si="1"/>
        <v>0</v>
      </c>
      <c r="G32" s="410"/>
    </row>
    <row r="33" spans="1:7" ht="28.5" customHeight="1">
      <c r="A33" s="271">
        <v>3.8</v>
      </c>
      <c r="B33" s="302" t="s">
        <v>571</v>
      </c>
      <c r="C33" s="219" t="s">
        <v>85</v>
      </c>
      <c r="D33" s="219">
        <v>1</v>
      </c>
      <c r="E33" s="962">
        <v>0</v>
      </c>
      <c r="F33" s="222">
        <f t="shared" ref="F33:F39" si="2">ROUND((E33*D33),0)</f>
        <v>0</v>
      </c>
      <c r="G33" s="410"/>
    </row>
    <row r="34" spans="1:7" ht="28.5" customHeight="1">
      <c r="A34" s="271">
        <v>3.9</v>
      </c>
      <c r="B34" s="302" t="s">
        <v>1458</v>
      </c>
      <c r="C34" s="219" t="s">
        <v>85</v>
      </c>
      <c r="D34" s="219">
        <v>1</v>
      </c>
      <c r="E34" s="962">
        <v>0</v>
      </c>
      <c r="F34" s="222">
        <f t="shared" si="2"/>
        <v>0</v>
      </c>
      <c r="G34" s="410"/>
    </row>
    <row r="35" spans="1:7" ht="28.5" customHeight="1">
      <c r="A35" s="274">
        <v>3.1</v>
      </c>
      <c r="B35" s="302" t="s">
        <v>1164</v>
      </c>
      <c r="C35" s="219" t="s">
        <v>85</v>
      </c>
      <c r="D35" s="219">
        <v>1</v>
      </c>
      <c r="E35" s="962">
        <v>0</v>
      </c>
      <c r="F35" s="222">
        <f t="shared" si="2"/>
        <v>0</v>
      </c>
      <c r="G35" s="410"/>
    </row>
    <row r="36" spans="1:7" ht="28.5" customHeight="1">
      <c r="A36" s="274">
        <v>3.11</v>
      </c>
      <c r="B36" s="302" t="s">
        <v>1046</v>
      </c>
      <c r="C36" s="219" t="s">
        <v>85</v>
      </c>
      <c r="D36" s="219">
        <v>1</v>
      </c>
      <c r="E36" s="962">
        <v>0</v>
      </c>
      <c r="F36" s="222">
        <f t="shared" si="2"/>
        <v>0</v>
      </c>
      <c r="G36" s="410"/>
    </row>
    <row r="37" spans="1:7" ht="28.5" customHeight="1">
      <c r="A37" s="301" t="s">
        <v>1652</v>
      </c>
      <c r="B37" s="302" t="s">
        <v>21</v>
      </c>
      <c r="C37" s="219" t="s">
        <v>85</v>
      </c>
      <c r="D37" s="219">
        <v>1</v>
      </c>
      <c r="E37" s="962">
        <v>0</v>
      </c>
      <c r="F37" s="222">
        <f>ROUND((E37*D37),0)</f>
        <v>0</v>
      </c>
      <c r="G37" s="411"/>
    </row>
    <row r="38" spans="1:7" ht="28.5" customHeight="1">
      <c r="A38" s="301">
        <v>3.12</v>
      </c>
      <c r="B38" s="302" t="s">
        <v>1606</v>
      </c>
      <c r="C38" s="223" t="s">
        <v>85</v>
      </c>
      <c r="D38" s="223">
        <v>1</v>
      </c>
      <c r="E38" s="963">
        <v>0</v>
      </c>
      <c r="F38" s="224">
        <f t="shared" si="2"/>
        <v>0</v>
      </c>
      <c r="G38" s="411"/>
    </row>
    <row r="39" spans="1:7" ht="28.5" customHeight="1" thickBot="1">
      <c r="A39" s="301">
        <v>3.13</v>
      </c>
      <c r="B39" s="543" t="s">
        <v>222</v>
      </c>
      <c r="C39" s="223" t="s">
        <v>85</v>
      </c>
      <c r="D39" s="223">
        <v>1</v>
      </c>
      <c r="E39" s="963">
        <v>0</v>
      </c>
      <c r="F39" s="224">
        <f t="shared" si="2"/>
        <v>0</v>
      </c>
      <c r="G39" s="411"/>
    </row>
    <row r="40" spans="1:7" ht="24" customHeight="1" thickTop="1" thickBot="1">
      <c r="A40" s="2081" t="s">
        <v>382</v>
      </c>
      <c r="B40" s="2082"/>
      <c r="C40" s="2082"/>
      <c r="D40" s="2082"/>
      <c r="E40" s="2082"/>
      <c r="F40" s="951">
        <f>SUM(F23:F39)</f>
        <v>0</v>
      </c>
      <c r="G40" s="1577"/>
    </row>
    <row r="41" spans="1:7">
      <c r="A41" s="1572"/>
      <c r="G41" s="1573"/>
    </row>
    <row r="42" spans="1:7" ht="14.4" thickBot="1">
      <c r="A42" s="1572"/>
      <c r="G42" s="1573"/>
    </row>
    <row r="43" spans="1:7" ht="14.4" thickBot="1">
      <c r="A43" s="2075" t="s">
        <v>584</v>
      </c>
      <c r="B43" s="2076"/>
      <c r="C43" s="416" t="s">
        <v>87</v>
      </c>
      <c r="D43" s="416" t="s">
        <v>101</v>
      </c>
      <c r="E43" s="416" t="s">
        <v>706</v>
      </c>
      <c r="F43" s="416" t="s">
        <v>102</v>
      </c>
      <c r="G43" s="417" t="s">
        <v>164</v>
      </c>
    </row>
    <row r="44" spans="1:7" ht="24" customHeight="1">
      <c r="A44" s="2073" t="s">
        <v>696</v>
      </c>
      <c r="B44" s="2074"/>
      <c r="C44" s="324" t="s">
        <v>141</v>
      </c>
      <c r="D44" s="324">
        <f>'4. Roadway Analysis'!F78</f>
        <v>0</v>
      </c>
      <c r="E44" s="964">
        <v>0</v>
      </c>
      <c r="F44" s="324">
        <f>E44*D44</f>
        <v>0</v>
      </c>
      <c r="G44" s="415"/>
    </row>
    <row r="45" spans="1:7" ht="24" customHeight="1">
      <c r="A45" s="2063" t="s">
        <v>145</v>
      </c>
      <c r="B45" s="2064"/>
      <c r="C45" s="219" t="s">
        <v>141</v>
      </c>
      <c r="D45" s="219">
        <f>'6a. Drainage Analysis'!F78</f>
        <v>0</v>
      </c>
      <c r="E45" s="962">
        <v>0</v>
      </c>
      <c r="F45" s="219">
        <f t="shared" ref="F45:F64" si="3">E45*D45</f>
        <v>0</v>
      </c>
      <c r="G45" s="410"/>
    </row>
    <row r="46" spans="1:7" ht="24" customHeight="1">
      <c r="A46" s="2063" t="s">
        <v>2566</v>
      </c>
      <c r="B46" s="2064"/>
      <c r="C46" s="219" t="s">
        <v>141</v>
      </c>
      <c r="D46" s="219">
        <f>'6c. Selective C&amp;G'!F37</f>
        <v>0</v>
      </c>
      <c r="E46" s="962">
        <v>0</v>
      </c>
      <c r="F46" s="219">
        <f t="shared" ref="F46" si="4">E46*D46</f>
        <v>0</v>
      </c>
      <c r="G46" s="410"/>
    </row>
    <row r="47" spans="1:7" ht="24" customHeight="1">
      <c r="A47" s="2063" t="s">
        <v>955</v>
      </c>
      <c r="B47" s="2064"/>
      <c r="C47" s="219" t="s">
        <v>141</v>
      </c>
      <c r="D47" s="219">
        <f>'7. Utilities'!I36</f>
        <v>0</v>
      </c>
      <c r="E47" s="962">
        <v>0</v>
      </c>
      <c r="F47" s="219">
        <f t="shared" si="3"/>
        <v>0</v>
      </c>
      <c r="G47" s="410"/>
    </row>
    <row r="48" spans="1:7" ht="24" customHeight="1">
      <c r="A48" s="2063" t="s">
        <v>146</v>
      </c>
      <c r="B48" s="2064"/>
      <c r="C48" s="219" t="s">
        <v>141</v>
      </c>
      <c r="D48" s="219">
        <f>'8. Env. Permits and Clearances'!I70</f>
        <v>0</v>
      </c>
      <c r="E48" s="962">
        <v>0</v>
      </c>
      <c r="F48" s="219">
        <f t="shared" si="3"/>
        <v>0</v>
      </c>
      <c r="G48" s="410"/>
    </row>
    <row r="49" spans="1:7" ht="24" customHeight="1">
      <c r="A49" s="2063" t="s">
        <v>149</v>
      </c>
      <c r="B49" s="2064"/>
      <c r="C49" s="219" t="s">
        <v>141</v>
      </c>
      <c r="D49" s="219">
        <f>'9. Structures Summary'!L60</f>
        <v>0</v>
      </c>
      <c r="E49" s="962">
        <v>0</v>
      </c>
      <c r="F49" s="219">
        <f t="shared" si="3"/>
        <v>0</v>
      </c>
      <c r="G49" s="410"/>
    </row>
    <row r="50" spans="1:7" ht="24" customHeight="1">
      <c r="A50" s="2063" t="s">
        <v>232</v>
      </c>
      <c r="B50" s="2064"/>
      <c r="C50" s="219" t="s">
        <v>141</v>
      </c>
      <c r="D50" s="219">
        <f>'19. Signing &amp; Marking Analysis '!I40</f>
        <v>0</v>
      </c>
      <c r="E50" s="962">
        <v>0</v>
      </c>
      <c r="F50" s="219">
        <f t="shared" si="3"/>
        <v>0</v>
      </c>
      <c r="G50" s="410"/>
    </row>
    <row r="51" spans="1:7" ht="24" customHeight="1">
      <c r="A51" s="2063" t="s">
        <v>150</v>
      </c>
      <c r="B51" s="2064"/>
      <c r="C51" s="219" t="s">
        <v>141</v>
      </c>
      <c r="D51" s="219">
        <f>'21. Signalization Analysis'!I44</f>
        <v>0</v>
      </c>
      <c r="E51" s="962">
        <v>0</v>
      </c>
      <c r="F51" s="219">
        <f t="shared" si="3"/>
        <v>0</v>
      </c>
      <c r="G51" s="410"/>
    </row>
    <row r="52" spans="1:7" ht="24" customHeight="1">
      <c r="A52" s="2063" t="s">
        <v>151</v>
      </c>
      <c r="B52" s="2064"/>
      <c r="C52" s="219" t="s">
        <v>141</v>
      </c>
      <c r="D52" s="219">
        <f>'23. Lighting Analysis'!I43</f>
        <v>0</v>
      </c>
      <c r="E52" s="962">
        <v>0</v>
      </c>
      <c r="F52" s="219">
        <f t="shared" si="3"/>
        <v>0</v>
      </c>
      <c r="G52" s="410"/>
    </row>
    <row r="53" spans="1:7" ht="24" customHeight="1">
      <c r="A53" s="2063" t="s">
        <v>153</v>
      </c>
      <c r="B53" s="2064"/>
      <c r="C53" s="219" t="s">
        <v>141</v>
      </c>
      <c r="D53" s="219">
        <f>'25. Landscape Analysis'!F55</f>
        <v>0</v>
      </c>
      <c r="E53" s="962">
        <v>0</v>
      </c>
      <c r="F53" s="219">
        <f t="shared" si="3"/>
        <v>0</v>
      </c>
      <c r="G53" s="410"/>
    </row>
    <row r="54" spans="1:7" ht="24" customHeight="1">
      <c r="A54" s="2063" t="s">
        <v>59</v>
      </c>
      <c r="B54" s="2064"/>
      <c r="C54" s="219" t="s">
        <v>141</v>
      </c>
      <c r="D54" s="219">
        <f>'27. Survey'!J124</f>
        <v>0</v>
      </c>
      <c r="E54" s="962">
        <v>0</v>
      </c>
      <c r="F54" s="219">
        <f t="shared" si="3"/>
        <v>0</v>
      </c>
      <c r="G54" s="410"/>
    </row>
    <row r="55" spans="1:7" ht="24" customHeight="1">
      <c r="A55" s="2063" t="s">
        <v>354</v>
      </c>
      <c r="B55" s="2064"/>
      <c r="C55" s="219" t="s">
        <v>141</v>
      </c>
      <c r="D55" s="219">
        <f>'28. Photogrammetry'!L90</f>
        <v>0</v>
      </c>
      <c r="E55" s="962">
        <v>0</v>
      </c>
      <c r="F55" s="219">
        <f t="shared" si="3"/>
        <v>0</v>
      </c>
      <c r="G55" s="410"/>
    </row>
    <row r="56" spans="1:7" ht="24" customHeight="1">
      <c r="A56" s="2063" t="s">
        <v>845</v>
      </c>
      <c r="B56" s="2064"/>
      <c r="C56" s="219" t="s">
        <v>141</v>
      </c>
      <c r="D56" s="219">
        <f>'29. Mapping'!F61</f>
        <v>0</v>
      </c>
      <c r="E56" s="962">
        <v>0</v>
      </c>
      <c r="F56" s="219">
        <f t="shared" si="3"/>
        <v>0</v>
      </c>
      <c r="G56" s="410"/>
    </row>
    <row r="57" spans="1:7" ht="24" customHeight="1">
      <c r="A57" s="2063" t="s">
        <v>1154</v>
      </c>
      <c r="B57" s="2064"/>
      <c r="C57" s="219" t="s">
        <v>141</v>
      </c>
      <c r="D57" s="219">
        <f>'30. Terrestrial Mobile LiDAR'!M94</f>
        <v>0</v>
      </c>
      <c r="E57" s="962">
        <v>0</v>
      </c>
      <c r="F57" s="219">
        <f>E57*D57</f>
        <v>0</v>
      </c>
      <c r="G57" s="410"/>
    </row>
    <row r="58" spans="1:7" ht="24" customHeight="1">
      <c r="A58" s="2063" t="s">
        <v>705</v>
      </c>
      <c r="B58" s="2064"/>
      <c r="C58" s="219" t="s">
        <v>141</v>
      </c>
      <c r="D58" s="219">
        <f>'31. Architecture Development'!M230</f>
        <v>0</v>
      </c>
      <c r="E58" s="962">
        <v>0</v>
      </c>
      <c r="F58" s="219">
        <f t="shared" si="3"/>
        <v>0</v>
      </c>
      <c r="G58" s="410"/>
    </row>
    <row r="59" spans="1:7" ht="24" customHeight="1">
      <c r="A59" s="2063" t="s">
        <v>233</v>
      </c>
      <c r="B59" s="2064"/>
      <c r="C59" s="219" t="s">
        <v>141</v>
      </c>
      <c r="D59" s="219">
        <f>'32. Noise Barrier Assessment'!I31</f>
        <v>0</v>
      </c>
      <c r="E59" s="962">
        <v>0</v>
      </c>
      <c r="F59" s="219">
        <f>E59*D59</f>
        <v>0</v>
      </c>
      <c r="G59" s="410"/>
    </row>
    <row r="60" spans="1:7" ht="24" customHeight="1">
      <c r="A60" s="2063" t="s">
        <v>964</v>
      </c>
      <c r="B60" s="2064"/>
      <c r="C60" s="219" t="s">
        <v>141</v>
      </c>
      <c r="D60" s="219">
        <f>'33. ITS Analysis'!I45</f>
        <v>0</v>
      </c>
      <c r="E60" s="962">
        <v>0</v>
      </c>
      <c r="F60" s="219">
        <f>E60*D60</f>
        <v>0</v>
      </c>
      <c r="G60" s="410"/>
    </row>
    <row r="61" spans="1:7" ht="24" customHeight="1">
      <c r="A61" s="2063" t="s">
        <v>152</v>
      </c>
      <c r="B61" s="2064"/>
      <c r="C61" s="219" t="s">
        <v>141</v>
      </c>
      <c r="D61" s="219">
        <f>'35. Geotechnical'!I82</f>
        <v>0</v>
      </c>
      <c r="E61" s="962">
        <v>0</v>
      </c>
      <c r="F61" s="219">
        <f>E61*D61</f>
        <v>0</v>
      </c>
      <c r="G61" s="410"/>
    </row>
    <row r="62" spans="1:7" ht="24" customHeight="1">
      <c r="A62" s="2063" t="s">
        <v>154</v>
      </c>
      <c r="B62" s="2064"/>
      <c r="C62" s="219" t="s">
        <v>141</v>
      </c>
      <c r="D62" s="962">
        <v>0</v>
      </c>
      <c r="E62" s="962">
        <v>0</v>
      </c>
      <c r="F62" s="219">
        <f t="shared" si="3"/>
        <v>0</v>
      </c>
      <c r="G62" s="410"/>
    </row>
    <row r="63" spans="1:7" ht="24" customHeight="1">
      <c r="A63" s="2063" t="s">
        <v>1020</v>
      </c>
      <c r="B63" s="2064"/>
      <c r="C63" s="219" t="s">
        <v>141</v>
      </c>
      <c r="D63" s="962">
        <v>0</v>
      </c>
      <c r="E63" s="962">
        <v>0</v>
      </c>
      <c r="F63" s="219">
        <f t="shared" si="3"/>
        <v>0</v>
      </c>
      <c r="G63" s="410"/>
    </row>
    <row r="64" spans="1:7" ht="24" customHeight="1" thickBot="1">
      <c r="A64" s="2069" t="s">
        <v>133</v>
      </c>
      <c r="B64" s="2070"/>
      <c r="C64" s="223" t="s">
        <v>141</v>
      </c>
      <c r="D64" s="963">
        <v>0</v>
      </c>
      <c r="E64" s="963">
        <v>0</v>
      </c>
      <c r="F64" s="223">
        <f t="shared" si="3"/>
        <v>0</v>
      </c>
      <c r="G64" s="411"/>
    </row>
    <row r="65" spans="1:7" s="303" customFormat="1" ht="30.9" customHeight="1" thickTop="1" thickBot="1">
      <c r="A65" s="2067" t="s">
        <v>573</v>
      </c>
      <c r="B65" s="2068"/>
      <c r="C65" s="412"/>
      <c r="D65" s="413">
        <f>SUM(D44:D64)</f>
        <v>0</v>
      </c>
      <c r="E65" s="412"/>
      <c r="F65" s="413">
        <f>SUM(F44:F64)</f>
        <v>0</v>
      </c>
      <c r="G65" s="414" t="s">
        <v>1208</v>
      </c>
    </row>
    <row r="66" spans="1:7">
      <c r="B66" s="305"/>
      <c r="C66" s="306"/>
      <c r="D66" s="306"/>
      <c r="E66" s="306"/>
      <c r="F66" s="307"/>
    </row>
    <row r="67" spans="1:7">
      <c r="A67" s="308" t="s">
        <v>461</v>
      </c>
      <c r="C67" s="306"/>
      <c r="D67" s="306"/>
      <c r="E67" s="306"/>
      <c r="F67" s="306"/>
    </row>
    <row r="68" spans="1:7">
      <c r="A68" s="309" t="s">
        <v>192</v>
      </c>
      <c r="C68" s="306"/>
      <c r="D68" s="306"/>
      <c r="E68" s="306"/>
      <c r="F68" s="306"/>
    </row>
    <row r="69" spans="1:7">
      <c r="A69" s="309" t="s">
        <v>574</v>
      </c>
    </row>
    <row r="70" spans="1:7">
      <c r="A70" s="309" t="s">
        <v>2621</v>
      </c>
    </row>
  </sheetData>
  <mergeCells count="38">
    <mergeCell ref="G27:G28"/>
    <mergeCell ref="A44:B44"/>
    <mergeCell ref="A43:B43"/>
    <mergeCell ref="A1:B1"/>
    <mergeCell ref="A23:E23"/>
    <mergeCell ref="A40:E40"/>
    <mergeCell ref="A6:B6"/>
    <mergeCell ref="C6:F6"/>
    <mergeCell ref="A4:B4"/>
    <mergeCell ref="C4:F4"/>
    <mergeCell ref="A5:B5"/>
    <mergeCell ref="C5:F5"/>
    <mergeCell ref="B10:F10"/>
    <mergeCell ref="B25:F25"/>
    <mergeCell ref="A27:A28"/>
    <mergeCell ref="B27:B28"/>
    <mergeCell ref="F27:F28"/>
    <mergeCell ref="A65:B65"/>
    <mergeCell ref="A64:B64"/>
    <mergeCell ref="A63:B63"/>
    <mergeCell ref="A62:B62"/>
    <mergeCell ref="A61:B61"/>
    <mergeCell ref="A60:B60"/>
    <mergeCell ref="A49:B49"/>
    <mergeCell ref="A48:B48"/>
    <mergeCell ref="A47:B47"/>
    <mergeCell ref="A45:B45"/>
    <mergeCell ref="A59:B59"/>
    <mergeCell ref="A51:B51"/>
    <mergeCell ref="A58:B58"/>
    <mergeCell ref="A57:B57"/>
    <mergeCell ref="A56:B56"/>
    <mergeCell ref="A46:B46"/>
    <mergeCell ref="A55:B55"/>
    <mergeCell ref="A54:B54"/>
    <mergeCell ref="A53:B53"/>
    <mergeCell ref="A52:B52"/>
    <mergeCell ref="A50:B50"/>
  </mergeCells>
  <phoneticPr fontId="0" type="noConversion"/>
  <dataValidations disablePrompts="1" count="1">
    <dataValidation type="whole" allowBlank="1" showInputMessage="1" showErrorMessage="1" error="Enter 1 or 0._x000a_Yes=1_x000a_No=0" sqref="D27" xr:uid="{4F2D1FB0-981D-4935-A94F-D5517540C88A}">
      <formula1>0</formula1>
      <formula2>1</formula2>
    </dataValidation>
  </dataValidations>
  <printOptions horizontalCentered="1"/>
  <pageMargins left="0.5" right="0.5" top="1" bottom="1" header="0.5" footer="0.34"/>
  <pageSetup scale="56" orientation="landscape" horizontalDpi="4294967292" r:id="rId1"/>
  <headerFooter alignWithMargins="0">
    <oddHeader>&amp;C&amp;"Arial,Bold"&amp;12&amp;UProject Activity 3: General Tasks</oddHeader>
    <oddFooter>&amp;L&amp;F  
&amp;A&amp;CPage &amp;P of &amp;N&amp;R&amp;D</oddFooter>
  </headerFooter>
  <rowBreaks count="1" manualBreakCount="1">
    <brk id="32" max="6"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84A43-61F0-48E4-84CA-C379BE80365B}">
  <sheetPr codeName="Sheet13"/>
  <dimension ref="A1:D22"/>
  <sheetViews>
    <sheetView showGridLines="0" zoomScaleNormal="100" zoomScaleSheetLayoutView="100" workbookViewId="0">
      <selection activeCell="D7" sqref="D7"/>
    </sheetView>
  </sheetViews>
  <sheetFormatPr defaultColWidth="9.109375" defaultRowHeight="13.2"/>
  <cols>
    <col min="1" max="1" width="26.44140625" style="195" customWidth="1"/>
    <col min="2" max="2" width="25.109375" style="195" customWidth="1"/>
    <col min="3" max="3" width="38.33203125" style="195" customWidth="1"/>
    <col min="4" max="4" width="94.88671875" style="195" customWidth="1"/>
    <col min="5" max="16384" width="9.109375" style="195"/>
  </cols>
  <sheetData>
    <row r="1" spans="1:4" ht="24" customHeight="1">
      <c r="A1" s="2100" t="s">
        <v>2111</v>
      </c>
      <c r="B1" s="2100"/>
      <c r="C1" s="2100"/>
      <c r="D1" s="2100"/>
    </row>
    <row r="2" spans="1:4" ht="19.95" customHeight="1">
      <c r="A2" s="2099" t="s">
        <v>2110</v>
      </c>
      <c r="B2" s="2099"/>
      <c r="C2" s="2099"/>
      <c r="D2" s="2099"/>
    </row>
    <row r="3" spans="1:4" ht="19.95" customHeight="1">
      <c r="A3" s="210" t="s">
        <v>2093</v>
      </c>
      <c r="B3" s="1596" t="s">
        <v>2097</v>
      </c>
      <c r="C3" s="210" t="s">
        <v>2102</v>
      </c>
      <c r="D3" s="195" t="s">
        <v>2109</v>
      </c>
    </row>
    <row r="4" spans="1:4" ht="19.95" customHeight="1">
      <c r="A4" s="210" t="s">
        <v>2098</v>
      </c>
      <c r="B4" s="1596" t="s">
        <v>2097</v>
      </c>
      <c r="C4" s="210" t="s">
        <v>2108</v>
      </c>
      <c r="D4" s="195" t="s">
        <v>2107</v>
      </c>
    </row>
    <row r="5" spans="1:4" ht="19.95" customHeight="1">
      <c r="A5" s="2099" t="s">
        <v>2581</v>
      </c>
      <c r="B5" s="2099"/>
      <c r="C5" s="2099"/>
      <c r="D5" s="2099"/>
    </row>
    <row r="6" spans="1:4" ht="19.95" customHeight="1">
      <c r="A6" s="1596" t="s">
        <v>2092</v>
      </c>
      <c r="B6" s="1596" t="s">
        <v>2097</v>
      </c>
      <c r="C6" s="1596" t="s">
        <v>2102</v>
      </c>
      <c r="D6" s="195" t="s">
        <v>2546</v>
      </c>
    </row>
    <row r="7" spans="1:4" ht="19.95" customHeight="1">
      <c r="A7" s="210" t="s">
        <v>2098</v>
      </c>
      <c r="B7" s="1596" t="s">
        <v>2083</v>
      </c>
      <c r="C7" s="1596" t="s">
        <v>2106</v>
      </c>
      <c r="D7" s="195" t="s">
        <v>2547</v>
      </c>
    </row>
    <row r="8" spans="1:4" ht="19.95" customHeight="1">
      <c r="A8" s="2099" t="s">
        <v>2582</v>
      </c>
      <c r="B8" s="2099"/>
      <c r="C8" s="2099"/>
      <c r="D8" s="2099"/>
    </row>
    <row r="9" spans="1:4" ht="19.95" customHeight="1">
      <c r="A9" s="1596" t="s">
        <v>2092</v>
      </c>
      <c r="B9" s="1596" t="s">
        <v>2095</v>
      </c>
      <c r="C9" s="1596" t="s">
        <v>2105</v>
      </c>
      <c r="D9" s="195" t="s">
        <v>2104</v>
      </c>
    </row>
    <row r="10" spans="1:4" ht="19.95" customHeight="1">
      <c r="A10" s="1596" t="s">
        <v>2092</v>
      </c>
      <c r="B10" s="1596" t="s">
        <v>2095</v>
      </c>
      <c r="C10" s="1596" t="s">
        <v>2103</v>
      </c>
      <c r="D10" s="195" t="s">
        <v>2548</v>
      </c>
    </row>
    <row r="11" spans="1:4" ht="19.95" customHeight="1">
      <c r="A11" s="1596" t="s">
        <v>2092</v>
      </c>
      <c r="B11" s="1596" t="s">
        <v>2087</v>
      </c>
      <c r="C11" s="1596" t="s">
        <v>2102</v>
      </c>
      <c r="D11" s="195" t="s">
        <v>2101</v>
      </c>
    </row>
    <row r="12" spans="1:4" ht="19.95" customHeight="1">
      <c r="A12" s="1596" t="s">
        <v>2084</v>
      </c>
      <c r="B12" s="1596" t="s">
        <v>2083</v>
      </c>
      <c r="C12" s="1596" t="s">
        <v>2100</v>
      </c>
      <c r="D12" s="195" t="s">
        <v>2099</v>
      </c>
    </row>
    <row r="13" spans="1:4" ht="19.95" customHeight="1">
      <c r="A13" s="2099" t="s">
        <v>2583</v>
      </c>
      <c r="B13" s="2099"/>
      <c r="C13" s="2099"/>
      <c r="D13" s="2099"/>
    </row>
    <row r="14" spans="1:4" ht="19.95" customHeight="1">
      <c r="A14" s="210" t="s">
        <v>2098</v>
      </c>
      <c r="B14" s="1596" t="s">
        <v>2097</v>
      </c>
      <c r="C14" s="1596" t="s">
        <v>2096</v>
      </c>
      <c r="D14" s="195" t="s">
        <v>2549</v>
      </c>
    </row>
    <row r="15" spans="1:4" ht="19.95" customHeight="1">
      <c r="A15" s="1596" t="s">
        <v>2092</v>
      </c>
      <c r="B15" s="1596" t="s">
        <v>2095</v>
      </c>
      <c r="C15" s="195" t="s">
        <v>2094</v>
      </c>
      <c r="D15" s="195" t="s">
        <v>2550</v>
      </c>
    </row>
    <row r="16" spans="1:4" ht="19.95" customHeight="1">
      <c r="A16" s="1596" t="s">
        <v>2093</v>
      </c>
      <c r="B16" s="1596" t="s">
        <v>2087</v>
      </c>
      <c r="C16" s="1596" t="s">
        <v>2086</v>
      </c>
      <c r="D16" s="195" t="s">
        <v>2085</v>
      </c>
    </row>
    <row r="17" spans="1:4" ht="19.95" customHeight="1">
      <c r="A17" s="1596" t="s">
        <v>2092</v>
      </c>
      <c r="B17" s="1596" t="s">
        <v>2087</v>
      </c>
      <c r="C17" s="1596" t="s">
        <v>2091</v>
      </c>
      <c r="D17" s="195" t="s">
        <v>2550</v>
      </c>
    </row>
    <row r="18" spans="1:4" ht="19.95" customHeight="1">
      <c r="A18" s="1596" t="s">
        <v>2084</v>
      </c>
      <c r="B18" s="1596" t="s">
        <v>2083</v>
      </c>
      <c r="C18" s="195" t="s">
        <v>2090</v>
      </c>
      <c r="D18" s="195" t="s">
        <v>2551</v>
      </c>
    </row>
    <row r="19" spans="1:4" ht="19.95" customHeight="1">
      <c r="A19" s="1596" t="s">
        <v>2084</v>
      </c>
      <c r="B19" s="1596" t="s">
        <v>2083</v>
      </c>
      <c r="C19" s="1596" t="s">
        <v>2089</v>
      </c>
      <c r="D19" s="195" t="s">
        <v>2088</v>
      </c>
    </row>
    <row r="20" spans="1:4" ht="19.95" customHeight="1">
      <c r="A20" s="2099" t="s">
        <v>2584</v>
      </c>
      <c r="B20" s="2099"/>
      <c r="C20" s="2099"/>
      <c r="D20" s="2099"/>
    </row>
    <row r="21" spans="1:4" ht="19.95" customHeight="1">
      <c r="A21" s="1596" t="s">
        <v>2084</v>
      </c>
      <c r="B21" s="1596" t="s">
        <v>2087</v>
      </c>
      <c r="C21" s="1596" t="s">
        <v>2086</v>
      </c>
      <c r="D21" s="195" t="s">
        <v>2085</v>
      </c>
    </row>
    <row r="22" spans="1:4" ht="19.95" customHeight="1">
      <c r="A22" s="1596" t="s">
        <v>2084</v>
      </c>
      <c r="B22" s="1596" t="s">
        <v>2083</v>
      </c>
      <c r="C22" s="1596" t="s">
        <v>2597</v>
      </c>
      <c r="D22" s="195" t="s">
        <v>2082</v>
      </c>
    </row>
  </sheetData>
  <mergeCells count="6">
    <mergeCell ref="A13:D13"/>
    <mergeCell ref="A20:D20"/>
    <mergeCell ref="A1:D1"/>
    <mergeCell ref="A2:D2"/>
    <mergeCell ref="A5:D5"/>
    <mergeCell ref="A8:D8"/>
  </mergeCells>
  <pageMargins left="0.75" right="0.75" top="1" bottom="1" header="0.5" footer="0.5"/>
  <pageSetup orientation="landscape" r:id="rId1"/>
  <headerFooter alignWithMargins="0">
    <oddFooter>&amp;CPage &amp;P of &amp;N</oddFooter>
  </headerFooter>
  <rowBreaks count="1" manualBreakCount="1">
    <brk id="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BEA14-89A3-45DB-B593-3F76852FE492}">
  <dimension ref="A1:AF109"/>
  <sheetViews>
    <sheetView zoomScale="130" zoomScaleNormal="130" workbookViewId="0">
      <pane ySplit="6" topLeftCell="A7" activePane="bottomLeft" state="frozen"/>
      <selection activeCell="B51" sqref="B51:F51"/>
      <selection pane="bottomLeft" sqref="A1:A2"/>
    </sheetView>
  </sheetViews>
  <sheetFormatPr defaultColWidth="9.109375" defaultRowHeight="13.2"/>
  <cols>
    <col min="1" max="1" width="47.5546875" style="1954" customWidth="1"/>
    <col min="2" max="2" width="10.33203125" style="7" hidden="1" customWidth="1"/>
    <col min="3" max="3" width="21.88671875" style="1947" hidden="1" customWidth="1"/>
    <col min="4" max="4" width="4.88671875" style="9" hidden="1" customWidth="1"/>
    <col min="5" max="5" width="16.88671875" style="9" hidden="1" customWidth="1"/>
    <col min="6" max="6" width="14.88671875" style="9" hidden="1" customWidth="1"/>
    <col min="7" max="7" width="17.44140625" style="9" hidden="1" customWidth="1"/>
    <col min="8" max="8" width="4.33203125" style="9" hidden="1" customWidth="1"/>
    <col min="9" max="9" width="18.33203125" style="1954" hidden="1" customWidth="1"/>
    <col min="10" max="10" width="18.33203125" style="9" hidden="1" customWidth="1"/>
    <col min="11" max="12" width="19.109375" style="9" hidden="1" customWidth="1"/>
    <col min="13" max="13" width="13.88671875" style="9" hidden="1" customWidth="1"/>
    <col min="14" max="14" width="16" style="9" hidden="1" customWidth="1"/>
    <col min="15" max="15" width="10.5546875" style="9" hidden="1" customWidth="1"/>
    <col min="16" max="16" width="12.109375" style="9" hidden="1" customWidth="1"/>
    <col min="17" max="17" width="11" style="9" hidden="1" customWidth="1"/>
    <col min="18" max="18" width="20.33203125" style="7" customWidth="1"/>
    <col min="19" max="19" width="25.6640625" style="7" customWidth="1"/>
    <col min="20" max="20" width="18.33203125" style="1954" hidden="1" customWidth="1"/>
    <col min="21" max="21" width="18.33203125" style="9" hidden="1" customWidth="1"/>
    <col min="22" max="22" width="9.109375" style="9"/>
    <col min="23" max="25" width="12.6640625" style="7" customWidth="1"/>
    <col min="26" max="26" width="9" style="7" customWidth="1"/>
    <col min="27" max="28" width="9" style="9" customWidth="1"/>
    <col min="29" max="31" width="12.6640625" style="9" customWidth="1"/>
    <col min="32" max="32" width="9" style="9" hidden="1" customWidth="1"/>
    <col min="33" max="16384" width="9.109375" style="9"/>
  </cols>
  <sheetData>
    <row r="1" spans="1:21" ht="30" customHeight="1">
      <c r="A1" s="2103" t="s">
        <v>2628</v>
      </c>
      <c r="B1" s="2101" t="s">
        <v>2629</v>
      </c>
      <c r="C1" s="2106" t="s">
        <v>2630</v>
      </c>
      <c r="D1" s="1940"/>
      <c r="E1" s="1940"/>
      <c r="F1" s="1940"/>
      <c r="G1" s="1940"/>
      <c r="H1" s="1940"/>
      <c r="I1" s="2101" t="s">
        <v>2631</v>
      </c>
      <c r="J1" s="2101"/>
      <c r="K1" s="1940"/>
      <c r="L1" s="1940"/>
      <c r="M1" s="1940"/>
      <c r="N1" s="1940"/>
      <c r="O1" s="1940"/>
      <c r="P1" s="1940"/>
      <c r="Q1" s="1940"/>
      <c r="R1" s="2101" t="s">
        <v>2632</v>
      </c>
      <c r="S1" s="2101"/>
      <c r="T1" s="2101" t="s">
        <v>2631</v>
      </c>
      <c r="U1" s="2102"/>
    </row>
    <row r="2" spans="1:21" s="1945" customFormat="1" ht="30" customHeight="1" thickBot="1">
      <c r="A2" s="2104"/>
      <c r="B2" s="2105"/>
      <c r="C2" s="2107"/>
      <c r="D2" s="1942" t="s">
        <v>2633</v>
      </c>
      <c r="E2" s="1942" t="s">
        <v>2634</v>
      </c>
      <c r="F2" s="1942" t="s">
        <v>2635</v>
      </c>
      <c r="G2" s="1942" t="s">
        <v>2636</v>
      </c>
      <c r="H2" s="1942" t="s">
        <v>2637</v>
      </c>
      <c r="I2" s="1941" t="s">
        <v>2638</v>
      </c>
      <c r="J2" s="1941" t="s">
        <v>2639</v>
      </c>
      <c r="K2" s="1943"/>
      <c r="L2" s="1943"/>
      <c r="M2" s="1942" t="s">
        <v>2640</v>
      </c>
      <c r="N2" s="1942" t="s">
        <v>2641</v>
      </c>
      <c r="O2" s="1942" t="s">
        <v>2642</v>
      </c>
      <c r="P2" s="1942" t="s">
        <v>2643</v>
      </c>
      <c r="Q2" s="1942" t="s">
        <v>164</v>
      </c>
      <c r="R2" s="1941" t="s">
        <v>2644</v>
      </c>
      <c r="S2" s="1941" t="s">
        <v>2645</v>
      </c>
      <c r="T2" s="1941" t="s">
        <v>2638</v>
      </c>
      <c r="U2" s="1944" t="s">
        <v>2639</v>
      </c>
    </row>
    <row r="3" spans="1:21" ht="71.25" hidden="1" customHeight="1" thickBot="1">
      <c r="A3" s="1946"/>
      <c r="I3" s="1948" t="s">
        <v>2646</v>
      </c>
      <c r="J3" s="19" t="s">
        <v>2647</v>
      </c>
      <c r="K3" s="19" t="s">
        <v>2648</v>
      </c>
      <c r="L3" s="19" t="s">
        <v>2649</v>
      </c>
      <c r="T3" s="1948" t="s">
        <v>2646</v>
      </c>
      <c r="U3" s="19" t="s">
        <v>2647</v>
      </c>
    </row>
    <row r="4" spans="1:21" s="1950" customFormat="1" ht="18" hidden="1" customHeight="1">
      <c r="A4" s="1949" t="s">
        <v>2650</v>
      </c>
      <c r="B4" s="1951"/>
      <c r="C4" s="1952"/>
      <c r="I4" s="1953"/>
      <c r="R4" s="1951"/>
      <c r="S4" s="1951"/>
      <c r="T4" s="1953"/>
    </row>
    <row r="5" spans="1:21" ht="18" hidden="1" customHeight="1">
      <c r="A5" s="1946" t="s">
        <v>2651</v>
      </c>
      <c r="B5" s="7">
        <v>300</v>
      </c>
      <c r="C5" s="1947" t="s">
        <v>2652</v>
      </c>
      <c r="E5" s="9" t="s">
        <v>2653</v>
      </c>
      <c r="F5" s="9" t="s">
        <v>2654</v>
      </c>
      <c r="G5" s="9" t="s">
        <v>2651</v>
      </c>
      <c r="I5" s="1954" t="s">
        <v>1842</v>
      </c>
      <c r="K5" s="9" t="s">
        <v>1840</v>
      </c>
      <c r="L5" s="9" t="s">
        <v>1840</v>
      </c>
      <c r="T5" s="1954" t="s">
        <v>1842</v>
      </c>
    </row>
    <row r="6" spans="1:21" ht="18" hidden="1" customHeight="1">
      <c r="A6" s="1946" t="s">
        <v>2655</v>
      </c>
      <c r="B6" s="7">
        <v>300</v>
      </c>
      <c r="C6" s="1947" t="s">
        <v>2652</v>
      </c>
      <c r="E6" s="9" t="s">
        <v>2653</v>
      </c>
      <c r="F6" s="9" t="s">
        <v>2654</v>
      </c>
      <c r="G6" s="9" t="s">
        <v>2651</v>
      </c>
      <c r="I6" s="1954" t="s">
        <v>1842</v>
      </c>
      <c r="K6" s="9" t="s">
        <v>1840</v>
      </c>
      <c r="L6" s="9" t="s">
        <v>1840</v>
      </c>
      <c r="T6" s="1954" t="s">
        <v>1842</v>
      </c>
    </row>
    <row r="7" spans="1:21" s="1950" customFormat="1" ht="18" customHeight="1">
      <c r="A7" s="1955" t="s">
        <v>2656</v>
      </c>
      <c r="B7" s="1957"/>
      <c r="C7" s="1958"/>
      <c r="D7" s="1956"/>
      <c r="E7" s="1956"/>
      <c r="F7" s="1956"/>
      <c r="G7" s="1956"/>
      <c r="H7" s="1956"/>
      <c r="I7" s="1959"/>
      <c r="J7" s="1956"/>
      <c r="K7" s="1956"/>
      <c r="L7" s="1956"/>
      <c r="M7" s="1956"/>
      <c r="N7" s="1956"/>
      <c r="O7" s="1956"/>
      <c r="P7" s="1956"/>
      <c r="Q7" s="1956"/>
      <c r="R7" s="1957"/>
      <c r="S7" s="1957"/>
      <c r="T7" s="1959"/>
      <c r="U7" s="1960"/>
    </row>
    <row r="8" spans="1:21" ht="18" customHeight="1">
      <c r="A8" s="1946" t="s">
        <v>2657</v>
      </c>
      <c r="B8" s="7">
        <v>200</v>
      </c>
      <c r="C8" s="1947" t="s">
        <v>2658</v>
      </c>
      <c r="D8" s="9">
        <v>200</v>
      </c>
      <c r="E8" s="9" t="s">
        <v>1842</v>
      </c>
      <c r="F8" s="9" t="s">
        <v>2050</v>
      </c>
      <c r="G8" s="9" t="s">
        <v>2659</v>
      </c>
      <c r="I8" s="1954" t="s">
        <v>1842</v>
      </c>
      <c r="K8" s="9" t="s">
        <v>1840</v>
      </c>
      <c r="L8" s="9" t="s">
        <v>1840</v>
      </c>
      <c r="N8" s="9" t="s">
        <v>2660</v>
      </c>
      <c r="O8" s="9" t="s">
        <v>2661</v>
      </c>
      <c r="R8" s="7" t="s">
        <v>2662</v>
      </c>
      <c r="S8" s="1961" t="s">
        <v>2663</v>
      </c>
      <c r="T8" s="1954" t="s">
        <v>1842</v>
      </c>
      <c r="U8" s="1962"/>
    </row>
    <row r="9" spans="1:21" ht="18" customHeight="1">
      <c r="A9" s="1946" t="s">
        <v>2664</v>
      </c>
      <c r="B9" s="7">
        <v>200</v>
      </c>
      <c r="C9" s="1947" t="s">
        <v>2658</v>
      </c>
      <c r="D9" s="9">
        <v>200</v>
      </c>
      <c r="E9" s="9" t="s">
        <v>1842</v>
      </c>
      <c r="F9" s="9" t="s">
        <v>2050</v>
      </c>
      <c r="G9" s="9" t="s">
        <v>2659</v>
      </c>
      <c r="I9" s="1954" t="s">
        <v>1842</v>
      </c>
      <c r="K9" s="9" t="s">
        <v>1840</v>
      </c>
      <c r="L9" s="9" t="s">
        <v>1840</v>
      </c>
      <c r="N9" s="9" t="s">
        <v>2660</v>
      </c>
      <c r="O9" s="9" t="s">
        <v>2661</v>
      </c>
      <c r="R9" s="7" t="s">
        <v>2662</v>
      </c>
      <c r="S9" s="1961" t="s">
        <v>2663</v>
      </c>
      <c r="T9" s="1954" t="s">
        <v>1842</v>
      </c>
      <c r="U9" s="1962"/>
    </row>
    <row r="10" spans="1:21" ht="18" customHeight="1">
      <c r="A10" s="1946" t="s">
        <v>2665</v>
      </c>
      <c r="B10" s="7">
        <v>200</v>
      </c>
      <c r="C10" s="1947" t="s">
        <v>2658</v>
      </c>
      <c r="D10" s="9">
        <v>200</v>
      </c>
      <c r="E10" s="9" t="s">
        <v>1842</v>
      </c>
      <c r="F10" s="9" t="s">
        <v>2050</v>
      </c>
      <c r="G10" s="9" t="s">
        <v>2659</v>
      </c>
      <c r="I10" s="1954" t="s">
        <v>1842</v>
      </c>
      <c r="K10" s="9" t="s">
        <v>1840</v>
      </c>
      <c r="L10" s="9" t="s">
        <v>1840</v>
      </c>
      <c r="N10" s="9" t="s">
        <v>2660</v>
      </c>
      <c r="O10" s="9" t="s">
        <v>2666</v>
      </c>
      <c r="R10" s="7" t="s">
        <v>2662</v>
      </c>
      <c r="S10" s="1961" t="s">
        <v>2663</v>
      </c>
      <c r="T10" s="1954" t="s">
        <v>1842</v>
      </c>
      <c r="U10" s="1962"/>
    </row>
    <row r="11" spans="1:21" ht="18" customHeight="1">
      <c r="A11" s="1946" t="s">
        <v>2667</v>
      </c>
      <c r="B11" s="7">
        <v>200</v>
      </c>
      <c r="C11" s="1947" t="s">
        <v>2658</v>
      </c>
      <c r="D11" s="9">
        <v>200</v>
      </c>
      <c r="E11" s="9" t="s">
        <v>1842</v>
      </c>
      <c r="F11" s="9" t="s">
        <v>2050</v>
      </c>
      <c r="G11" s="9" t="s">
        <v>2659</v>
      </c>
      <c r="I11" s="1954" t="s">
        <v>1842</v>
      </c>
      <c r="K11" s="9" t="s">
        <v>1840</v>
      </c>
      <c r="L11" s="9" t="s">
        <v>1840</v>
      </c>
      <c r="N11" s="9" t="s">
        <v>2660</v>
      </c>
      <c r="O11" s="9" t="s">
        <v>2666</v>
      </c>
      <c r="R11" s="7" t="s">
        <v>2662</v>
      </c>
      <c r="S11" s="1961" t="s">
        <v>2663</v>
      </c>
      <c r="T11" s="1954" t="s">
        <v>1842</v>
      </c>
      <c r="U11" s="1962"/>
    </row>
    <row r="12" spans="1:21" ht="18" customHeight="1">
      <c r="A12" s="1946" t="s">
        <v>2668</v>
      </c>
      <c r="B12" s="7">
        <v>200</v>
      </c>
      <c r="C12" s="1947" t="s">
        <v>2658</v>
      </c>
      <c r="D12" s="9">
        <v>200</v>
      </c>
      <c r="E12" s="9" t="s">
        <v>1842</v>
      </c>
      <c r="F12" s="9" t="s">
        <v>2050</v>
      </c>
      <c r="G12" s="9" t="s">
        <v>2659</v>
      </c>
      <c r="I12" s="1954" t="s">
        <v>1842</v>
      </c>
      <c r="K12" s="9" t="s">
        <v>1840</v>
      </c>
      <c r="L12" s="9" t="s">
        <v>1840</v>
      </c>
      <c r="N12" s="9" t="s">
        <v>2660</v>
      </c>
      <c r="O12" s="9" t="s">
        <v>2666</v>
      </c>
      <c r="R12" s="7" t="s">
        <v>2662</v>
      </c>
      <c r="S12" s="1961" t="s">
        <v>2663</v>
      </c>
      <c r="T12" s="1954" t="s">
        <v>1842</v>
      </c>
      <c r="U12" s="1962"/>
    </row>
    <row r="13" spans="1:21" ht="18" customHeight="1">
      <c r="A13" s="1946" t="s">
        <v>2669</v>
      </c>
      <c r="B13" s="7">
        <v>200</v>
      </c>
      <c r="C13" s="1947" t="s">
        <v>2658</v>
      </c>
      <c r="D13" s="9">
        <v>200</v>
      </c>
      <c r="E13" s="9" t="s">
        <v>1842</v>
      </c>
      <c r="F13" s="9" t="s">
        <v>2050</v>
      </c>
      <c r="G13" s="9" t="s">
        <v>2659</v>
      </c>
      <c r="I13" s="1954" t="s">
        <v>1842</v>
      </c>
      <c r="K13" s="9" t="s">
        <v>1840</v>
      </c>
      <c r="L13" s="9" t="s">
        <v>1840</v>
      </c>
      <c r="N13" s="9" t="s">
        <v>2660</v>
      </c>
      <c r="O13" s="9" t="s">
        <v>2666</v>
      </c>
      <c r="R13" s="7" t="s">
        <v>2662</v>
      </c>
      <c r="S13" s="1961" t="s">
        <v>2663</v>
      </c>
      <c r="T13" s="1954" t="s">
        <v>1842</v>
      </c>
      <c r="U13" s="1962"/>
    </row>
    <row r="14" spans="1:21" ht="18" customHeight="1">
      <c r="A14" s="1946" t="s">
        <v>2670</v>
      </c>
      <c r="B14" s="7">
        <v>200</v>
      </c>
      <c r="C14" s="1947" t="s">
        <v>2658</v>
      </c>
      <c r="D14" s="9">
        <v>200</v>
      </c>
      <c r="E14" s="9" t="s">
        <v>1842</v>
      </c>
      <c r="F14" s="9" t="s">
        <v>2050</v>
      </c>
      <c r="G14" s="9" t="s">
        <v>2659</v>
      </c>
      <c r="I14" s="1954" t="s">
        <v>1842</v>
      </c>
      <c r="K14" s="9" t="s">
        <v>1840</v>
      </c>
      <c r="L14" s="9" t="s">
        <v>1840</v>
      </c>
      <c r="N14" s="9" t="s">
        <v>2660</v>
      </c>
      <c r="O14" s="9" t="s">
        <v>2666</v>
      </c>
      <c r="R14" s="7" t="s">
        <v>2662</v>
      </c>
      <c r="S14" s="1961" t="s">
        <v>2663</v>
      </c>
      <c r="T14" s="1954" t="s">
        <v>1842</v>
      </c>
      <c r="U14" s="1962"/>
    </row>
    <row r="15" spans="1:21" ht="18" customHeight="1">
      <c r="A15" s="1946" t="s">
        <v>2671</v>
      </c>
      <c r="B15" s="7">
        <v>200</v>
      </c>
      <c r="C15" s="1947" t="s">
        <v>2658</v>
      </c>
      <c r="D15" s="9">
        <v>200</v>
      </c>
      <c r="E15" s="9" t="s">
        <v>1842</v>
      </c>
      <c r="F15" s="9" t="s">
        <v>2050</v>
      </c>
      <c r="G15" s="9" t="s">
        <v>2659</v>
      </c>
      <c r="I15" s="1954" t="s">
        <v>1842</v>
      </c>
      <c r="K15" s="9" t="s">
        <v>1840</v>
      </c>
      <c r="L15" s="9" t="s">
        <v>1840</v>
      </c>
      <c r="N15" s="9" t="s">
        <v>2660</v>
      </c>
      <c r="O15" s="9" t="s">
        <v>2666</v>
      </c>
      <c r="R15" s="7" t="s">
        <v>2662</v>
      </c>
      <c r="S15" s="1961" t="s">
        <v>2663</v>
      </c>
      <c r="T15" s="1954" t="s">
        <v>1842</v>
      </c>
      <c r="U15" s="1962"/>
    </row>
    <row r="16" spans="1:21" ht="18" customHeight="1">
      <c r="A16" s="1946" t="s">
        <v>2672</v>
      </c>
      <c r="B16" s="7">
        <v>200</v>
      </c>
      <c r="C16" s="1947" t="s">
        <v>2658</v>
      </c>
      <c r="D16" s="9">
        <v>200</v>
      </c>
      <c r="E16" s="9" t="s">
        <v>1842</v>
      </c>
      <c r="F16" s="9" t="s">
        <v>2050</v>
      </c>
      <c r="G16" s="9" t="s">
        <v>2659</v>
      </c>
      <c r="I16" s="1954" t="s">
        <v>1842</v>
      </c>
      <c r="K16" s="9" t="s">
        <v>1840</v>
      </c>
      <c r="L16" s="9" t="s">
        <v>1840</v>
      </c>
      <c r="N16" s="9" t="s">
        <v>2660</v>
      </c>
      <c r="O16" s="9" t="s">
        <v>2666</v>
      </c>
      <c r="R16" s="7" t="s">
        <v>2662</v>
      </c>
      <c r="S16" s="1961" t="s">
        <v>2663</v>
      </c>
      <c r="T16" s="1954" t="s">
        <v>1842</v>
      </c>
      <c r="U16" s="1962"/>
    </row>
    <row r="17" spans="1:21" ht="18" customHeight="1">
      <c r="A17" s="1946" t="s">
        <v>2673</v>
      </c>
      <c r="B17" s="7">
        <v>200</v>
      </c>
      <c r="C17" s="1947" t="s">
        <v>2658</v>
      </c>
      <c r="D17" s="9">
        <v>200</v>
      </c>
      <c r="E17" s="9" t="s">
        <v>1842</v>
      </c>
      <c r="F17" s="9" t="s">
        <v>2050</v>
      </c>
      <c r="G17" s="9" t="s">
        <v>2659</v>
      </c>
      <c r="I17" s="1954" t="s">
        <v>1842</v>
      </c>
      <c r="K17" s="9" t="s">
        <v>1840</v>
      </c>
      <c r="L17" s="9" t="s">
        <v>1840</v>
      </c>
      <c r="N17" s="9" t="s">
        <v>2660</v>
      </c>
      <c r="O17" s="9" t="s">
        <v>2666</v>
      </c>
      <c r="R17" s="7" t="s">
        <v>2662</v>
      </c>
      <c r="S17" s="1961" t="s">
        <v>2663</v>
      </c>
      <c r="T17" s="1954" t="s">
        <v>1842</v>
      </c>
      <c r="U17" s="1962"/>
    </row>
    <row r="18" spans="1:21" ht="18" customHeight="1">
      <c r="A18" s="1946" t="s">
        <v>955</v>
      </c>
      <c r="B18" s="7">
        <v>200</v>
      </c>
      <c r="C18" s="1947" t="s">
        <v>2658</v>
      </c>
      <c r="D18" s="9">
        <v>200</v>
      </c>
      <c r="E18" s="9" t="s">
        <v>1842</v>
      </c>
      <c r="F18" s="9" t="s">
        <v>2050</v>
      </c>
      <c r="G18" s="9" t="s">
        <v>2659</v>
      </c>
      <c r="I18" s="1954" t="s">
        <v>1842</v>
      </c>
      <c r="K18" s="9" t="s">
        <v>1840</v>
      </c>
      <c r="L18" s="9" t="s">
        <v>1840</v>
      </c>
      <c r="N18" s="9" t="s">
        <v>2660</v>
      </c>
      <c r="O18" s="9" t="s">
        <v>2674</v>
      </c>
      <c r="R18" s="7" t="s">
        <v>2662</v>
      </c>
      <c r="S18" s="1961" t="s">
        <v>2663</v>
      </c>
      <c r="T18" s="1954" t="s">
        <v>1842</v>
      </c>
      <c r="U18" s="1962"/>
    </row>
    <row r="19" spans="1:21" ht="18" customHeight="1">
      <c r="A19" s="1946" t="s">
        <v>145</v>
      </c>
      <c r="B19" s="7">
        <v>200</v>
      </c>
      <c r="C19" s="1947" t="s">
        <v>2658</v>
      </c>
      <c r="D19" s="9">
        <v>200</v>
      </c>
      <c r="E19" s="9" t="s">
        <v>1842</v>
      </c>
      <c r="F19" s="9" t="s">
        <v>2050</v>
      </c>
      <c r="G19" s="9" t="s">
        <v>2659</v>
      </c>
      <c r="I19" s="1954" t="s">
        <v>1842</v>
      </c>
      <c r="K19" s="9" t="s">
        <v>1840</v>
      </c>
      <c r="L19" s="9" t="s">
        <v>1840</v>
      </c>
      <c r="N19" s="9" t="s">
        <v>2660</v>
      </c>
      <c r="R19" s="7" t="s">
        <v>2662</v>
      </c>
      <c r="S19" s="1961" t="s">
        <v>2663</v>
      </c>
      <c r="T19" s="1954" t="s">
        <v>1842</v>
      </c>
      <c r="U19" s="1962"/>
    </row>
    <row r="20" spans="1:21" ht="18" customHeight="1">
      <c r="A20" s="1946" t="s">
        <v>2675</v>
      </c>
      <c r="B20" s="7">
        <v>200</v>
      </c>
      <c r="C20" s="1947" t="s">
        <v>2658</v>
      </c>
      <c r="D20" s="9">
        <v>200</v>
      </c>
      <c r="E20" s="9" t="s">
        <v>1842</v>
      </c>
      <c r="F20" s="9" t="s">
        <v>2050</v>
      </c>
      <c r="G20" s="9" t="s">
        <v>2676</v>
      </c>
      <c r="I20" s="1954" t="s">
        <v>1842</v>
      </c>
      <c r="K20" s="9" t="s">
        <v>1840</v>
      </c>
      <c r="L20" s="9" t="s">
        <v>1840</v>
      </c>
      <c r="N20" s="9" t="s">
        <v>2660</v>
      </c>
      <c r="O20" s="9" t="s">
        <v>2677</v>
      </c>
      <c r="R20" s="7" t="s">
        <v>2662</v>
      </c>
      <c r="S20" s="7" t="s">
        <v>2630</v>
      </c>
      <c r="T20" s="1954" t="s">
        <v>1842</v>
      </c>
      <c r="U20" s="1962"/>
    </row>
    <row r="21" spans="1:21" ht="18" customHeight="1" thickBot="1">
      <c r="A21" s="1946" t="s">
        <v>2678</v>
      </c>
      <c r="B21" s="7">
        <v>200</v>
      </c>
      <c r="C21" s="1947" t="s">
        <v>2658</v>
      </c>
      <c r="D21" s="9">
        <v>200</v>
      </c>
      <c r="E21" s="9" t="s">
        <v>1842</v>
      </c>
      <c r="F21" s="9" t="s">
        <v>2050</v>
      </c>
      <c r="G21" s="9" t="s">
        <v>2679</v>
      </c>
      <c r="I21" s="1954" t="s">
        <v>1842</v>
      </c>
      <c r="K21" s="9" t="s">
        <v>1840</v>
      </c>
      <c r="L21" s="9" t="s">
        <v>1840</v>
      </c>
      <c r="R21" s="7" t="s">
        <v>2662</v>
      </c>
      <c r="S21" s="7" t="s">
        <v>2652</v>
      </c>
      <c r="T21" s="1954" t="s">
        <v>1842</v>
      </c>
      <c r="U21" s="1962"/>
    </row>
    <row r="22" spans="1:21" ht="18" hidden="1" customHeight="1" thickBot="1">
      <c r="A22" s="1963" t="s">
        <v>2680</v>
      </c>
      <c r="B22" s="1965">
        <v>200</v>
      </c>
      <c r="C22" s="1947" t="s">
        <v>2658</v>
      </c>
      <c r="D22" s="1964"/>
      <c r="E22" s="1964" t="s">
        <v>1842</v>
      </c>
      <c r="F22" s="1964" t="s">
        <v>2050</v>
      </c>
      <c r="G22" s="1964" t="s">
        <v>2681</v>
      </c>
      <c r="H22" s="1964"/>
      <c r="I22" s="1966" t="s">
        <v>2682</v>
      </c>
      <c r="J22" s="1964"/>
      <c r="K22" s="1964" t="s">
        <v>1840</v>
      </c>
      <c r="L22" s="1964" t="s">
        <v>1840</v>
      </c>
      <c r="M22" s="1964"/>
      <c r="N22" s="1964"/>
      <c r="O22" s="1964"/>
      <c r="P22" s="1964"/>
      <c r="Q22" s="1964"/>
      <c r="R22" s="1965" t="s">
        <v>2662</v>
      </c>
      <c r="S22" s="1965" t="s">
        <v>2662</v>
      </c>
      <c r="T22" s="1967" t="s">
        <v>2682</v>
      </c>
      <c r="U22" s="1962"/>
    </row>
    <row r="23" spans="1:21" ht="18" hidden="1" customHeight="1">
      <c r="A23" s="1963" t="s">
        <v>2683</v>
      </c>
      <c r="B23" s="1965">
        <v>200</v>
      </c>
      <c r="C23" s="1947" t="s">
        <v>2658</v>
      </c>
      <c r="D23" s="1964"/>
      <c r="E23" s="1964" t="s">
        <v>1842</v>
      </c>
      <c r="F23" s="1964" t="s">
        <v>2050</v>
      </c>
      <c r="G23" s="1964" t="s">
        <v>2681</v>
      </c>
      <c r="H23" s="1964"/>
      <c r="I23" s="1966" t="s">
        <v>2682</v>
      </c>
      <c r="J23" s="1964"/>
      <c r="K23" s="1964" t="s">
        <v>1840</v>
      </c>
      <c r="L23" s="1964" t="s">
        <v>1840</v>
      </c>
      <c r="M23" s="1964"/>
      <c r="N23" s="1964"/>
      <c r="O23" s="1964"/>
      <c r="P23" s="1964"/>
      <c r="Q23" s="1964"/>
      <c r="R23" s="1965" t="s">
        <v>2662</v>
      </c>
      <c r="S23" s="1965" t="s">
        <v>2662</v>
      </c>
      <c r="T23" s="1967" t="s">
        <v>2682</v>
      </c>
      <c r="U23" s="1962"/>
    </row>
    <row r="24" spans="1:21" ht="18" hidden="1" customHeight="1">
      <c r="A24" s="1968" t="s">
        <v>2684</v>
      </c>
      <c r="B24" s="1965">
        <v>200</v>
      </c>
      <c r="C24" s="1947" t="s">
        <v>2658</v>
      </c>
      <c r="D24" s="1964"/>
      <c r="E24" s="1964" t="s">
        <v>1842</v>
      </c>
      <c r="F24" s="1964" t="s">
        <v>2050</v>
      </c>
      <c r="G24" s="1964" t="s">
        <v>2685</v>
      </c>
      <c r="H24" s="1964"/>
      <c r="I24" s="1966" t="s">
        <v>2682</v>
      </c>
      <c r="J24" s="1964"/>
      <c r="K24" s="1964" t="s">
        <v>1840</v>
      </c>
      <c r="L24" s="1964" t="s">
        <v>1840</v>
      </c>
      <c r="M24" s="1964"/>
      <c r="N24" s="1964"/>
      <c r="O24" s="1964"/>
      <c r="P24" s="1964"/>
      <c r="Q24" s="1964"/>
      <c r="R24" s="1965" t="s">
        <v>2662</v>
      </c>
      <c r="S24" s="1965" t="s">
        <v>2662</v>
      </c>
      <c r="T24" s="1967" t="s">
        <v>2682</v>
      </c>
      <c r="U24" s="1962"/>
    </row>
    <row r="25" spans="1:21" ht="18" hidden="1" customHeight="1">
      <c r="A25" s="1968" t="s">
        <v>2686</v>
      </c>
      <c r="B25" s="1965">
        <v>200</v>
      </c>
      <c r="C25" s="1947" t="s">
        <v>2658</v>
      </c>
      <c r="D25" s="1964"/>
      <c r="E25" s="1964" t="s">
        <v>1842</v>
      </c>
      <c r="F25" s="1964" t="s">
        <v>2050</v>
      </c>
      <c r="G25" s="1964" t="s">
        <v>2681</v>
      </c>
      <c r="H25" s="1964"/>
      <c r="I25" s="1966" t="s">
        <v>2682</v>
      </c>
      <c r="J25" s="1964"/>
      <c r="K25" s="1964" t="s">
        <v>1840</v>
      </c>
      <c r="L25" s="1964" t="s">
        <v>1840</v>
      </c>
      <c r="M25" s="1964"/>
      <c r="N25" s="1964"/>
      <c r="O25" s="1964"/>
      <c r="P25" s="1964"/>
      <c r="Q25" s="1964"/>
      <c r="R25" s="1965" t="s">
        <v>2662</v>
      </c>
      <c r="S25" s="1965" t="s">
        <v>2662</v>
      </c>
      <c r="T25" s="1967" t="s">
        <v>2682</v>
      </c>
      <c r="U25" s="1962"/>
    </row>
    <row r="26" spans="1:21" ht="18" hidden="1" customHeight="1">
      <c r="A26" s="1969" t="s">
        <v>2687</v>
      </c>
      <c r="B26" s="1971">
        <v>200</v>
      </c>
      <c r="C26" s="1972" t="s">
        <v>2658</v>
      </c>
      <c r="D26" s="1970"/>
      <c r="E26" s="1970" t="s">
        <v>1842</v>
      </c>
      <c r="F26" s="1970" t="s">
        <v>2050</v>
      </c>
      <c r="G26" s="1970" t="s">
        <v>2659</v>
      </c>
      <c r="H26" s="1970"/>
      <c r="I26" s="1973" t="s">
        <v>2682</v>
      </c>
      <c r="J26" s="1970"/>
      <c r="K26" s="1970" t="s">
        <v>1840</v>
      </c>
      <c r="L26" s="1970" t="s">
        <v>1840</v>
      </c>
      <c r="M26" s="1970"/>
      <c r="N26" s="1970"/>
      <c r="O26" s="1970"/>
      <c r="P26" s="1970"/>
      <c r="Q26" s="1970"/>
      <c r="R26" s="1965" t="s">
        <v>2662</v>
      </c>
      <c r="S26" s="1965" t="s">
        <v>2662</v>
      </c>
      <c r="T26" s="1974" t="s">
        <v>2682</v>
      </c>
      <c r="U26" s="1975"/>
    </row>
    <row r="27" spans="1:21" s="1950" customFormat="1" ht="18" customHeight="1">
      <c r="A27" s="1955" t="s">
        <v>2688</v>
      </c>
      <c r="B27" s="1957"/>
      <c r="C27" s="1958"/>
      <c r="D27" s="1956"/>
      <c r="E27" s="1956"/>
      <c r="F27" s="1956"/>
      <c r="G27" s="1956"/>
      <c r="H27" s="1956"/>
      <c r="I27" s="1959"/>
      <c r="J27" s="1956"/>
      <c r="K27" s="1956"/>
      <c r="L27" s="1956"/>
      <c r="M27" s="1956"/>
      <c r="N27" s="1956"/>
      <c r="O27" s="1956"/>
      <c r="P27" s="1956"/>
      <c r="Q27" s="1956"/>
      <c r="R27" s="1957"/>
      <c r="S27" s="1957"/>
      <c r="T27" s="1959"/>
      <c r="U27" s="1960"/>
    </row>
    <row r="28" spans="1:21" ht="18" customHeight="1">
      <c r="A28" s="1946" t="s">
        <v>2689</v>
      </c>
      <c r="B28" s="7">
        <v>300</v>
      </c>
      <c r="C28" s="1947" t="s">
        <v>2658</v>
      </c>
      <c r="E28" s="9" t="s">
        <v>1840</v>
      </c>
      <c r="F28" s="9" t="s">
        <v>308</v>
      </c>
      <c r="G28" s="9" t="s">
        <v>2690</v>
      </c>
      <c r="I28" s="1954" t="s">
        <v>1842</v>
      </c>
      <c r="J28" s="9" t="s">
        <v>2691</v>
      </c>
      <c r="K28" s="9" t="s">
        <v>1840</v>
      </c>
      <c r="L28" s="9" t="s">
        <v>1842</v>
      </c>
      <c r="M28" s="9" t="s">
        <v>2050</v>
      </c>
      <c r="O28" s="9" t="s">
        <v>2692</v>
      </c>
      <c r="R28" s="1961" t="s">
        <v>2652</v>
      </c>
      <c r="S28" s="7" t="s">
        <v>2652</v>
      </c>
      <c r="T28" s="1954" t="s">
        <v>1842</v>
      </c>
      <c r="U28" s="1962" t="s">
        <v>2691</v>
      </c>
    </row>
    <row r="29" spans="1:21" ht="18" customHeight="1">
      <c r="A29" s="1946" t="s">
        <v>2693</v>
      </c>
      <c r="B29" s="7">
        <v>300</v>
      </c>
      <c r="C29" s="1947" t="s">
        <v>2658</v>
      </c>
      <c r="E29" s="9" t="s">
        <v>1840</v>
      </c>
      <c r="F29" s="9" t="s">
        <v>308</v>
      </c>
      <c r="G29" s="9" t="s">
        <v>2690</v>
      </c>
      <c r="I29" s="1954" t="s">
        <v>1842</v>
      </c>
      <c r="J29" s="9" t="s">
        <v>2691</v>
      </c>
      <c r="K29" s="9" t="s">
        <v>1840</v>
      </c>
      <c r="L29" s="9" t="s">
        <v>1842</v>
      </c>
      <c r="M29" s="9" t="s">
        <v>2050</v>
      </c>
      <c r="O29" s="9" t="s">
        <v>2692</v>
      </c>
      <c r="R29" s="7" t="s">
        <v>2630</v>
      </c>
      <c r="S29" s="7" t="s">
        <v>2652</v>
      </c>
      <c r="T29" s="1954" t="s">
        <v>1842</v>
      </c>
      <c r="U29" s="1962" t="s">
        <v>2691</v>
      </c>
    </row>
    <row r="30" spans="1:21" ht="18" customHeight="1">
      <c r="A30" s="1946" t="s">
        <v>2694</v>
      </c>
      <c r="B30" s="7">
        <v>200</v>
      </c>
      <c r="C30" s="1954" t="s">
        <v>2662</v>
      </c>
      <c r="E30" s="9" t="s">
        <v>1840</v>
      </c>
      <c r="F30" s="9" t="s">
        <v>308</v>
      </c>
      <c r="G30" s="9" t="s">
        <v>2695</v>
      </c>
      <c r="I30" s="1954" t="s">
        <v>1842</v>
      </c>
      <c r="J30" s="9" t="s">
        <v>2696</v>
      </c>
      <c r="K30" s="9" t="s">
        <v>1840</v>
      </c>
      <c r="L30" s="9" t="s">
        <v>1842</v>
      </c>
      <c r="M30" s="9" t="s">
        <v>2050</v>
      </c>
      <c r="O30" s="9" t="s">
        <v>2697</v>
      </c>
      <c r="R30" s="1961" t="s">
        <v>2652</v>
      </c>
      <c r="S30" s="7" t="s">
        <v>2652</v>
      </c>
      <c r="T30" s="1954" t="s">
        <v>1842</v>
      </c>
      <c r="U30" s="1962" t="s">
        <v>2696</v>
      </c>
    </row>
    <row r="31" spans="1:21" ht="18" customHeight="1">
      <c r="A31" s="1976" t="s">
        <v>2698</v>
      </c>
      <c r="B31" s="7">
        <v>300</v>
      </c>
      <c r="C31" s="1947" t="s">
        <v>2662</v>
      </c>
      <c r="E31" s="9" t="s">
        <v>1842</v>
      </c>
      <c r="F31" s="9" t="s">
        <v>308</v>
      </c>
      <c r="G31" s="9" t="s">
        <v>2690</v>
      </c>
      <c r="I31" s="1954" t="s">
        <v>1842</v>
      </c>
      <c r="J31" s="9" t="s">
        <v>2691</v>
      </c>
      <c r="K31" s="9" t="s">
        <v>1842</v>
      </c>
      <c r="L31" s="9" t="s">
        <v>1842</v>
      </c>
      <c r="M31" s="9" t="s">
        <v>2050</v>
      </c>
      <c r="O31" s="9" t="s">
        <v>2699</v>
      </c>
      <c r="R31" s="7" t="s">
        <v>2630</v>
      </c>
      <c r="S31" s="7" t="s">
        <v>2652</v>
      </c>
      <c r="T31" s="1954" t="s">
        <v>1842</v>
      </c>
      <c r="U31" s="1962" t="s">
        <v>2691</v>
      </c>
    </row>
    <row r="32" spans="1:21" ht="18" customHeight="1">
      <c r="A32" s="1946" t="s">
        <v>2700</v>
      </c>
      <c r="B32" s="7">
        <v>300</v>
      </c>
      <c r="C32" s="1947" t="s">
        <v>2658</v>
      </c>
      <c r="E32" s="9" t="s">
        <v>1840</v>
      </c>
      <c r="F32" s="9" t="s">
        <v>308</v>
      </c>
      <c r="G32" s="9" t="s">
        <v>2690</v>
      </c>
      <c r="I32" s="1954" t="s">
        <v>1842</v>
      </c>
      <c r="J32" s="9" t="s">
        <v>2691</v>
      </c>
      <c r="K32" s="9" t="s">
        <v>1840</v>
      </c>
      <c r="L32" s="9" t="s">
        <v>1842</v>
      </c>
      <c r="M32" s="9" t="s">
        <v>2050</v>
      </c>
      <c r="O32" s="9" t="s">
        <v>2692</v>
      </c>
      <c r="R32" s="7" t="s">
        <v>2630</v>
      </c>
      <c r="S32" s="7" t="s">
        <v>2652</v>
      </c>
      <c r="T32" s="1954" t="s">
        <v>1842</v>
      </c>
      <c r="U32" s="1962" t="s">
        <v>2691</v>
      </c>
    </row>
    <row r="33" spans="1:21" ht="18" hidden="1" customHeight="1">
      <c r="A33" s="1946" t="s">
        <v>2701</v>
      </c>
      <c r="B33" s="7">
        <v>300</v>
      </c>
      <c r="C33" s="1947" t="s">
        <v>2658</v>
      </c>
      <c r="E33" s="9" t="s">
        <v>1840</v>
      </c>
      <c r="F33" s="9" t="s">
        <v>308</v>
      </c>
      <c r="G33" s="9" t="s">
        <v>2679</v>
      </c>
      <c r="I33" s="1954" t="s">
        <v>1842</v>
      </c>
      <c r="J33" s="9" t="s">
        <v>2691</v>
      </c>
      <c r="K33" s="9" t="s">
        <v>1840</v>
      </c>
      <c r="L33" s="9" t="s">
        <v>1842</v>
      </c>
      <c r="M33" s="9" t="s">
        <v>2050</v>
      </c>
      <c r="O33" s="9" t="s">
        <v>2692</v>
      </c>
      <c r="R33" s="7" t="s">
        <v>2630</v>
      </c>
      <c r="S33" s="7" t="s">
        <v>2652</v>
      </c>
      <c r="T33" s="1954" t="s">
        <v>1842</v>
      </c>
      <c r="U33" s="1962" t="s">
        <v>2691</v>
      </c>
    </row>
    <row r="34" spans="1:21" ht="18" customHeight="1" thickBot="1">
      <c r="A34" s="1946" t="s">
        <v>2702</v>
      </c>
      <c r="B34" s="7">
        <v>300</v>
      </c>
      <c r="C34" s="1947" t="s">
        <v>2658</v>
      </c>
      <c r="E34" s="9" t="s">
        <v>1840</v>
      </c>
      <c r="F34" s="9" t="s">
        <v>308</v>
      </c>
      <c r="G34" s="9" t="s">
        <v>2703</v>
      </c>
      <c r="I34" s="1954" t="s">
        <v>1842</v>
      </c>
      <c r="J34" s="9" t="s">
        <v>2691</v>
      </c>
      <c r="K34" s="9" t="s">
        <v>1840</v>
      </c>
      <c r="L34" s="9" t="s">
        <v>1842</v>
      </c>
      <c r="M34" s="9" t="s">
        <v>2050</v>
      </c>
      <c r="O34" s="9" t="s">
        <v>2692</v>
      </c>
      <c r="R34" s="7" t="s">
        <v>2630</v>
      </c>
      <c r="S34" s="7" t="s">
        <v>2652</v>
      </c>
      <c r="T34" s="1954" t="s">
        <v>1842</v>
      </c>
      <c r="U34" s="1962" t="s">
        <v>2691</v>
      </c>
    </row>
    <row r="35" spans="1:21" ht="18" hidden="1" customHeight="1" thickBot="1">
      <c r="A35" s="1946" t="s">
        <v>2704</v>
      </c>
      <c r="B35" s="7">
        <v>300</v>
      </c>
      <c r="C35" s="1947" t="s">
        <v>2658</v>
      </c>
      <c r="E35" s="9" t="s">
        <v>1840</v>
      </c>
      <c r="F35" s="9" t="s">
        <v>2705</v>
      </c>
      <c r="G35" s="9" t="s">
        <v>2706</v>
      </c>
      <c r="I35" s="1954" t="s">
        <v>1842</v>
      </c>
      <c r="J35" s="9" t="s">
        <v>2691</v>
      </c>
      <c r="K35" s="9" t="s">
        <v>1840</v>
      </c>
      <c r="L35" s="9" t="s">
        <v>1842</v>
      </c>
      <c r="M35" s="9" t="s">
        <v>2050</v>
      </c>
      <c r="O35" s="9" t="s">
        <v>2692</v>
      </c>
      <c r="R35" s="7" t="s">
        <v>2630</v>
      </c>
      <c r="S35" s="7" t="s">
        <v>2630</v>
      </c>
      <c r="T35" s="1954" t="s">
        <v>1842</v>
      </c>
      <c r="U35" s="1962" t="s">
        <v>2691</v>
      </c>
    </row>
    <row r="36" spans="1:21" ht="18" hidden="1" customHeight="1">
      <c r="A36" s="1946" t="s">
        <v>2707</v>
      </c>
      <c r="B36" s="7">
        <v>300</v>
      </c>
      <c r="C36" s="1947" t="s">
        <v>2658</v>
      </c>
      <c r="E36" s="9" t="s">
        <v>1840</v>
      </c>
      <c r="F36" s="9" t="s">
        <v>149</v>
      </c>
      <c r="G36" s="9" t="s">
        <v>2708</v>
      </c>
      <c r="I36" s="1954" t="s">
        <v>1842</v>
      </c>
      <c r="J36" s="9" t="s">
        <v>2691</v>
      </c>
      <c r="K36" s="9" t="s">
        <v>1840</v>
      </c>
      <c r="L36" s="9" t="s">
        <v>1842</v>
      </c>
      <c r="M36" s="9" t="s">
        <v>2050</v>
      </c>
      <c r="O36" s="9" t="s">
        <v>2692</v>
      </c>
      <c r="R36" s="7" t="s">
        <v>2630</v>
      </c>
      <c r="S36" s="7" t="s">
        <v>2630</v>
      </c>
      <c r="T36" s="1954" t="s">
        <v>1842</v>
      </c>
      <c r="U36" s="1962" t="s">
        <v>2691</v>
      </c>
    </row>
    <row r="37" spans="1:21" s="1950" customFormat="1" ht="18" customHeight="1">
      <c r="A37" s="1955" t="s">
        <v>2709</v>
      </c>
      <c r="B37" s="1957"/>
      <c r="C37" s="1958"/>
      <c r="D37" s="1956"/>
      <c r="E37" s="1956"/>
      <c r="F37" s="1956"/>
      <c r="G37" s="1956"/>
      <c r="H37" s="1956"/>
      <c r="I37" s="1959"/>
      <c r="J37" s="1956"/>
      <c r="K37" s="1956"/>
      <c r="L37" s="1956"/>
      <c r="M37" s="1956"/>
      <c r="N37" s="1956"/>
      <c r="O37" s="1956"/>
      <c r="P37" s="1956"/>
      <c r="Q37" s="1956"/>
      <c r="R37" s="1957"/>
      <c r="S37" s="1957"/>
      <c r="T37" s="1959"/>
      <c r="U37" s="1960"/>
    </row>
    <row r="38" spans="1:21" ht="18" customHeight="1">
      <c r="A38" s="1946" t="s">
        <v>2710</v>
      </c>
      <c r="B38" s="7">
        <v>200</v>
      </c>
      <c r="C38" s="1947" t="s">
        <v>2658</v>
      </c>
      <c r="E38" s="9" t="s">
        <v>1842</v>
      </c>
      <c r="F38" s="9" t="s">
        <v>308</v>
      </c>
      <c r="G38" s="9" t="s">
        <v>2711</v>
      </c>
      <c r="I38" s="1954" t="s">
        <v>1842</v>
      </c>
      <c r="J38" s="9" t="s">
        <v>2050</v>
      </c>
      <c r="K38" s="9" t="s">
        <v>2712</v>
      </c>
      <c r="L38" s="9" t="s">
        <v>1842</v>
      </c>
      <c r="M38" s="9" t="s">
        <v>2050</v>
      </c>
      <c r="O38" s="9" t="s">
        <v>2713</v>
      </c>
      <c r="R38" s="7" t="s">
        <v>2662</v>
      </c>
      <c r="S38" s="7" t="s">
        <v>2714</v>
      </c>
      <c r="T38" s="1954" t="s">
        <v>1842</v>
      </c>
      <c r="U38" s="1962" t="s">
        <v>2050</v>
      </c>
    </row>
    <row r="39" spans="1:21" ht="18" customHeight="1">
      <c r="A39" s="1946" t="s">
        <v>2464</v>
      </c>
      <c r="B39" s="7">
        <v>200</v>
      </c>
      <c r="C39" s="1947" t="s">
        <v>2658</v>
      </c>
      <c r="E39" s="9" t="s">
        <v>1842</v>
      </c>
      <c r="F39" s="9" t="s">
        <v>308</v>
      </c>
      <c r="G39" s="9" t="s">
        <v>2711</v>
      </c>
      <c r="I39" s="1954" t="s">
        <v>1842</v>
      </c>
      <c r="J39" s="9" t="s">
        <v>2050</v>
      </c>
      <c r="K39" s="9" t="s">
        <v>2712</v>
      </c>
      <c r="L39" s="9" t="s">
        <v>1842</v>
      </c>
      <c r="M39" s="9" t="s">
        <v>2050</v>
      </c>
      <c r="O39" s="9" t="s">
        <v>2713</v>
      </c>
      <c r="R39" s="7" t="s">
        <v>2662</v>
      </c>
      <c r="S39" s="7" t="s">
        <v>2714</v>
      </c>
      <c r="T39" s="1954" t="s">
        <v>1842</v>
      </c>
      <c r="U39" s="1962" t="s">
        <v>2050</v>
      </c>
    </row>
    <row r="40" spans="1:21" ht="18" customHeight="1">
      <c r="A40" s="1946" t="s">
        <v>2715</v>
      </c>
      <c r="B40" s="7">
        <v>200</v>
      </c>
      <c r="C40" s="1947" t="s">
        <v>2658</v>
      </c>
      <c r="E40" s="9" t="s">
        <v>1842</v>
      </c>
      <c r="F40" s="9" t="s">
        <v>308</v>
      </c>
      <c r="G40" s="9" t="s">
        <v>2711</v>
      </c>
      <c r="I40" s="1954" t="s">
        <v>1842</v>
      </c>
      <c r="J40" s="9" t="s">
        <v>2050</v>
      </c>
      <c r="K40" s="9" t="s">
        <v>2712</v>
      </c>
      <c r="L40" s="9" t="s">
        <v>1842</v>
      </c>
      <c r="M40" s="9" t="s">
        <v>2050</v>
      </c>
      <c r="O40" s="9" t="s">
        <v>2713</v>
      </c>
      <c r="R40" s="7" t="s">
        <v>2662</v>
      </c>
      <c r="S40" s="7" t="s">
        <v>2714</v>
      </c>
      <c r="T40" s="1954" t="s">
        <v>1842</v>
      </c>
      <c r="U40" s="1962" t="s">
        <v>2050</v>
      </c>
    </row>
    <row r="41" spans="1:21" ht="18" customHeight="1">
      <c r="A41" s="1946" t="s">
        <v>2716</v>
      </c>
      <c r="B41" s="7">
        <v>200</v>
      </c>
      <c r="C41" s="1947" t="s">
        <v>2658</v>
      </c>
      <c r="E41" s="9" t="s">
        <v>1842</v>
      </c>
      <c r="F41" s="9" t="s">
        <v>308</v>
      </c>
      <c r="G41" s="9" t="s">
        <v>2711</v>
      </c>
      <c r="I41" s="1954" t="s">
        <v>1842</v>
      </c>
      <c r="J41" s="9" t="s">
        <v>2050</v>
      </c>
      <c r="K41" s="9" t="s">
        <v>2712</v>
      </c>
      <c r="L41" s="9" t="s">
        <v>1842</v>
      </c>
      <c r="M41" s="9" t="s">
        <v>2050</v>
      </c>
      <c r="O41" s="9" t="s">
        <v>2713</v>
      </c>
      <c r="R41" s="7" t="s">
        <v>2662</v>
      </c>
      <c r="S41" s="7" t="s">
        <v>2714</v>
      </c>
      <c r="T41" s="1954" t="s">
        <v>1842</v>
      </c>
      <c r="U41" s="1962" t="s">
        <v>2050</v>
      </c>
    </row>
    <row r="42" spans="1:21" ht="18" customHeight="1">
      <c r="A42" s="1946" t="s">
        <v>2717</v>
      </c>
      <c r="B42" s="7">
        <v>200</v>
      </c>
      <c r="C42" s="1947" t="s">
        <v>2658</v>
      </c>
      <c r="E42" s="9" t="s">
        <v>1842</v>
      </c>
      <c r="F42" s="9" t="s">
        <v>308</v>
      </c>
      <c r="G42" s="9" t="s">
        <v>2711</v>
      </c>
      <c r="I42" s="1954" t="s">
        <v>1842</v>
      </c>
      <c r="J42" s="9" t="s">
        <v>2050</v>
      </c>
      <c r="K42" s="9" t="s">
        <v>2712</v>
      </c>
      <c r="L42" s="9" t="s">
        <v>1842</v>
      </c>
      <c r="M42" s="9" t="s">
        <v>2050</v>
      </c>
      <c r="O42" s="9" t="s">
        <v>2713</v>
      </c>
      <c r="R42" s="7" t="s">
        <v>2662</v>
      </c>
      <c r="S42" s="7" t="s">
        <v>2714</v>
      </c>
      <c r="T42" s="1954" t="s">
        <v>1842</v>
      </c>
      <c r="U42" s="1962" t="s">
        <v>2050</v>
      </c>
    </row>
    <row r="43" spans="1:21" ht="18" customHeight="1" thickBot="1">
      <c r="A43" s="1977" t="s">
        <v>2718</v>
      </c>
      <c r="B43" s="1979">
        <v>200</v>
      </c>
      <c r="C43" s="1972" t="s">
        <v>2658</v>
      </c>
      <c r="D43" s="1978"/>
      <c r="E43" s="1978" t="s">
        <v>1842</v>
      </c>
      <c r="F43" s="1978" t="s">
        <v>308</v>
      </c>
      <c r="G43" s="1978" t="s">
        <v>2711</v>
      </c>
      <c r="H43" s="1978"/>
      <c r="I43" s="1980" t="s">
        <v>1842</v>
      </c>
      <c r="J43" s="1978" t="s">
        <v>2050</v>
      </c>
      <c r="K43" s="1978" t="s">
        <v>2712</v>
      </c>
      <c r="L43" s="1978" t="s">
        <v>1842</v>
      </c>
      <c r="M43" s="1978" t="s">
        <v>2050</v>
      </c>
      <c r="N43" s="1978"/>
      <c r="O43" s="1978" t="s">
        <v>2713</v>
      </c>
      <c r="P43" s="1978"/>
      <c r="Q43" s="1978"/>
      <c r="R43" s="7" t="s">
        <v>2662</v>
      </c>
      <c r="S43" s="7" t="s">
        <v>2714</v>
      </c>
      <c r="T43" s="1980" t="s">
        <v>1842</v>
      </c>
      <c r="U43" s="1975" t="s">
        <v>2050</v>
      </c>
    </row>
    <row r="44" spans="1:21" s="1950" customFormat="1" ht="18" customHeight="1">
      <c r="A44" s="1955" t="s">
        <v>2719</v>
      </c>
      <c r="B44" s="1957"/>
      <c r="C44" s="1958"/>
      <c r="D44" s="1956"/>
      <c r="E44" s="1956"/>
      <c r="F44" s="1956"/>
      <c r="G44" s="1956"/>
      <c r="H44" s="1956"/>
      <c r="I44" s="1959"/>
      <c r="J44" s="1956"/>
      <c r="K44" s="1956"/>
      <c r="L44" s="1956"/>
      <c r="M44" s="1956"/>
      <c r="N44" s="1956"/>
      <c r="O44" s="1956"/>
      <c r="P44" s="1956"/>
      <c r="Q44" s="1956"/>
      <c r="R44" s="1957"/>
      <c r="S44" s="1957"/>
      <c r="T44" s="1959"/>
      <c r="U44" s="1960"/>
    </row>
    <row r="45" spans="1:21" ht="18" customHeight="1">
      <c r="A45" s="1946" t="s">
        <v>2720</v>
      </c>
      <c r="B45" s="7">
        <v>300</v>
      </c>
      <c r="C45" s="1947" t="s">
        <v>2652</v>
      </c>
      <c r="E45" s="9" t="s">
        <v>2721</v>
      </c>
      <c r="F45" s="9" t="s">
        <v>2050</v>
      </c>
      <c r="G45" s="9" t="s">
        <v>2679</v>
      </c>
      <c r="I45" s="1954" t="s">
        <v>1840</v>
      </c>
      <c r="J45" s="9" t="s">
        <v>1840</v>
      </c>
      <c r="K45" s="9" t="s">
        <v>1842</v>
      </c>
      <c r="L45" s="9" t="s">
        <v>2050</v>
      </c>
      <c r="N45" s="9" t="s">
        <v>2722</v>
      </c>
      <c r="O45" s="9" t="s">
        <v>2723</v>
      </c>
      <c r="R45" s="7" t="s">
        <v>2662</v>
      </c>
      <c r="S45" s="7" t="s">
        <v>2652</v>
      </c>
      <c r="T45" s="1954" t="s">
        <v>1840</v>
      </c>
      <c r="U45" s="1962" t="s">
        <v>1840</v>
      </c>
    </row>
    <row r="46" spans="1:21" ht="18" customHeight="1">
      <c r="A46" s="1946" t="s">
        <v>2724</v>
      </c>
      <c r="B46" s="7">
        <v>300</v>
      </c>
      <c r="C46" s="1947" t="s">
        <v>2652</v>
      </c>
      <c r="E46" s="9" t="s">
        <v>2721</v>
      </c>
      <c r="F46" s="9" t="s">
        <v>2050</v>
      </c>
      <c r="G46" s="9" t="s">
        <v>2679</v>
      </c>
      <c r="I46" s="1954" t="s">
        <v>1840</v>
      </c>
      <c r="J46" s="9" t="s">
        <v>1840</v>
      </c>
      <c r="K46" s="9" t="s">
        <v>1842</v>
      </c>
      <c r="L46" s="9" t="s">
        <v>2050</v>
      </c>
      <c r="N46" s="9" t="s">
        <v>2722</v>
      </c>
      <c r="O46" s="9" t="s">
        <v>2723</v>
      </c>
      <c r="R46" s="7" t="s">
        <v>2662</v>
      </c>
      <c r="S46" s="7" t="s">
        <v>2652</v>
      </c>
      <c r="T46" s="1954" t="s">
        <v>1840</v>
      </c>
      <c r="U46" s="1962" t="s">
        <v>1840</v>
      </c>
    </row>
    <row r="47" spans="1:21" ht="18" customHeight="1">
      <c r="A47" s="1946" t="s">
        <v>2725</v>
      </c>
      <c r="B47" s="7">
        <v>300</v>
      </c>
      <c r="C47" s="1947" t="s">
        <v>2652</v>
      </c>
      <c r="E47" s="9" t="s">
        <v>2721</v>
      </c>
      <c r="F47" s="9" t="s">
        <v>2050</v>
      </c>
      <c r="G47" s="9" t="s">
        <v>2679</v>
      </c>
      <c r="I47" s="1954" t="s">
        <v>1840</v>
      </c>
      <c r="J47" s="9" t="s">
        <v>1840</v>
      </c>
      <c r="K47" s="9" t="s">
        <v>1842</v>
      </c>
      <c r="L47" s="9" t="s">
        <v>2050</v>
      </c>
      <c r="R47" s="7" t="s">
        <v>2662</v>
      </c>
      <c r="S47" s="7" t="s">
        <v>2652</v>
      </c>
      <c r="T47" s="1954" t="s">
        <v>1840</v>
      </c>
      <c r="U47" s="1962" t="s">
        <v>1840</v>
      </c>
    </row>
    <row r="48" spans="1:21" ht="18" customHeight="1">
      <c r="A48" s="1946" t="s">
        <v>2726</v>
      </c>
      <c r="B48" s="7">
        <v>300</v>
      </c>
      <c r="C48" s="1947" t="s">
        <v>2652</v>
      </c>
      <c r="E48" s="9" t="s">
        <v>2721</v>
      </c>
      <c r="F48" s="9" t="s">
        <v>2050</v>
      </c>
      <c r="G48" s="9" t="s">
        <v>2679</v>
      </c>
      <c r="I48" s="1954" t="s">
        <v>1840</v>
      </c>
      <c r="J48" s="9" t="s">
        <v>1840</v>
      </c>
      <c r="K48" s="9" t="s">
        <v>1842</v>
      </c>
      <c r="L48" s="9" t="s">
        <v>2050</v>
      </c>
      <c r="R48" s="7" t="s">
        <v>2662</v>
      </c>
      <c r="S48" s="7" t="s">
        <v>2652</v>
      </c>
      <c r="T48" s="1954" t="s">
        <v>1840</v>
      </c>
      <c r="U48" s="1962" t="s">
        <v>1840</v>
      </c>
    </row>
    <row r="49" spans="1:21" ht="18" customHeight="1" thickBot="1">
      <c r="A49" s="1946" t="s">
        <v>2727</v>
      </c>
      <c r="B49" s="7">
        <v>300</v>
      </c>
      <c r="C49" s="1947" t="s">
        <v>2652</v>
      </c>
      <c r="E49" s="9" t="s">
        <v>2721</v>
      </c>
      <c r="F49" s="9" t="s">
        <v>2050</v>
      </c>
      <c r="G49" s="9" t="s">
        <v>2679</v>
      </c>
      <c r="I49" s="1954" t="s">
        <v>1840</v>
      </c>
      <c r="J49" s="9" t="s">
        <v>1840</v>
      </c>
      <c r="K49" s="9" t="s">
        <v>1842</v>
      </c>
      <c r="L49" s="9" t="s">
        <v>2050</v>
      </c>
      <c r="R49" s="7" t="s">
        <v>2662</v>
      </c>
      <c r="S49" s="7" t="s">
        <v>2652</v>
      </c>
      <c r="T49" s="1954" t="s">
        <v>1840</v>
      </c>
      <c r="U49" s="1962" t="s">
        <v>1840</v>
      </c>
    </row>
    <row r="50" spans="1:21" ht="18" hidden="1" customHeight="1" thickBot="1">
      <c r="A50" s="1977" t="s">
        <v>2728</v>
      </c>
      <c r="B50" s="1979"/>
      <c r="C50" s="1972"/>
      <c r="D50" s="1978"/>
      <c r="E50" s="1978"/>
      <c r="F50" s="1978"/>
      <c r="G50" s="1978"/>
      <c r="H50" s="1978"/>
      <c r="I50" s="1980"/>
      <c r="J50" s="1978"/>
      <c r="K50" s="1978" t="s">
        <v>1842</v>
      </c>
      <c r="L50" s="1978" t="s">
        <v>2050</v>
      </c>
      <c r="M50" s="1978"/>
      <c r="N50" s="1978"/>
      <c r="O50" s="1978"/>
      <c r="P50" s="1978"/>
      <c r="Q50" s="1978"/>
      <c r="R50" s="1979"/>
      <c r="S50" s="1979"/>
      <c r="T50" s="1980"/>
      <c r="U50" s="1975"/>
    </row>
    <row r="51" spans="1:21" s="1950" customFormat="1" ht="18" hidden="1" customHeight="1">
      <c r="A51" s="1955" t="s">
        <v>2655</v>
      </c>
      <c r="B51" s="1957"/>
      <c r="C51" s="1958"/>
      <c r="D51" s="1956"/>
      <c r="E51" s="1956"/>
      <c r="F51" s="1956"/>
      <c r="G51" s="1956"/>
      <c r="H51" s="1956"/>
      <c r="I51" s="1959"/>
      <c r="J51" s="1956"/>
      <c r="K51" s="1956"/>
      <c r="L51" s="1956"/>
      <c r="M51" s="1956"/>
      <c r="N51" s="1956"/>
      <c r="O51" s="1956"/>
      <c r="P51" s="1956"/>
      <c r="Q51" s="1956"/>
      <c r="R51" s="1957"/>
      <c r="S51" s="1957"/>
      <c r="T51" s="1959"/>
      <c r="U51" s="1960"/>
    </row>
    <row r="52" spans="1:21" ht="18" hidden="1" customHeight="1">
      <c r="A52" s="1976" t="s">
        <v>2729</v>
      </c>
      <c r="B52" s="7">
        <v>300</v>
      </c>
      <c r="C52" s="1947" t="s">
        <v>2652</v>
      </c>
      <c r="E52" s="9" t="s">
        <v>2721</v>
      </c>
      <c r="F52" s="9" t="s">
        <v>2050</v>
      </c>
      <c r="G52" s="9" t="s">
        <v>2679</v>
      </c>
      <c r="I52" s="1954" t="s">
        <v>1840</v>
      </c>
      <c r="J52" s="9" t="s">
        <v>1840</v>
      </c>
      <c r="K52" s="9" t="s">
        <v>1842</v>
      </c>
      <c r="L52" s="9" t="s">
        <v>2050</v>
      </c>
      <c r="N52" s="9" t="s">
        <v>2722</v>
      </c>
      <c r="O52" s="9" t="s">
        <v>2723</v>
      </c>
      <c r="R52" s="1961" t="s">
        <v>2050</v>
      </c>
      <c r="S52" s="7" t="s">
        <v>2652</v>
      </c>
      <c r="T52" s="1954" t="s">
        <v>1840</v>
      </c>
      <c r="U52" s="1962" t="s">
        <v>1840</v>
      </c>
    </row>
    <row r="53" spans="1:21" ht="18" hidden="1" customHeight="1">
      <c r="A53" s="1976" t="s">
        <v>2730</v>
      </c>
      <c r="B53" s="7">
        <v>300</v>
      </c>
      <c r="C53" s="1947" t="s">
        <v>2652</v>
      </c>
      <c r="E53" s="9" t="s">
        <v>2721</v>
      </c>
      <c r="F53" s="9" t="s">
        <v>2050</v>
      </c>
      <c r="G53" s="9" t="s">
        <v>2679</v>
      </c>
      <c r="I53" s="1954" t="s">
        <v>1840</v>
      </c>
      <c r="J53" s="9" t="s">
        <v>1840</v>
      </c>
      <c r="K53" s="9" t="s">
        <v>1842</v>
      </c>
      <c r="L53" s="9" t="s">
        <v>2050</v>
      </c>
      <c r="N53" s="9" t="s">
        <v>2722</v>
      </c>
      <c r="O53" s="9" t="s">
        <v>2723</v>
      </c>
      <c r="R53" s="1961" t="s">
        <v>2050</v>
      </c>
      <c r="S53" s="7" t="s">
        <v>2652</v>
      </c>
      <c r="T53" s="1954" t="s">
        <v>1840</v>
      </c>
      <c r="U53" s="1962" t="s">
        <v>1840</v>
      </c>
    </row>
    <row r="54" spans="1:21" ht="18" hidden="1" customHeight="1">
      <c r="A54" s="1976" t="s">
        <v>2731</v>
      </c>
      <c r="B54" s="7">
        <v>300</v>
      </c>
      <c r="C54" s="1947" t="s">
        <v>2652</v>
      </c>
      <c r="E54" s="9" t="s">
        <v>2721</v>
      </c>
      <c r="F54" s="9" t="s">
        <v>2050</v>
      </c>
      <c r="G54" s="9" t="s">
        <v>2679</v>
      </c>
      <c r="I54" s="1954" t="s">
        <v>1840</v>
      </c>
      <c r="J54" s="9" t="s">
        <v>1840</v>
      </c>
      <c r="K54" s="9" t="s">
        <v>1842</v>
      </c>
      <c r="L54" s="9" t="s">
        <v>2050</v>
      </c>
      <c r="R54" s="1961" t="s">
        <v>2050</v>
      </c>
      <c r="S54" s="7" t="s">
        <v>2652</v>
      </c>
      <c r="T54" s="1954" t="s">
        <v>1840</v>
      </c>
      <c r="U54" s="1962" t="s">
        <v>1840</v>
      </c>
    </row>
    <row r="55" spans="1:21" ht="18" hidden="1" customHeight="1">
      <c r="A55" s="1976" t="s">
        <v>2732</v>
      </c>
      <c r="B55" s="7">
        <v>300</v>
      </c>
      <c r="C55" s="1947" t="s">
        <v>2652</v>
      </c>
      <c r="E55" s="9" t="s">
        <v>2721</v>
      </c>
      <c r="F55" s="9" t="s">
        <v>2050</v>
      </c>
      <c r="G55" s="9" t="s">
        <v>2679</v>
      </c>
      <c r="I55" s="1954" t="s">
        <v>1840</v>
      </c>
      <c r="J55" s="9" t="s">
        <v>1840</v>
      </c>
      <c r="K55" s="9" t="s">
        <v>1842</v>
      </c>
      <c r="L55" s="9" t="s">
        <v>2050</v>
      </c>
      <c r="R55" s="1961" t="s">
        <v>2050</v>
      </c>
      <c r="S55" s="7" t="s">
        <v>2652</v>
      </c>
      <c r="T55" s="1954" t="s">
        <v>1840</v>
      </c>
      <c r="U55" s="1962" t="s">
        <v>1840</v>
      </c>
    </row>
    <row r="56" spans="1:21" ht="18" hidden="1" customHeight="1">
      <c r="A56" s="1976" t="s">
        <v>2733</v>
      </c>
      <c r="B56" s="7">
        <v>300</v>
      </c>
      <c r="C56" s="1947" t="s">
        <v>2652</v>
      </c>
      <c r="E56" s="9" t="s">
        <v>2721</v>
      </c>
      <c r="F56" s="9" t="s">
        <v>2050</v>
      </c>
      <c r="G56" s="9" t="s">
        <v>2679</v>
      </c>
      <c r="I56" s="1954" t="s">
        <v>1840</v>
      </c>
      <c r="J56" s="9" t="s">
        <v>1840</v>
      </c>
      <c r="K56" s="9" t="s">
        <v>1842</v>
      </c>
      <c r="L56" s="9" t="s">
        <v>2050</v>
      </c>
      <c r="R56" s="1961" t="s">
        <v>2050</v>
      </c>
      <c r="S56" s="7" t="s">
        <v>2652</v>
      </c>
      <c r="T56" s="1954" t="s">
        <v>1840</v>
      </c>
      <c r="U56" s="1962" t="s">
        <v>1840</v>
      </c>
    </row>
    <row r="57" spans="1:21" s="1950" customFormat="1" ht="18" customHeight="1">
      <c r="A57" s="1955" t="s">
        <v>2734</v>
      </c>
      <c r="B57" s="1957"/>
      <c r="C57" s="1958"/>
      <c r="D57" s="1956"/>
      <c r="E57" s="1956"/>
      <c r="F57" s="1956"/>
      <c r="G57" s="1956"/>
      <c r="H57" s="1956"/>
      <c r="I57" s="1959"/>
      <c r="J57" s="1956"/>
      <c r="K57" s="1956"/>
      <c r="L57" s="1956"/>
      <c r="M57" s="1956"/>
      <c r="N57" s="1956"/>
      <c r="O57" s="1956"/>
      <c r="P57" s="1956"/>
      <c r="Q57" s="1956"/>
      <c r="R57" s="1957"/>
      <c r="S57" s="1957"/>
      <c r="T57" s="1959"/>
      <c r="U57" s="1960"/>
    </row>
    <row r="58" spans="1:21" ht="18" customHeight="1">
      <c r="A58" s="1946" t="s">
        <v>2735</v>
      </c>
      <c r="B58" s="7">
        <v>200</v>
      </c>
      <c r="C58" s="1947" t="s">
        <v>2662</v>
      </c>
      <c r="E58" s="9" t="s">
        <v>1842</v>
      </c>
      <c r="F58" s="9" t="s">
        <v>2050</v>
      </c>
      <c r="G58" s="9" t="s">
        <v>2736</v>
      </c>
      <c r="I58" s="1954" t="s">
        <v>1840</v>
      </c>
      <c r="J58" s="9" t="s">
        <v>1840</v>
      </c>
      <c r="K58" s="9" t="s">
        <v>1840</v>
      </c>
      <c r="L58" s="9" t="s">
        <v>1840</v>
      </c>
      <c r="R58" s="7" t="s">
        <v>2662</v>
      </c>
      <c r="S58" s="7" t="s">
        <v>2630</v>
      </c>
      <c r="T58" s="1954" t="s">
        <v>1840</v>
      </c>
      <c r="U58" s="1962" t="s">
        <v>1840</v>
      </c>
    </row>
    <row r="59" spans="1:21" ht="18" customHeight="1">
      <c r="A59" s="1946" t="s">
        <v>2737</v>
      </c>
      <c r="B59" s="7">
        <v>300</v>
      </c>
      <c r="C59" s="1947" t="s">
        <v>2658</v>
      </c>
      <c r="E59" s="9" t="s">
        <v>1840</v>
      </c>
      <c r="F59" s="9" t="s">
        <v>308</v>
      </c>
      <c r="G59" s="9" t="s">
        <v>2679</v>
      </c>
      <c r="I59" s="1954" t="s">
        <v>1840</v>
      </c>
      <c r="J59" s="9" t="s">
        <v>1840</v>
      </c>
      <c r="K59" s="9" t="s">
        <v>1840</v>
      </c>
      <c r="L59" s="9" t="s">
        <v>1840</v>
      </c>
      <c r="R59" s="7" t="s">
        <v>2662</v>
      </c>
      <c r="S59" s="7" t="s">
        <v>2652</v>
      </c>
      <c r="T59" s="1954" t="s">
        <v>1840</v>
      </c>
      <c r="U59" s="1962" t="s">
        <v>1840</v>
      </c>
    </row>
    <row r="60" spans="1:21" ht="18" customHeight="1">
      <c r="A60" s="1946" t="s">
        <v>2738</v>
      </c>
      <c r="B60" s="7">
        <v>300</v>
      </c>
      <c r="C60" s="1947" t="s">
        <v>2658</v>
      </c>
      <c r="E60" s="9" t="s">
        <v>1840</v>
      </c>
      <c r="F60" s="9" t="s">
        <v>308</v>
      </c>
      <c r="G60" s="9" t="s">
        <v>2679</v>
      </c>
      <c r="I60" s="1954" t="s">
        <v>1840</v>
      </c>
      <c r="J60" s="9" t="s">
        <v>1840</v>
      </c>
      <c r="K60" s="9" t="s">
        <v>1840</v>
      </c>
      <c r="L60" s="9" t="s">
        <v>1840</v>
      </c>
      <c r="R60" s="7" t="s">
        <v>2662</v>
      </c>
      <c r="S60" s="7" t="s">
        <v>2652</v>
      </c>
      <c r="T60" s="1954" t="s">
        <v>1840</v>
      </c>
      <c r="U60" s="1962" t="s">
        <v>1840</v>
      </c>
    </row>
    <row r="61" spans="1:21" ht="18" customHeight="1">
      <c r="A61" s="1946" t="s">
        <v>2739</v>
      </c>
      <c r="B61" s="7">
        <v>300</v>
      </c>
      <c r="C61" s="1947" t="s">
        <v>2658</v>
      </c>
      <c r="E61" s="9" t="s">
        <v>1840</v>
      </c>
      <c r="F61" s="9" t="s">
        <v>308</v>
      </c>
      <c r="G61" s="9" t="s">
        <v>2679</v>
      </c>
      <c r="I61" s="1954" t="s">
        <v>1840</v>
      </c>
      <c r="J61" s="9" t="s">
        <v>1840</v>
      </c>
      <c r="K61" s="9" t="s">
        <v>1840</v>
      </c>
      <c r="L61" s="9" t="s">
        <v>1840</v>
      </c>
      <c r="R61" s="7" t="s">
        <v>2662</v>
      </c>
      <c r="S61" s="7" t="s">
        <v>2652</v>
      </c>
      <c r="T61" s="1954" t="s">
        <v>1840</v>
      </c>
      <c r="U61" s="1962" t="s">
        <v>1840</v>
      </c>
    </row>
    <row r="62" spans="1:21" ht="18" customHeight="1">
      <c r="A62" s="1946" t="s">
        <v>2740</v>
      </c>
      <c r="B62" s="7">
        <v>300</v>
      </c>
      <c r="C62" s="1947" t="s">
        <v>2658</v>
      </c>
      <c r="E62" s="9" t="s">
        <v>1840</v>
      </c>
      <c r="F62" s="9" t="s">
        <v>308</v>
      </c>
      <c r="G62" s="9" t="s">
        <v>2679</v>
      </c>
      <c r="I62" s="1954" t="s">
        <v>1840</v>
      </c>
      <c r="J62" s="9" t="s">
        <v>1840</v>
      </c>
      <c r="K62" s="9" t="s">
        <v>1840</v>
      </c>
      <c r="L62" s="9" t="s">
        <v>1840</v>
      </c>
      <c r="R62" s="7" t="s">
        <v>2662</v>
      </c>
      <c r="S62" s="7" t="s">
        <v>2652</v>
      </c>
      <c r="T62" s="1954" t="s">
        <v>1840</v>
      </c>
      <c r="U62" s="1962" t="s">
        <v>1840</v>
      </c>
    </row>
    <row r="63" spans="1:21" ht="18" customHeight="1">
      <c r="A63" s="1946" t="s">
        <v>2741</v>
      </c>
      <c r="B63" s="7">
        <v>300</v>
      </c>
      <c r="C63" s="1947" t="s">
        <v>2658</v>
      </c>
      <c r="E63" s="9" t="s">
        <v>1840</v>
      </c>
      <c r="F63" s="9" t="s">
        <v>308</v>
      </c>
      <c r="G63" s="9" t="s">
        <v>2679</v>
      </c>
      <c r="I63" s="1954" t="s">
        <v>1840</v>
      </c>
      <c r="J63" s="9" t="s">
        <v>1840</v>
      </c>
      <c r="K63" s="9" t="s">
        <v>1840</v>
      </c>
      <c r="L63" s="9" t="s">
        <v>1840</v>
      </c>
      <c r="R63" s="7" t="s">
        <v>2662</v>
      </c>
      <c r="S63" s="7" t="s">
        <v>2652</v>
      </c>
      <c r="T63" s="1954" t="s">
        <v>1840</v>
      </c>
      <c r="U63" s="1962" t="s">
        <v>1840</v>
      </c>
    </row>
    <row r="64" spans="1:21" ht="18" customHeight="1">
      <c r="A64" s="1946" t="s">
        <v>2742</v>
      </c>
      <c r="B64" s="7">
        <v>300</v>
      </c>
      <c r="C64" s="1947" t="s">
        <v>2658</v>
      </c>
      <c r="E64" s="9" t="s">
        <v>1840</v>
      </c>
      <c r="F64" s="9" t="s">
        <v>308</v>
      </c>
      <c r="G64" s="9" t="s">
        <v>2679</v>
      </c>
      <c r="I64" s="1954" t="s">
        <v>1840</v>
      </c>
      <c r="J64" s="9" t="s">
        <v>1840</v>
      </c>
      <c r="K64" s="9" t="s">
        <v>1840</v>
      </c>
      <c r="L64" s="9" t="s">
        <v>1840</v>
      </c>
      <c r="R64" s="7" t="s">
        <v>2662</v>
      </c>
      <c r="S64" s="7" t="s">
        <v>2652</v>
      </c>
      <c r="T64" s="1954" t="s">
        <v>1840</v>
      </c>
      <c r="U64" s="1962" t="s">
        <v>1840</v>
      </c>
    </row>
    <row r="65" spans="1:21" ht="18" customHeight="1" thickBot="1">
      <c r="A65" s="1977" t="s">
        <v>2743</v>
      </c>
      <c r="B65" s="1979">
        <v>300</v>
      </c>
      <c r="C65" s="1972" t="s">
        <v>2658</v>
      </c>
      <c r="D65" s="1978"/>
      <c r="E65" s="1978" t="s">
        <v>1840</v>
      </c>
      <c r="F65" s="1978" t="s">
        <v>308</v>
      </c>
      <c r="G65" s="1978" t="s">
        <v>2679</v>
      </c>
      <c r="H65" s="1978"/>
      <c r="I65" s="1980" t="s">
        <v>1840</v>
      </c>
      <c r="J65" s="1978" t="s">
        <v>1840</v>
      </c>
      <c r="K65" s="1978" t="s">
        <v>1840</v>
      </c>
      <c r="L65" s="1978" t="s">
        <v>1840</v>
      </c>
      <c r="M65" s="1978"/>
      <c r="N65" s="1978"/>
      <c r="O65" s="1978"/>
      <c r="P65" s="1978"/>
      <c r="Q65" s="1978"/>
      <c r="R65" s="7" t="s">
        <v>2662</v>
      </c>
      <c r="S65" s="7" t="s">
        <v>2652</v>
      </c>
      <c r="T65" s="1980" t="s">
        <v>1840</v>
      </c>
      <c r="U65" s="1975" t="s">
        <v>1840</v>
      </c>
    </row>
    <row r="66" spans="1:21" s="1950" customFormat="1" ht="18" hidden="1" customHeight="1" thickBot="1">
      <c r="A66" s="1955" t="s">
        <v>2744</v>
      </c>
      <c r="B66" s="1957"/>
      <c r="C66" s="1958"/>
      <c r="D66" s="1956"/>
      <c r="E66" s="1956"/>
      <c r="F66" s="1956"/>
      <c r="G66" s="1956"/>
      <c r="H66" s="1956"/>
      <c r="I66" s="1959"/>
      <c r="J66" s="1956"/>
      <c r="K66" s="1956"/>
      <c r="L66" s="1956"/>
      <c r="M66" s="1956"/>
      <c r="N66" s="1956"/>
      <c r="O66" s="1956"/>
      <c r="P66" s="1956"/>
      <c r="Q66" s="1956"/>
      <c r="R66" s="1957"/>
      <c r="S66" s="1957"/>
      <c r="T66" s="1959"/>
      <c r="U66" s="1960"/>
    </row>
    <row r="67" spans="1:21" ht="18" hidden="1" customHeight="1">
      <c r="A67" s="1946" t="s">
        <v>2735</v>
      </c>
      <c r="B67" s="7">
        <v>200</v>
      </c>
      <c r="C67" s="1947" t="s">
        <v>2662</v>
      </c>
      <c r="E67" s="9" t="s">
        <v>1842</v>
      </c>
      <c r="F67" s="9" t="s">
        <v>2050</v>
      </c>
      <c r="G67" s="9" t="s">
        <v>2736</v>
      </c>
      <c r="I67" s="1954" t="s">
        <v>1840</v>
      </c>
      <c r="J67" s="9" t="s">
        <v>1840</v>
      </c>
      <c r="K67" s="9" t="s">
        <v>1840</v>
      </c>
      <c r="L67" s="9" t="s">
        <v>1840</v>
      </c>
      <c r="T67" s="1954" t="s">
        <v>1840</v>
      </c>
      <c r="U67" s="1962" t="s">
        <v>1840</v>
      </c>
    </row>
    <row r="68" spans="1:21" ht="18" hidden="1" customHeight="1">
      <c r="A68" s="1946" t="s">
        <v>2737</v>
      </c>
      <c r="B68" s="7">
        <v>300</v>
      </c>
      <c r="C68" s="1947" t="s">
        <v>2658</v>
      </c>
      <c r="E68" s="9" t="s">
        <v>1840</v>
      </c>
      <c r="F68" s="9" t="s">
        <v>308</v>
      </c>
      <c r="G68" s="9" t="s">
        <v>2679</v>
      </c>
      <c r="I68" s="1954" t="s">
        <v>1840</v>
      </c>
      <c r="J68" s="9" t="s">
        <v>1840</v>
      </c>
      <c r="K68" s="9" t="s">
        <v>1840</v>
      </c>
      <c r="L68" s="9" t="s">
        <v>1840</v>
      </c>
      <c r="T68" s="1954" t="s">
        <v>1840</v>
      </c>
      <c r="U68" s="1962" t="s">
        <v>1840</v>
      </c>
    </row>
    <row r="69" spans="1:21" ht="18" hidden="1" customHeight="1">
      <c r="A69" s="1946" t="s">
        <v>2738</v>
      </c>
      <c r="B69" s="7">
        <v>300</v>
      </c>
      <c r="C69" s="1947" t="s">
        <v>2658</v>
      </c>
      <c r="E69" s="9" t="s">
        <v>1840</v>
      </c>
      <c r="F69" s="9" t="s">
        <v>308</v>
      </c>
      <c r="G69" s="9" t="s">
        <v>2679</v>
      </c>
      <c r="I69" s="1954" t="s">
        <v>1840</v>
      </c>
      <c r="J69" s="9" t="s">
        <v>1840</v>
      </c>
      <c r="K69" s="9" t="s">
        <v>1840</v>
      </c>
      <c r="L69" s="9" t="s">
        <v>1840</v>
      </c>
      <c r="T69" s="1954" t="s">
        <v>1840</v>
      </c>
      <c r="U69" s="1962" t="s">
        <v>1840</v>
      </c>
    </row>
    <row r="70" spans="1:21" ht="18" hidden="1" customHeight="1">
      <c r="A70" s="1946" t="s">
        <v>2739</v>
      </c>
      <c r="B70" s="7">
        <v>300</v>
      </c>
      <c r="C70" s="1947" t="s">
        <v>2658</v>
      </c>
      <c r="E70" s="9" t="s">
        <v>1840</v>
      </c>
      <c r="F70" s="9" t="s">
        <v>308</v>
      </c>
      <c r="G70" s="9" t="s">
        <v>2679</v>
      </c>
      <c r="I70" s="1954" t="s">
        <v>1840</v>
      </c>
      <c r="J70" s="9" t="s">
        <v>1840</v>
      </c>
      <c r="K70" s="9" t="s">
        <v>1840</v>
      </c>
      <c r="L70" s="9" t="s">
        <v>1840</v>
      </c>
      <c r="T70" s="1954" t="s">
        <v>1840</v>
      </c>
      <c r="U70" s="1962" t="s">
        <v>1840</v>
      </c>
    </row>
    <row r="71" spans="1:21" ht="18" hidden="1" customHeight="1">
      <c r="A71" s="1946" t="s">
        <v>2740</v>
      </c>
      <c r="B71" s="7">
        <v>300</v>
      </c>
      <c r="C71" s="1947" t="s">
        <v>2658</v>
      </c>
      <c r="E71" s="9" t="s">
        <v>1840</v>
      </c>
      <c r="F71" s="9" t="s">
        <v>308</v>
      </c>
      <c r="G71" s="9" t="s">
        <v>2679</v>
      </c>
      <c r="I71" s="1954" t="s">
        <v>1840</v>
      </c>
      <c r="J71" s="9" t="s">
        <v>1840</v>
      </c>
      <c r="K71" s="9" t="s">
        <v>1840</v>
      </c>
      <c r="L71" s="9" t="s">
        <v>1840</v>
      </c>
      <c r="T71" s="1954" t="s">
        <v>1840</v>
      </c>
      <c r="U71" s="1962" t="s">
        <v>1840</v>
      </c>
    </row>
    <row r="72" spans="1:21" ht="18" hidden="1" customHeight="1">
      <c r="A72" s="1946" t="s">
        <v>2741</v>
      </c>
      <c r="B72" s="7">
        <v>300</v>
      </c>
      <c r="C72" s="1947" t="s">
        <v>2658</v>
      </c>
      <c r="E72" s="9" t="s">
        <v>1840</v>
      </c>
      <c r="F72" s="9" t="s">
        <v>308</v>
      </c>
      <c r="G72" s="9" t="s">
        <v>2679</v>
      </c>
      <c r="I72" s="1954" t="s">
        <v>1840</v>
      </c>
      <c r="J72" s="9" t="s">
        <v>1840</v>
      </c>
      <c r="K72" s="9" t="s">
        <v>1840</v>
      </c>
      <c r="L72" s="9" t="s">
        <v>1840</v>
      </c>
      <c r="T72" s="1954" t="s">
        <v>1840</v>
      </c>
      <c r="U72" s="1962" t="s">
        <v>1840</v>
      </c>
    </row>
    <row r="73" spans="1:21" ht="18" hidden="1" customHeight="1">
      <c r="A73" s="1946" t="s">
        <v>2742</v>
      </c>
      <c r="B73" s="7">
        <v>300</v>
      </c>
      <c r="C73" s="1947" t="s">
        <v>2658</v>
      </c>
      <c r="E73" s="9" t="s">
        <v>1840</v>
      </c>
      <c r="F73" s="9" t="s">
        <v>308</v>
      </c>
      <c r="G73" s="9" t="s">
        <v>2679</v>
      </c>
      <c r="I73" s="1954" t="s">
        <v>1840</v>
      </c>
      <c r="J73" s="9" t="s">
        <v>1840</v>
      </c>
      <c r="K73" s="9" t="s">
        <v>1840</v>
      </c>
      <c r="L73" s="9" t="s">
        <v>1840</v>
      </c>
      <c r="T73" s="1954" t="s">
        <v>1840</v>
      </c>
      <c r="U73" s="1962" t="s">
        <v>1840</v>
      </c>
    </row>
    <row r="74" spans="1:21" ht="18" hidden="1" customHeight="1">
      <c r="A74" s="1977" t="s">
        <v>2743</v>
      </c>
      <c r="B74" s="1979">
        <v>300</v>
      </c>
      <c r="C74" s="1972" t="s">
        <v>2658</v>
      </c>
      <c r="D74" s="1978"/>
      <c r="E74" s="1978" t="s">
        <v>1840</v>
      </c>
      <c r="F74" s="1978" t="s">
        <v>308</v>
      </c>
      <c r="G74" s="1978" t="s">
        <v>2679</v>
      </c>
      <c r="H74" s="1978"/>
      <c r="I74" s="1980" t="s">
        <v>1840</v>
      </c>
      <c r="J74" s="1978" t="s">
        <v>1840</v>
      </c>
      <c r="K74" s="1978" t="s">
        <v>1840</v>
      </c>
      <c r="L74" s="1978" t="s">
        <v>1840</v>
      </c>
      <c r="M74" s="1978"/>
      <c r="N74" s="1978"/>
      <c r="O74" s="1978"/>
      <c r="P74" s="1978"/>
      <c r="Q74" s="1978"/>
      <c r="R74" s="1979"/>
      <c r="S74" s="1979"/>
      <c r="T74" s="1980" t="s">
        <v>1840</v>
      </c>
      <c r="U74" s="1975" t="s">
        <v>1840</v>
      </c>
    </row>
    <row r="75" spans="1:21" s="1950" customFormat="1" ht="18" customHeight="1">
      <c r="A75" s="1955" t="s">
        <v>2745</v>
      </c>
      <c r="B75" s="1957"/>
      <c r="C75" s="1958"/>
      <c r="D75" s="1956"/>
      <c r="E75" s="1956"/>
      <c r="F75" s="1956"/>
      <c r="G75" s="1956"/>
      <c r="H75" s="1956"/>
      <c r="I75" s="1959"/>
      <c r="J75" s="1956"/>
      <c r="K75" s="1956"/>
      <c r="L75" s="1956"/>
      <c r="M75" s="1956"/>
      <c r="N75" s="1956"/>
      <c r="O75" s="1956"/>
      <c r="P75" s="1956"/>
      <c r="Q75" s="1956"/>
      <c r="R75" s="1957"/>
      <c r="S75" s="1957"/>
      <c r="T75" s="1959"/>
      <c r="U75" s="1960"/>
    </row>
    <row r="76" spans="1:21" ht="18" customHeight="1">
      <c r="A76" s="1946" t="s">
        <v>2746</v>
      </c>
      <c r="B76" s="7">
        <v>300</v>
      </c>
      <c r="C76" s="1947" t="s">
        <v>2658</v>
      </c>
      <c r="E76" s="9" t="s">
        <v>1840</v>
      </c>
      <c r="F76" s="9" t="s">
        <v>308</v>
      </c>
      <c r="G76" s="9" t="s">
        <v>2679</v>
      </c>
      <c r="I76" s="1954" t="s">
        <v>1840</v>
      </c>
      <c r="J76" s="9" t="s">
        <v>1840</v>
      </c>
      <c r="K76" s="9" t="s">
        <v>1840</v>
      </c>
      <c r="L76" s="9" t="s">
        <v>1840</v>
      </c>
      <c r="R76" s="7" t="s">
        <v>2662</v>
      </c>
      <c r="S76" s="7" t="s">
        <v>2652</v>
      </c>
      <c r="T76" s="1954" t="s">
        <v>1840</v>
      </c>
      <c r="U76" s="1962" t="s">
        <v>1840</v>
      </c>
    </row>
    <row r="77" spans="1:21" ht="18" customHeight="1">
      <c r="A77" s="1946" t="s">
        <v>2747</v>
      </c>
      <c r="B77" s="7">
        <v>300</v>
      </c>
      <c r="C77" s="1947" t="s">
        <v>2658</v>
      </c>
      <c r="E77" s="9" t="s">
        <v>1840</v>
      </c>
      <c r="F77" s="9" t="s">
        <v>308</v>
      </c>
      <c r="G77" s="9" t="s">
        <v>2679</v>
      </c>
      <c r="I77" s="1954" t="s">
        <v>1840</v>
      </c>
      <c r="J77" s="9" t="s">
        <v>1840</v>
      </c>
      <c r="K77" s="9" t="s">
        <v>1840</v>
      </c>
      <c r="L77" s="9" t="s">
        <v>1840</v>
      </c>
      <c r="R77" s="7" t="s">
        <v>2662</v>
      </c>
      <c r="S77" s="7" t="s">
        <v>2652</v>
      </c>
      <c r="T77" s="1954" t="s">
        <v>1840</v>
      </c>
      <c r="U77" s="1962" t="s">
        <v>1840</v>
      </c>
    </row>
    <row r="78" spans="1:21" ht="18" customHeight="1">
      <c r="A78" s="1946" t="s">
        <v>2748</v>
      </c>
      <c r="B78" s="7">
        <v>300</v>
      </c>
      <c r="C78" s="1947" t="s">
        <v>2658</v>
      </c>
      <c r="E78" s="9" t="s">
        <v>1840</v>
      </c>
      <c r="F78" s="9" t="s">
        <v>308</v>
      </c>
      <c r="G78" s="9" t="s">
        <v>2679</v>
      </c>
      <c r="I78" s="1954" t="s">
        <v>1840</v>
      </c>
      <c r="J78" s="9" t="s">
        <v>1840</v>
      </c>
      <c r="K78" s="9" t="s">
        <v>1840</v>
      </c>
      <c r="L78" s="9" t="s">
        <v>1840</v>
      </c>
      <c r="R78" s="7" t="s">
        <v>2662</v>
      </c>
      <c r="S78" s="7" t="s">
        <v>2652</v>
      </c>
      <c r="T78" s="1954" t="s">
        <v>1840</v>
      </c>
      <c r="U78" s="1962" t="s">
        <v>1840</v>
      </c>
    </row>
    <row r="79" spans="1:21" ht="18" customHeight="1">
      <c r="A79" s="1946" t="s">
        <v>2749</v>
      </c>
      <c r="B79" s="7">
        <v>300</v>
      </c>
      <c r="C79" s="1947" t="s">
        <v>2658</v>
      </c>
      <c r="E79" s="9" t="s">
        <v>1840</v>
      </c>
      <c r="F79" s="9" t="s">
        <v>308</v>
      </c>
      <c r="G79" s="9" t="s">
        <v>2679</v>
      </c>
      <c r="I79" s="1954" t="s">
        <v>1840</v>
      </c>
      <c r="J79" s="9" t="s">
        <v>1840</v>
      </c>
      <c r="K79" s="9" t="s">
        <v>1840</v>
      </c>
      <c r="L79" s="9" t="s">
        <v>1840</v>
      </c>
      <c r="R79" s="7" t="s">
        <v>2662</v>
      </c>
      <c r="S79" s="7" t="s">
        <v>2652</v>
      </c>
      <c r="T79" s="1954" t="s">
        <v>1840</v>
      </c>
      <c r="U79" s="1962" t="s">
        <v>1840</v>
      </c>
    </row>
    <row r="80" spans="1:21" ht="18" customHeight="1">
      <c r="A80" s="1946" t="s">
        <v>2750</v>
      </c>
      <c r="B80" s="7">
        <v>300</v>
      </c>
      <c r="C80" s="1947" t="s">
        <v>2658</v>
      </c>
      <c r="E80" s="9" t="s">
        <v>1840</v>
      </c>
      <c r="F80" s="9" t="s">
        <v>308</v>
      </c>
      <c r="G80" s="9" t="s">
        <v>2679</v>
      </c>
      <c r="I80" s="1954" t="s">
        <v>1840</v>
      </c>
      <c r="J80" s="9" t="s">
        <v>1840</v>
      </c>
      <c r="K80" s="9" t="s">
        <v>1840</v>
      </c>
      <c r="L80" s="9" t="s">
        <v>1840</v>
      </c>
      <c r="R80" s="7" t="s">
        <v>2662</v>
      </c>
      <c r="S80" s="7" t="s">
        <v>2652</v>
      </c>
      <c r="T80" s="1954" t="s">
        <v>1840</v>
      </c>
      <c r="U80" s="1962" t="s">
        <v>1840</v>
      </c>
    </row>
    <row r="81" spans="1:21" ht="18" customHeight="1">
      <c r="A81" s="1946" t="s">
        <v>2751</v>
      </c>
      <c r="B81" s="7">
        <v>300</v>
      </c>
      <c r="C81" s="1947" t="s">
        <v>2658</v>
      </c>
      <c r="E81" s="9" t="s">
        <v>1840</v>
      </c>
      <c r="F81" s="9" t="s">
        <v>308</v>
      </c>
      <c r="G81" s="9" t="s">
        <v>2679</v>
      </c>
      <c r="I81" s="1954" t="s">
        <v>1840</v>
      </c>
      <c r="J81" s="9" t="s">
        <v>1840</v>
      </c>
      <c r="K81" s="9" t="s">
        <v>1840</v>
      </c>
      <c r="L81" s="9" t="s">
        <v>1840</v>
      </c>
      <c r="R81" s="7" t="s">
        <v>2662</v>
      </c>
      <c r="S81" s="7" t="s">
        <v>2652</v>
      </c>
      <c r="T81" s="1954" t="s">
        <v>1840</v>
      </c>
      <c r="U81" s="1962" t="s">
        <v>1840</v>
      </c>
    </row>
    <row r="82" spans="1:21" ht="18" customHeight="1">
      <c r="A82" s="1946" t="s">
        <v>2752</v>
      </c>
      <c r="B82" s="7">
        <v>300</v>
      </c>
      <c r="C82" s="1947" t="s">
        <v>2658</v>
      </c>
      <c r="E82" s="9" t="s">
        <v>1840</v>
      </c>
      <c r="F82" s="9" t="s">
        <v>308</v>
      </c>
      <c r="G82" s="9" t="s">
        <v>2679</v>
      </c>
      <c r="I82" s="1954" t="s">
        <v>1840</v>
      </c>
      <c r="J82" s="9" t="s">
        <v>1840</v>
      </c>
      <c r="K82" s="9" t="s">
        <v>1840</v>
      </c>
      <c r="L82" s="9" t="s">
        <v>1840</v>
      </c>
      <c r="R82" s="7" t="s">
        <v>2662</v>
      </c>
      <c r="S82" s="7" t="s">
        <v>2652</v>
      </c>
      <c r="T82" s="1954" t="s">
        <v>1840</v>
      </c>
      <c r="U82" s="1962" t="s">
        <v>1840</v>
      </c>
    </row>
    <row r="83" spans="1:21" ht="18" customHeight="1">
      <c r="A83" s="1946" t="s">
        <v>2753</v>
      </c>
      <c r="B83" s="7">
        <v>300</v>
      </c>
      <c r="C83" s="1947" t="s">
        <v>2658</v>
      </c>
      <c r="E83" s="9" t="s">
        <v>1840</v>
      </c>
      <c r="F83" s="9" t="s">
        <v>308</v>
      </c>
      <c r="G83" s="9" t="s">
        <v>2679</v>
      </c>
      <c r="I83" s="1954" t="s">
        <v>1840</v>
      </c>
      <c r="J83" s="9" t="s">
        <v>1840</v>
      </c>
      <c r="K83" s="9" t="s">
        <v>1840</v>
      </c>
      <c r="L83" s="9" t="s">
        <v>1840</v>
      </c>
      <c r="R83" s="7" t="s">
        <v>2662</v>
      </c>
      <c r="S83" s="7" t="s">
        <v>2652</v>
      </c>
      <c r="T83" s="1954" t="s">
        <v>1840</v>
      </c>
      <c r="U83" s="1962" t="s">
        <v>1840</v>
      </c>
    </row>
    <row r="84" spans="1:21" ht="18" customHeight="1">
      <c r="A84" s="1946" t="s">
        <v>2754</v>
      </c>
      <c r="B84" s="7">
        <v>300</v>
      </c>
      <c r="C84" s="1947" t="s">
        <v>2658</v>
      </c>
      <c r="E84" s="9" t="s">
        <v>1840</v>
      </c>
      <c r="F84" s="9" t="s">
        <v>308</v>
      </c>
      <c r="G84" s="9" t="s">
        <v>2679</v>
      </c>
      <c r="I84" s="1954" t="s">
        <v>1840</v>
      </c>
      <c r="J84" s="9" t="s">
        <v>1840</v>
      </c>
      <c r="K84" s="9" t="s">
        <v>1840</v>
      </c>
      <c r="L84" s="9" t="s">
        <v>1840</v>
      </c>
      <c r="R84" s="7" t="s">
        <v>2662</v>
      </c>
      <c r="S84" s="7" t="s">
        <v>2652</v>
      </c>
      <c r="T84" s="1954" t="s">
        <v>1840</v>
      </c>
      <c r="U84" s="1962" t="s">
        <v>1840</v>
      </c>
    </row>
    <row r="85" spans="1:21" ht="18" customHeight="1">
      <c r="A85" s="1946" t="s">
        <v>2755</v>
      </c>
      <c r="B85" s="7">
        <v>300</v>
      </c>
      <c r="C85" s="1947" t="s">
        <v>2658</v>
      </c>
      <c r="E85" s="9" t="s">
        <v>1840</v>
      </c>
      <c r="F85" s="9" t="s">
        <v>308</v>
      </c>
      <c r="G85" s="9" t="s">
        <v>2679</v>
      </c>
      <c r="I85" s="1954" t="s">
        <v>1840</v>
      </c>
      <c r="J85" s="9" t="s">
        <v>1840</v>
      </c>
      <c r="K85" s="9" t="s">
        <v>1840</v>
      </c>
      <c r="L85" s="9" t="s">
        <v>1840</v>
      </c>
      <c r="R85" s="7" t="s">
        <v>2662</v>
      </c>
      <c r="S85" s="7" t="s">
        <v>2652</v>
      </c>
      <c r="T85" s="1954" t="s">
        <v>1840</v>
      </c>
      <c r="U85" s="1962" t="s">
        <v>1840</v>
      </c>
    </row>
    <row r="86" spans="1:21" ht="18" customHeight="1">
      <c r="A86" s="1946" t="s">
        <v>2756</v>
      </c>
      <c r="B86" s="7">
        <v>300</v>
      </c>
      <c r="C86" s="1947" t="s">
        <v>2658</v>
      </c>
      <c r="E86" s="9" t="s">
        <v>1840</v>
      </c>
      <c r="F86" s="9" t="s">
        <v>308</v>
      </c>
      <c r="G86" s="9" t="s">
        <v>2679</v>
      </c>
      <c r="I86" s="1954" t="s">
        <v>1840</v>
      </c>
      <c r="J86" s="9" t="s">
        <v>1840</v>
      </c>
      <c r="K86" s="9" t="s">
        <v>1840</v>
      </c>
      <c r="L86" s="9" t="s">
        <v>1840</v>
      </c>
      <c r="R86" s="7" t="s">
        <v>2662</v>
      </c>
      <c r="S86" s="7" t="s">
        <v>2662</v>
      </c>
      <c r="T86" s="1954" t="s">
        <v>1840</v>
      </c>
      <c r="U86" s="1962" t="s">
        <v>1840</v>
      </c>
    </row>
    <row r="87" spans="1:21" ht="18" customHeight="1" thickBot="1">
      <c r="A87" s="1977" t="s">
        <v>2757</v>
      </c>
      <c r="B87" s="1979">
        <v>300</v>
      </c>
      <c r="C87" s="1972" t="s">
        <v>2658</v>
      </c>
      <c r="D87" s="1978"/>
      <c r="E87" s="1978" t="s">
        <v>1840</v>
      </c>
      <c r="F87" s="1978" t="s">
        <v>308</v>
      </c>
      <c r="G87" s="1978" t="s">
        <v>2679</v>
      </c>
      <c r="H87" s="1978"/>
      <c r="I87" s="1980" t="s">
        <v>1840</v>
      </c>
      <c r="J87" s="1978" t="s">
        <v>1840</v>
      </c>
      <c r="K87" s="1978" t="s">
        <v>1840</v>
      </c>
      <c r="L87" s="1978" t="s">
        <v>1840</v>
      </c>
      <c r="M87" s="1978"/>
      <c r="N87" s="1978"/>
      <c r="O87" s="1978"/>
      <c r="P87" s="1978"/>
      <c r="Q87" s="1978"/>
      <c r="R87" s="7" t="s">
        <v>2662</v>
      </c>
      <c r="S87" s="7" t="s">
        <v>2652</v>
      </c>
      <c r="T87" s="1980" t="s">
        <v>1840</v>
      </c>
      <c r="U87" s="1975" t="s">
        <v>1840</v>
      </c>
    </row>
    <row r="88" spans="1:21" s="1950" customFormat="1" ht="18" customHeight="1">
      <c r="A88" s="1955" t="s">
        <v>2758</v>
      </c>
      <c r="B88" s="1957"/>
      <c r="C88" s="1958"/>
      <c r="D88" s="1956"/>
      <c r="E88" s="1956"/>
      <c r="F88" s="1956"/>
      <c r="G88" s="1956"/>
      <c r="H88" s="1956"/>
      <c r="I88" s="1959"/>
      <c r="J88" s="1956"/>
      <c r="K88" s="1956"/>
      <c r="L88" s="1956"/>
      <c r="M88" s="1956"/>
      <c r="N88" s="1956"/>
      <c r="O88" s="1956"/>
      <c r="P88" s="1956"/>
      <c r="Q88" s="1956"/>
      <c r="R88" s="1957"/>
      <c r="S88" s="1957"/>
      <c r="T88" s="1959"/>
      <c r="U88" s="1960"/>
    </row>
    <row r="89" spans="1:21" ht="18" customHeight="1">
      <c r="A89" s="1946" t="s">
        <v>2759</v>
      </c>
      <c r="B89" s="7">
        <v>300</v>
      </c>
      <c r="C89" s="1947" t="s">
        <v>2658</v>
      </c>
      <c r="E89" s="9" t="s">
        <v>1840</v>
      </c>
      <c r="F89" s="9" t="s">
        <v>308</v>
      </c>
      <c r="G89" s="9" t="s">
        <v>2679</v>
      </c>
      <c r="I89" s="1954" t="s">
        <v>1840</v>
      </c>
      <c r="J89" s="9" t="s">
        <v>1840</v>
      </c>
      <c r="K89" s="9" t="s">
        <v>1840</v>
      </c>
      <c r="L89" s="9" t="s">
        <v>1840</v>
      </c>
      <c r="R89" s="7" t="s">
        <v>2662</v>
      </c>
      <c r="S89" s="7" t="s">
        <v>2652</v>
      </c>
      <c r="T89" s="1954" t="s">
        <v>1840</v>
      </c>
      <c r="U89" s="1962" t="s">
        <v>1840</v>
      </c>
    </row>
    <row r="90" spans="1:21" ht="18" customHeight="1">
      <c r="A90" s="1946" t="s">
        <v>2760</v>
      </c>
      <c r="B90" s="7">
        <v>301</v>
      </c>
      <c r="C90" s="1947" t="s">
        <v>2658</v>
      </c>
      <c r="E90" s="9" t="s">
        <v>1840</v>
      </c>
      <c r="F90" s="9" t="s">
        <v>308</v>
      </c>
      <c r="G90" s="9" t="s">
        <v>2679</v>
      </c>
      <c r="I90" s="1954" t="s">
        <v>1840</v>
      </c>
      <c r="J90" s="9" t="s">
        <v>1840</v>
      </c>
      <c r="K90" s="9" t="s">
        <v>1840</v>
      </c>
      <c r="L90" s="9" t="s">
        <v>1840</v>
      </c>
      <c r="R90" s="7" t="s">
        <v>2662</v>
      </c>
      <c r="S90" s="7" t="s">
        <v>2652</v>
      </c>
      <c r="T90" s="1954" t="s">
        <v>1840</v>
      </c>
      <c r="U90" s="1962" t="s">
        <v>1840</v>
      </c>
    </row>
    <row r="91" spans="1:21" ht="18" customHeight="1">
      <c r="A91" s="1976" t="s">
        <v>2761</v>
      </c>
      <c r="B91" s="7">
        <v>300</v>
      </c>
      <c r="C91" s="1947" t="s">
        <v>2658</v>
      </c>
      <c r="E91" s="9" t="s">
        <v>1840</v>
      </c>
      <c r="F91" s="9" t="s">
        <v>308</v>
      </c>
      <c r="G91" s="9" t="s">
        <v>2679</v>
      </c>
      <c r="I91" s="1954" t="s">
        <v>1840</v>
      </c>
      <c r="J91" s="9" t="s">
        <v>1840</v>
      </c>
      <c r="K91" s="9" t="s">
        <v>1840</v>
      </c>
      <c r="L91" s="9" t="s">
        <v>1840</v>
      </c>
      <c r="R91" s="7" t="s">
        <v>2662</v>
      </c>
      <c r="S91" s="1961" t="s">
        <v>2762</v>
      </c>
      <c r="T91" s="1954" t="s">
        <v>1840</v>
      </c>
      <c r="U91" s="1962" t="s">
        <v>1840</v>
      </c>
    </row>
    <row r="92" spans="1:21" ht="18" customHeight="1">
      <c r="A92" s="1946" t="s">
        <v>2763</v>
      </c>
      <c r="B92" s="7">
        <v>300</v>
      </c>
      <c r="C92" s="1947" t="s">
        <v>2658</v>
      </c>
      <c r="E92" s="9" t="s">
        <v>1840</v>
      </c>
      <c r="F92" s="9" t="s">
        <v>308</v>
      </c>
      <c r="G92" s="9" t="s">
        <v>2679</v>
      </c>
      <c r="I92" s="1954" t="s">
        <v>1840</v>
      </c>
      <c r="J92" s="9" t="s">
        <v>1840</v>
      </c>
      <c r="K92" s="9" t="s">
        <v>1840</v>
      </c>
      <c r="L92" s="9" t="s">
        <v>1840</v>
      </c>
      <c r="R92" s="7" t="s">
        <v>2662</v>
      </c>
      <c r="S92" s="1961" t="s">
        <v>2762</v>
      </c>
      <c r="T92" s="1954" t="s">
        <v>1840</v>
      </c>
      <c r="U92" s="1962" t="s">
        <v>1840</v>
      </c>
    </row>
    <row r="93" spans="1:21" ht="18" customHeight="1">
      <c r="A93" s="1976" t="s">
        <v>2764</v>
      </c>
      <c r="B93" s="7">
        <v>300</v>
      </c>
      <c r="C93" s="1947" t="s">
        <v>2658</v>
      </c>
      <c r="E93" s="9" t="s">
        <v>1842</v>
      </c>
      <c r="F93" s="9" t="s">
        <v>2050</v>
      </c>
      <c r="G93" s="9" t="s">
        <v>2679</v>
      </c>
      <c r="I93" s="1954" t="s">
        <v>1840</v>
      </c>
      <c r="J93" s="9" t="s">
        <v>1840</v>
      </c>
      <c r="K93" s="9" t="s">
        <v>1840</v>
      </c>
      <c r="L93" s="9" t="s">
        <v>1840</v>
      </c>
      <c r="R93" s="7" t="s">
        <v>2662</v>
      </c>
      <c r="S93" s="1961" t="s">
        <v>2652</v>
      </c>
      <c r="T93" s="1954" t="s">
        <v>1840</v>
      </c>
      <c r="U93" s="1962" t="s">
        <v>1840</v>
      </c>
    </row>
    <row r="94" spans="1:21" ht="18" customHeight="1">
      <c r="A94" s="1976" t="s">
        <v>2765</v>
      </c>
      <c r="B94" s="7">
        <v>300</v>
      </c>
      <c r="C94" s="1947" t="s">
        <v>2658</v>
      </c>
      <c r="E94" s="9" t="s">
        <v>1842</v>
      </c>
      <c r="F94" s="9" t="s">
        <v>2050</v>
      </c>
      <c r="G94" s="9" t="s">
        <v>2679</v>
      </c>
      <c r="I94" s="1954" t="s">
        <v>1840</v>
      </c>
      <c r="J94" s="9" t="s">
        <v>1840</v>
      </c>
      <c r="K94" s="9" t="s">
        <v>1840</v>
      </c>
      <c r="L94" s="9" t="s">
        <v>1840</v>
      </c>
      <c r="R94" s="7" t="s">
        <v>2662</v>
      </c>
      <c r="S94" s="1961" t="s">
        <v>2662</v>
      </c>
      <c r="T94" s="1954" t="s">
        <v>1840</v>
      </c>
      <c r="U94" s="1962" t="s">
        <v>1840</v>
      </c>
    </row>
    <row r="95" spans="1:21" ht="18" customHeight="1">
      <c r="A95" s="1976" t="s">
        <v>2787</v>
      </c>
      <c r="B95" s="7">
        <v>300</v>
      </c>
      <c r="C95" s="1947" t="s">
        <v>2658</v>
      </c>
      <c r="E95" s="9" t="s">
        <v>1842</v>
      </c>
      <c r="F95" s="9" t="s">
        <v>2050</v>
      </c>
      <c r="G95" s="9" t="s">
        <v>2679</v>
      </c>
      <c r="I95" s="1954" t="s">
        <v>1840</v>
      </c>
      <c r="J95" s="9" t="s">
        <v>1840</v>
      </c>
      <c r="K95" s="9" t="s">
        <v>1840</v>
      </c>
      <c r="L95" s="9" t="s">
        <v>1840</v>
      </c>
      <c r="R95" s="7" t="s">
        <v>2662</v>
      </c>
      <c r="S95" s="1961" t="s">
        <v>2652</v>
      </c>
      <c r="T95" s="1954" t="s">
        <v>1840</v>
      </c>
      <c r="U95" s="1962" t="s">
        <v>1840</v>
      </c>
    </row>
    <row r="96" spans="1:21" ht="18" customHeight="1">
      <c r="A96" s="1946" t="s">
        <v>2766</v>
      </c>
      <c r="B96" s="7">
        <v>200</v>
      </c>
      <c r="C96" s="1947" t="s">
        <v>2662</v>
      </c>
      <c r="E96" s="9" t="s">
        <v>1842</v>
      </c>
      <c r="F96" s="9" t="s">
        <v>2050</v>
      </c>
      <c r="G96" s="9" t="s">
        <v>2767</v>
      </c>
      <c r="I96" s="1954" t="s">
        <v>1840</v>
      </c>
      <c r="J96" s="9" t="s">
        <v>1840</v>
      </c>
      <c r="K96" s="9" t="s">
        <v>1840</v>
      </c>
      <c r="L96" s="9" t="s">
        <v>1840</v>
      </c>
      <c r="P96" s="9" t="s">
        <v>2768</v>
      </c>
      <c r="R96" s="7" t="s">
        <v>2662</v>
      </c>
      <c r="S96" s="7" t="s">
        <v>2662</v>
      </c>
      <c r="T96" s="1954" t="s">
        <v>1840</v>
      </c>
      <c r="U96" s="1962" t="s">
        <v>1840</v>
      </c>
    </row>
    <row r="97" spans="1:21" ht="18" customHeight="1">
      <c r="A97" s="1946" t="s">
        <v>2769</v>
      </c>
      <c r="B97" s="7">
        <v>300</v>
      </c>
      <c r="C97" s="1947" t="s">
        <v>2658</v>
      </c>
      <c r="E97" s="9" t="s">
        <v>1840</v>
      </c>
      <c r="F97" s="9" t="s">
        <v>308</v>
      </c>
      <c r="G97" s="9" t="s">
        <v>2679</v>
      </c>
      <c r="I97" s="1954" t="s">
        <v>1840</v>
      </c>
      <c r="J97" s="9" t="s">
        <v>1840</v>
      </c>
      <c r="K97" s="9" t="s">
        <v>1840</v>
      </c>
      <c r="L97" s="9" t="s">
        <v>1840</v>
      </c>
      <c r="R97" s="7" t="s">
        <v>2662</v>
      </c>
      <c r="S97" s="1961" t="s">
        <v>2652</v>
      </c>
      <c r="T97" s="1954" t="s">
        <v>1840</v>
      </c>
      <c r="U97" s="1962" t="s">
        <v>1840</v>
      </c>
    </row>
    <row r="98" spans="1:21" ht="18" customHeight="1">
      <c r="A98" s="1946" t="s">
        <v>2770</v>
      </c>
      <c r="B98" s="7">
        <v>300</v>
      </c>
      <c r="C98" s="1947" t="s">
        <v>2658</v>
      </c>
      <c r="E98" s="9" t="s">
        <v>1842</v>
      </c>
      <c r="F98" s="9" t="s">
        <v>2050</v>
      </c>
      <c r="G98" s="9" t="s">
        <v>2679</v>
      </c>
      <c r="I98" s="1954" t="s">
        <v>1840</v>
      </c>
      <c r="J98" s="9" t="s">
        <v>1840</v>
      </c>
      <c r="K98" s="9" t="s">
        <v>1840</v>
      </c>
      <c r="L98" s="9" t="s">
        <v>1840</v>
      </c>
      <c r="R98" s="7" t="s">
        <v>2662</v>
      </c>
      <c r="S98" s="1961" t="s">
        <v>2652</v>
      </c>
      <c r="T98" s="1954" t="s">
        <v>1840</v>
      </c>
      <c r="U98" s="1962" t="s">
        <v>1840</v>
      </c>
    </row>
    <row r="99" spans="1:21" ht="18" customHeight="1">
      <c r="A99" s="1946" t="s">
        <v>2771</v>
      </c>
      <c r="B99" s="7">
        <v>300</v>
      </c>
      <c r="C99" s="1947" t="s">
        <v>2658</v>
      </c>
      <c r="E99" s="9" t="s">
        <v>1842</v>
      </c>
      <c r="F99" s="9" t="s">
        <v>2050</v>
      </c>
      <c r="G99" s="9" t="s">
        <v>2679</v>
      </c>
      <c r="I99" s="1954" t="s">
        <v>1840</v>
      </c>
      <c r="J99" s="9" t="s">
        <v>1840</v>
      </c>
      <c r="K99" s="9" t="s">
        <v>1840</v>
      </c>
      <c r="L99" s="9" t="s">
        <v>1840</v>
      </c>
      <c r="R99" s="7" t="s">
        <v>2662</v>
      </c>
      <c r="S99" s="1961" t="s">
        <v>2652</v>
      </c>
      <c r="T99" s="1954" t="s">
        <v>1840</v>
      </c>
      <c r="U99" s="1962" t="s">
        <v>1840</v>
      </c>
    </row>
    <row r="100" spans="1:21" ht="18" customHeight="1" thickBot="1">
      <c r="A100" s="1977" t="s">
        <v>2772</v>
      </c>
      <c r="B100" s="1979">
        <v>300</v>
      </c>
      <c r="C100" s="1972" t="s">
        <v>2658</v>
      </c>
      <c r="D100" s="1978"/>
      <c r="E100" s="1978" t="s">
        <v>1842</v>
      </c>
      <c r="F100" s="1978" t="s">
        <v>2050</v>
      </c>
      <c r="G100" s="1978" t="s">
        <v>2679</v>
      </c>
      <c r="H100" s="1978"/>
      <c r="I100" s="1980" t="s">
        <v>1840</v>
      </c>
      <c r="J100" s="1978" t="s">
        <v>1840</v>
      </c>
      <c r="K100" s="1978" t="s">
        <v>1840</v>
      </c>
      <c r="L100" s="1978" t="s">
        <v>1840</v>
      </c>
      <c r="M100" s="1978"/>
      <c r="N100" s="1978"/>
      <c r="O100" s="1978"/>
      <c r="P100" s="1978"/>
      <c r="Q100" s="1978"/>
      <c r="R100" s="7" t="s">
        <v>2662</v>
      </c>
      <c r="S100" s="1961" t="s">
        <v>2652</v>
      </c>
      <c r="T100" s="1980" t="s">
        <v>1840</v>
      </c>
      <c r="U100" s="1975" t="s">
        <v>1840</v>
      </c>
    </row>
    <row r="101" spans="1:21" s="1950" customFormat="1" ht="18" customHeight="1">
      <c r="A101" s="1955" t="s">
        <v>2773</v>
      </c>
      <c r="B101" s="1957"/>
      <c r="C101" s="1958"/>
      <c r="D101" s="1956"/>
      <c r="E101" s="1956"/>
      <c r="F101" s="1956"/>
      <c r="G101" s="1956"/>
      <c r="H101" s="1956"/>
      <c r="I101" s="1959"/>
      <c r="J101" s="1956"/>
      <c r="K101" s="1956"/>
      <c r="L101" s="1956"/>
      <c r="M101" s="1956"/>
      <c r="N101" s="1956"/>
      <c r="O101" s="1956"/>
      <c r="P101" s="1956"/>
      <c r="Q101" s="1956"/>
      <c r="R101" s="1957"/>
      <c r="S101" s="1957"/>
      <c r="T101" s="1959"/>
      <c r="U101" s="1960"/>
    </row>
    <row r="102" spans="1:21" ht="18" customHeight="1">
      <c r="A102" s="1946" t="s">
        <v>2774</v>
      </c>
      <c r="B102" s="7">
        <v>300</v>
      </c>
      <c r="C102" s="1947" t="s">
        <v>2658</v>
      </c>
      <c r="E102" s="9" t="s">
        <v>1840</v>
      </c>
      <c r="F102" s="9" t="s">
        <v>149</v>
      </c>
      <c r="G102" s="9" t="s">
        <v>2679</v>
      </c>
      <c r="I102" s="1954" t="s">
        <v>1840</v>
      </c>
      <c r="J102" s="9" t="s">
        <v>1840</v>
      </c>
      <c r="K102" s="9" t="s">
        <v>1840</v>
      </c>
      <c r="L102" s="9" t="s">
        <v>1840</v>
      </c>
      <c r="Q102" s="9" t="s">
        <v>2775</v>
      </c>
      <c r="R102" s="1961" t="s">
        <v>2662</v>
      </c>
      <c r="S102" s="1961" t="s">
        <v>2652</v>
      </c>
      <c r="T102" s="1954" t="s">
        <v>1840</v>
      </c>
      <c r="U102" s="1962" t="s">
        <v>1840</v>
      </c>
    </row>
    <row r="103" spans="1:21" ht="18" customHeight="1">
      <c r="A103" s="1946" t="s">
        <v>2776</v>
      </c>
      <c r="B103" s="7">
        <v>300</v>
      </c>
      <c r="C103" s="1947" t="s">
        <v>2658</v>
      </c>
      <c r="E103" s="9" t="s">
        <v>1840</v>
      </c>
      <c r="F103" s="9" t="s">
        <v>149</v>
      </c>
      <c r="G103" s="9" t="s">
        <v>2777</v>
      </c>
      <c r="I103" s="1954" t="s">
        <v>1840</v>
      </c>
      <c r="J103" s="9" t="s">
        <v>1840</v>
      </c>
      <c r="K103" s="9" t="s">
        <v>1840</v>
      </c>
      <c r="L103" s="9" t="s">
        <v>1840</v>
      </c>
      <c r="R103" s="1961" t="s">
        <v>2662</v>
      </c>
      <c r="S103" s="1961" t="s">
        <v>2652</v>
      </c>
      <c r="T103" s="1954" t="s">
        <v>1840</v>
      </c>
      <c r="U103" s="1962" t="s">
        <v>1840</v>
      </c>
    </row>
    <row r="104" spans="1:21" ht="18" customHeight="1">
      <c r="A104" s="1946" t="s">
        <v>2778</v>
      </c>
      <c r="B104" s="7">
        <v>300</v>
      </c>
      <c r="C104" s="1947" t="s">
        <v>2658</v>
      </c>
      <c r="E104" s="9" t="s">
        <v>1840</v>
      </c>
      <c r="F104" s="9" t="s">
        <v>149</v>
      </c>
      <c r="G104" s="9" t="s">
        <v>2779</v>
      </c>
      <c r="I104" s="1954" t="s">
        <v>1840</v>
      </c>
      <c r="J104" s="9" t="s">
        <v>1840</v>
      </c>
      <c r="K104" s="9" t="s">
        <v>1840</v>
      </c>
      <c r="L104" s="9" t="s">
        <v>1840</v>
      </c>
      <c r="R104" s="1961" t="s">
        <v>2662</v>
      </c>
      <c r="S104" s="1961" t="s">
        <v>2652</v>
      </c>
      <c r="T104" s="1954" t="s">
        <v>1840</v>
      </c>
      <c r="U104" s="1962" t="s">
        <v>1840</v>
      </c>
    </row>
    <row r="105" spans="1:21" ht="18" customHeight="1">
      <c r="A105" s="1946" t="s">
        <v>2780</v>
      </c>
      <c r="B105" s="7">
        <v>300</v>
      </c>
      <c r="C105" s="1947" t="s">
        <v>2658</v>
      </c>
      <c r="E105" s="9" t="s">
        <v>1840</v>
      </c>
      <c r="F105" s="9" t="s">
        <v>149</v>
      </c>
      <c r="G105" s="9" t="s">
        <v>2781</v>
      </c>
      <c r="I105" s="1954" t="s">
        <v>1840</v>
      </c>
      <c r="J105" s="9" t="s">
        <v>1840</v>
      </c>
      <c r="K105" s="9" t="s">
        <v>1840</v>
      </c>
      <c r="L105" s="9" t="s">
        <v>1840</v>
      </c>
      <c r="R105" s="1961" t="s">
        <v>2662</v>
      </c>
      <c r="S105" s="1961" t="s">
        <v>2652</v>
      </c>
      <c r="T105" s="1954" t="s">
        <v>1840</v>
      </c>
      <c r="U105" s="1962" t="s">
        <v>1840</v>
      </c>
    </row>
    <row r="106" spans="1:21" ht="18" customHeight="1">
      <c r="A106" s="1946" t="s">
        <v>2782</v>
      </c>
      <c r="B106" s="7">
        <v>400</v>
      </c>
      <c r="C106" s="1947" t="s">
        <v>2658</v>
      </c>
      <c r="E106" s="9" t="s">
        <v>1840</v>
      </c>
      <c r="F106" s="9" t="s">
        <v>149</v>
      </c>
      <c r="G106" s="9" t="s">
        <v>2781</v>
      </c>
      <c r="I106" s="1954" t="s">
        <v>1840</v>
      </c>
      <c r="J106" s="9" t="s">
        <v>1840</v>
      </c>
      <c r="K106" s="9" t="s">
        <v>1840</v>
      </c>
      <c r="L106" s="9" t="s">
        <v>1840</v>
      </c>
      <c r="R106" s="1961" t="s">
        <v>2662</v>
      </c>
      <c r="S106" s="1961" t="s">
        <v>2652</v>
      </c>
      <c r="T106" s="1954" t="s">
        <v>1840</v>
      </c>
      <c r="U106" s="1962" t="s">
        <v>1840</v>
      </c>
    </row>
    <row r="107" spans="1:21" ht="18" customHeight="1">
      <c r="A107" s="1946" t="s">
        <v>2783</v>
      </c>
      <c r="B107" s="7">
        <v>300</v>
      </c>
      <c r="C107" s="1947" t="s">
        <v>2658</v>
      </c>
      <c r="E107" s="9" t="s">
        <v>1840</v>
      </c>
      <c r="F107" s="9" t="s">
        <v>149</v>
      </c>
      <c r="G107" s="9" t="s">
        <v>2784</v>
      </c>
      <c r="I107" s="1954" t="s">
        <v>1840</v>
      </c>
      <c r="J107" s="9" t="s">
        <v>1840</v>
      </c>
      <c r="K107" s="9" t="s">
        <v>1840</v>
      </c>
      <c r="L107" s="9" t="s">
        <v>1840</v>
      </c>
      <c r="R107" s="1961" t="s">
        <v>2662</v>
      </c>
      <c r="S107" s="1961" t="s">
        <v>2652</v>
      </c>
      <c r="T107" s="1954" t="s">
        <v>1840</v>
      </c>
      <c r="U107" s="1962" t="s">
        <v>1840</v>
      </c>
    </row>
    <row r="108" spans="1:21" ht="18" customHeight="1">
      <c r="A108" s="1946" t="s">
        <v>2785</v>
      </c>
      <c r="B108" s="7">
        <v>300</v>
      </c>
      <c r="C108" s="1947" t="s">
        <v>2658</v>
      </c>
      <c r="E108" s="9" t="s">
        <v>1840</v>
      </c>
      <c r="F108" s="9" t="s">
        <v>149</v>
      </c>
      <c r="G108" s="9" t="s">
        <v>2784</v>
      </c>
      <c r="I108" s="1954" t="s">
        <v>1840</v>
      </c>
      <c r="J108" s="9" t="s">
        <v>1840</v>
      </c>
      <c r="K108" s="9" t="s">
        <v>1840</v>
      </c>
      <c r="L108" s="9" t="s">
        <v>1840</v>
      </c>
      <c r="R108" s="1961" t="s">
        <v>2662</v>
      </c>
      <c r="S108" s="1961" t="s">
        <v>2652</v>
      </c>
      <c r="T108" s="1954" t="s">
        <v>1840</v>
      </c>
      <c r="U108" s="1962" t="s">
        <v>1840</v>
      </c>
    </row>
    <row r="109" spans="1:21" ht="18" customHeight="1" thickBot="1">
      <c r="A109" s="1977" t="s">
        <v>2786</v>
      </c>
      <c r="B109" s="1979">
        <v>300</v>
      </c>
      <c r="C109" s="1972" t="s">
        <v>2658</v>
      </c>
      <c r="D109" s="1978"/>
      <c r="E109" s="1978" t="s">
        <v>1840</v>
      </c>
      <c r="F109" s="1978" t="s">
        <v>149</v>
      </c>
      <c r="G109" s="1978" t="s">
        <v>2784</v>
      </c>
      <c r="H109" s="1978"/>
      <c r="I109" s="1980" t="s">
        <v>1840</v>
      </c>
      <c r="J109" s="1978" t="s">
        <v>1840</v>
      </c>
      <c r="K109" s="1978" t="s">
        <v>1840</v>
      </c>
      <c r="L109" s="1978" t="s">
        <v>1840</v>
      </c>
      <c r="M109" s="1978"/>
      <c r="N109" s="1978"/>
      <c r="O109" s="1978"/>
      <c r="P109" s="1978"/>
      <c r="Q109" s="1978"/>
      <c r="R109" s="1981" t="s">
        <v>2662</v>
      </c>
      <c r="S109" s="1981" t="s">
        <v>2652</v>
      </c>
      <c r="T109" s="1980" t="s">
        <v>1840</v>
      </c>
      <c r="U109" s="1975" t="s">
        <v>1840</v>
      </c>
    </row>
  </sheetData>
  <mergeCells count="6">
    <mergeCell ref="T1:U1"/>
    <mergeCell ref="A1:A2"/>
    <mergeCell ref="B1:B2"/>
    <mergeCell ref="C1:C2"/>
    <mergeCell ref="I1:J1"/>
    <mergeCell ref="R1:S1"/>
  </mergeCells>
  <conditionalFormatting sqref="A38:A43">
    <cfRule type="expression" dxfId="17" priority="1">
      <formula>#REF!="Level 5"</formula>
    </cfRule>
    <cfRule type="expression" dxfId="16" priority="2">
      <formula>#REF!="Level 4"</formula>
    </cfRule>
    <cfRule type="expression" dxfId="15" priority="3">
      <formula>#REF!="Level 3"</formula>
    </cfRule>
    <cfRule type="expression" dxfId="14" priority="4">
      <formula>#REF!="Level 2"</formula>
    </cfRule>
    <cfRule type="expression" dxfId="13" priority="5">
      <formula>#REF!="Level 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AA330-FB84-48D8-9763-01F0B289AA96}">
  <sheetPr codeName="Sheet14"/>
  <dimension ref="A1:AC89"/>
  <sheetViews>
    <sheetView showGridLines="0" topLeftCell="B1" zoomScale="85" zoomScaleNormal="85" workbookViewId="0">
      <selection activeCell="B1" sqref="B1:C3"/>
    </sheetView>
  </sheetViews>
  <sheetFormatPr defaultColWidth="9.109375" defaultRowHeight="13.8"/>
  <cols>
    <col min="1" max="1" width="12.6640625" style="348" hidden="1" customWidth="1"/>
    <col min="2" max="2" width="6.6640625" style="348" customWidth="1"/>
    <col min="3" max="3" width="50.6640625" style="348" customWidth="1"/>
    <col min="4" max="7" width="14.6640625" style="348" customWidth="1"/>
    <col min="8" max="9" width="14.6640625" style="1087" customWidth="1"/>
    <col min="10" max="10" width="14.6640625" style="1077" customWidth="1"/>
    <col min="11" max="11" width="100.6640625" style="348" customWidth="1"/>
    <col min="12" max="12" width="70.6640625" style="348" customWidth="1"/>
    <col min="13" max="14" width="8.6640625" style="348" customWidth="1"/>
    <col min="15" max="15" width="8.6640625" style="348" hidden="1" customWidth="1"/>
    <col min="16" max="16" width="12.5546875" style="348" hidden="1" customWidth="1"/>
    <col min="17" max="22" width="12.6640625" style="1097" hidden="1" customWidth="1"/>
    <col min="23" max="25" width="12.6640625" style="1067" hidden="1" customWidth="1"/>
    <col min="26" max="26" width="12.6640625" style="348" hidden="1" customWidth="1"/>
    <col min="27" max="28" width="12.6640625" style="1067" hidden="1" customWidth="1"/>
    <col min="29" max="29" width="12.5546875" style="348" hidden="1" customWidth="1"/>
    <col min="30" max="30" width="9.109375" style="348" customWidth="1"/>
    <col min="31" max="16384" width="9.109375" style="348"/>
  </cols>
  <sheetData>
    <row r="1" spans="1:29" ht="15" customHeight="1">
      <c r="B1" s="2136" t="s">
        <v>592</v>
      </c>
      <c r="C1" s="2137"/>
      <c r="D1" s="2133" t="s">
        <v>2162</v>
      </c>
      <c r="E1" s="2133"/>
      <c r="F1" s="2133"/>
      <c r="G1" s="2133"/>
      <c r="H1" s="2133"/>
      <c r="I1" s="2133"/>
      <c r="J1" s="2133"/>
      <c r="K1" s="1055" t="str">
        <f>'Project Information'!B3</f>
        <v>Enter project name &amp; description</v>
      </c>
      <c r="L1" s="2120" t="s">
        <v>1819</v>
      </c>
      <c r="M1" s="1141"/>
      <c r="N1" s="1141"/>
      <c r="O1" s="1141"/>
      <c r="P1" s="1141"/>
      <c r="Q1" s="1143"/>
      <c r="R1" s="1143"/>
      <c r="S1" s="1143"/>
      <c r="T1" s="1143"/>
      <c r="U1" s="1144"/>
      <c r="V1" s="1144"/>
      <c r="W1" s="1145"/>
      <c r="X1" s="1145"/>
      <c r="Y1" s="1145"/>
      <c r="Z1" s="1142"/>
      <c r="AA1" s="1145"/>
      <c r="AB1" s="1145"/>
    </row>
    <row r="2" spans="1:29" ht="15" customHeight="1">
      <c r="B2" s="2138"/>
      <c r="C2" s="2139"/>
      <c r="D2" s="2134"/>
      <c r="E2" s="2134"/>
      <c r="F2" s="2134"/>
      <c r="G2" s="2134"/>
      <c r="H2" s="2134"/>
      <c r="I2" s="2134"/>
      <c r="J2" s="2134"/>
      <c r="K2" s="1056" t="str">
        <f>'Project Information'!B1</f>
        <v>999999-1-32-01</v>
      </c>
      <c r="L2" s="2121"/>
      <c r="M2" s="1141"/>
      <c r="N2" s="1141"/>
      <c r="O2" s="1141"/>
      <c r="P2" s="1141"/>
      <c r="Q2" s="1143"/>
      <c r="R2" s="1143"/>
      <c r="S2" s="1143"/>
      <c r="T2" s="1143"/>
      <c r="U2" s="1144"/>
      <c r="V2" s="1144"/>
      <c r="W2" s="1145"/>
      <c r="X2" s="1145"/>
      <c r="Y2" s="1145"/>
      <c r="Z2" s="1142"/>
      <c r="AA2" s="1145"/>
      <c r="AB2" s="1145"/>
    </row>
    <row r="3" spans="1:29" s="1058" customFormat="1" ht="15" customHeight="1" thickBot="1">
      <c r="B3" s="2140"/>
      <c r="C3" s="2141"/>
      <c r="D3" s="2135"/>
      <c r="E3" s="2135"/>
      <c r="F3" s="2135"/>
      <c r="G3" s="2135"/>
      <c r="H3" s="2135"/>
      <c r="I3" s="2135"/>
      <c r="J3" s="2135"/>
      <c r="K3" s="1057"/>
      <c r="L3" s="2122"/>
      <c r="M3" s="1141"/>
      <c r="N3" s="1141"/>
      <c r="O3" s="1141"/>
      <c r="P3" s="1141"/>
      <c r="Q3" s="1144"/>
      <c r="R3" s="1144"/>
      <c r="S3" s="1144"/>
      <c r="T3" s="1144"/>
      <c r="U3" s="1144"/>
      <c r="V3" s="1144"/>
      <c r="W3" s="1145"/>
      <c r="X3" s="1145"/>
      <c r="Y3" s="1145"/>
      <c r="Z3" s="1146"/>
      <c r="AA3" s="1145"/>
      <c r="AB3" s="1145"/>
    </row>
    <row r="4" spans="1:29" s="1058" customFormat="1" ht="30" customHeight="1" thickBot="1">
      <c r="B4" s="2123" t="s">
        <v>1396</v>
      </c>
      <c r="C4" s="2124"/>
      <c r="D4" s="2125" t="s">
        <v>1397</v>
      </c>
      <c r="E4" s="2126"/>
      <c r="F4" s="2126"/>
      <c r="G4" s="2126"/>
      <c r="H4" s="2126"/>
      <c r="I4" s="2126"/>
      <c r="J4" s="2127"/>
      <c r="K4" s="1111" t="s">
        <v>1398</v>
      </c>
      <c r="L4" s="1580" t="s">
        <v>2625</v>
      </c>
      <c r="M4" s="1147"/>
      <c r="N4" s="1147"/>
      <c r="O4" s="1147"/>
      <c r="P4" s="1147"/>
      <c r="Q4" s="1148"/>
      <c r="R4" s="1148"/>
      <c r="S4" s="1148"/>
      <c r="T4" s="1148"/>
      <c r="U4" s="1144"/>
      <c r="V4" s="1144"/>
      <c r="W4" s="1145"/>
      <c r="X4" s="1145"/>
      <c r="Y4" s="1145"/>
      <c r="Z4" s="1146"/>
      <c r="AA4" s="1145"/>
      <c r="AB4" s="1145"/>
    </row>
    <row r="5" spans="1:29" s="1058" customFormat="1" ht="30" customHeight="1">
      <c r="B5" s="2128" t="s">
        <v>1400</v>
      </c>
      <c r="C5" s="2129"/>
      <c r="D5" s="2130"/>
      <c r="E5" s="2131"/>
      <c r="F5" s="2131"/>
      <c r="G5" s="2131"/>
      <c r="H5" s="2131"/>
      <c r="I5" s="2131"/>
      <c r="J5" s="2132"/>
      <c r="K5" s="1059"/>
      <c r="L5" s="2117" t="s">
        <v>1820</v>
      </c>
      <c r="M5" s="1147"/>
      <c r="N5" s="1147"/>
      <c r="O5" s="1147"/>
      <c r="P5" s="1147"/>
      <c r="Q5" s="1148"/>
      <c r="R5" s="1148"/>
      <c r="S5" s="1148"/>
      <c r="T5" s="1148"/>
      <c r="U5" s="1144"/>
      <c r="V5" s="1144"/>
      <c r="W5" s="1145"/>
      <c r="X5" s="1145"/>
      <c r="Y5" s="1145"/>
      <c r="Z5" s="1146"/>
      <c r="AA5" s="1145"/>
      <c r="AB5" s="1145"/>
    </row>
    <row r="6" spans="1:29" s="1058" customFormat="1" ht="30" customHeight="1" thickBot="1">
      <c r="B6" s="2112" t="s">
        <v>1399</v>
      </c>
      <c r="C6" s="2113"/>
      <c r="D6" s="2114"/>
      <c r="E6" s="2115"/>
      <c r="F6" s="2115"/>
      <c r="G6" s="2115"/>
      <c r="H6" s="2115"/>
      <c r="I6" s="2115"/>
      <c r="J6" s="2116"/>
      <c r="K6" s="1060"/>
      <c r="L6" s="2118"/>
      <c r="M6" s="1147"/>
      <c r="N6" s="1147"/>
      <c r="O6" s="1147"/>
      <c r="P6" s="1147"/>
      <c r="Q6" s="1147"/>
      <c r="R6" s="1147"/>
      <c r="S6" s="1147"/>
      <c r="T6" s="1147"/>
      <c r="U6" s="1147"/>
      <c r="V6" s="1147"/>
      <c r="W6" s="1147"/>
      <c r="X6" s="1145"/>
      <c r="Y6" s="1145"/>
      <c r="Z6" s="1146"/>
      <c r="AA6" s="1145"/>
      <c r="AB6" s="1145"/>
    </row>
    <row r="7" spans="1:29" s="1058" customFormat="1" ht="15" customHeight="1">
      <c r="B7" s="1112" t="s">
        <v>1430</v>
      </c>
      <c r="C7" s="1113"/>
      <c r="D7" s="1114"/>
      <c r="E7" s="1114"/>
      <c r="F7" s="1114"/>
      <c r="G7" s="1114"/>
      <c r="H7" s="1183"/>
      <c r="I7" s="1183"/>
      <c r="J7" s="1183"/>
      <c r="K7" s="1115"/>
      <c r="L7" s="2118"/>
      <c r="M7" s="1147"/>
      <c r="N7" s="1147"/>
      <c r="O7" s="1147"/>
      <c r="P7" s="1147"/>
      <c r="Q7" s="1144"/>
      <c r="R7" s="1144"/>
      <c r="S7" s="1144"/>
      <c r="T7" s="1144"/>
      <c r="U7" s="1144"/>
      <c r="V7" s="1144"/>
      <c r="W7" s="1145"/>
      <c r="X7" s="1145"/>
      <c r="Y7" s="1145"/>
      <c r="Z7" s="1146"/>
      <c r="AA7" s="1145"/>
      <c r="AB7" s="1145"/>
    </row>
    <row r="8" spans="1:29" s="1058" customFormat="1" ht="15" customHeight="1" thickBot="1">
      <c r="B8" s="1116"/>
      <c r="C8" s="1117"/>
      <c r="D8" s="1118"/>
      <c r="E8" s="1118"/>
      <c r="F8" s="1118"/>
      <c r="G8" s="1118"/>
      <c r="H8" s="1187"/>
      <c r="I8" s="1187"/>
      <c r="J8" s="1187"/>
      <c r="K8" s="1119"/>
      <c r="L8" s="2118"/>
      <c r="M8" s="1147"/>
      <c r="N8" s="1147"/>
      <c r="O8" s="1147"/>
      <c r="P8" s="1147"/>
      <c r="Q8" s="1144"/>
      <c r="R8" s="1144"/>
      <c r="S8" s="1144"/>
      <c r="T8" s="1144"/>
      <c r="U8" s="1144"/>
      <c r="V8" s="1144"/>
      <c r="W8" s="1145"/>
      <c r="X8" s="1145"/>
      <c r="Y8" s="1145"/>
      <c r="Z8" s="1146"/>
      <c r="AA8" s="1145"/>
      <c r="AB8" s="1145"/>
    </row>
    <row r="9" spans="1:29" s="1061" customFormat="1" ht="30" customHeight="1">
      <c r="B9" s="2153" t="s">
        <v>79</v>
      </c>
      <c r="C9" s="2155" t="s">
        <v>190</v>
      </c>
      <c r="D9" s="2157" t="s">
        <v>1821</v>
      </c>
      <c r="E9" s="2158"/>
      <c r="F9" s="2159"/>
      <c r="G9" s="2157" t="s">
        <v>1822</v>
      </c>
      <c r="H9" s="2158"/>
      <c r="I9" s="2158"/>
      <c r="J9" s="2159"/>
      <c r="K9" s="1120" t="s">
        <v>1823</v>
      </c>
      <c r="L9" s="2118"/>
      <c r="M9" s="1147"/>
      <c r="N9" s="1147"/>
      <c r="O9" s="2167" t="s">
        <v>190</v>
      </c>
      <c r="P9" s="2167" t="s">
        <v>1869</v>
      </c>
      <c r="Q9" s="2167"/>
      <c r="R9" s="2167"/>
      <c r="S9" s="2167"/>
      <c r="T9" s="2167"/>
      <c r="U9" s="2167" t="s">
        <v>1914</v>
      </c>
      <c r="V9" s="2167"/>
      <c r="W9" s="2167"/>
      <c r="X9" s="2142" t="s">
        <v>2163</v>
      </c>
      <c r="Y9" s="2143"/>
      <c r="Z9" s="2144"/>
      <c r="AA9" s="2142" t="s">
        <v>1862</v>
      </c>
      <c r="AB9" s="2143"/>
      <c r="AC9" s="2144"/>
    </row>
    <row r="10" spans="1:29" s="1061" customFormat="1" ht="30" customHeight="1">
      <c r="B10" s="2154"/>
      <c r="C10" s="2156"/>
      <c r="D10" s="1879" t="s">
        <v>1824</v>
      </c>
      <c r="E10" s="1880" t="s">
        <v>87</v>
      </c>
      <c r="F10" s="1879" t="s">
        <v>1825</v>
      </c>
      <c r="G10" s="2176" t="s">
        <v>1826</v>
      </c>
      <c r="H10" s="2176" t="s">
        <v>1827</v>
      </c>
      <c r="I10" s="2176" t="s">
        <v>1196</v>
      </c>
      <c r="J10" s="2176" t="s">
        <v>1837</v>
      </c>
      <c r="K10" s="2171" t="s">
        <v>1829</v>
      </c>
      <c r="L10" s="2118"/>
      <c r="M10" s="1147"/>
      <c r="N10" s="1147"/>
      <c r="O10" s="2170"/>
      <c r="P10" s="1647" t="s">
        <v>1926</v>
      </c>
      <c r="Q10" s="1647" t="s">
        <v>1859</v>
      </c>
      <c r="R10" s="1647" t="s">
        <v>1860</v>
      </c>
      <c r="S10" s="1647" t="s">
        <v>1861</v>
      </c>
      <c r="T10" s="1647" t="s">
        <v>1927</v>
      </c>
      <c r="U10" s="1647" t="s">
        <v>1883</v>
      </c>
      <c r="V10" s="1647" t="s">
        <v>1833</v>
      </c>
      <c r="W10" s="1647" t="s">
        <v>1834</v>
      </c>
      <c r="X10" s="1647" t="s">
        <v>1928</v>
      </c>
      <c r="Y10" s="1647" t="s">
        <v>1929</v>
      </c>
      <c r="Z10" s="1647" t="s">
        <v>1930</v>
      </c>
      <c r="AA10" s="1647" t="s">
        <v>1931</v>
      </c>
      <c r="AB10" s="1647" t="s">
        <v>1932</v>
      </c>
      <c r="AC10" s="1647" t="s">
        <v>1933</v>
      </c>
    </row>
    <row r="11" spans="1:29" s="1061" customFormat="1" ht="30" customHeight="1" thickBot="1">
      <c r="B11" s="2173" t="s">
        <v>2558</v>
      </c>
      <c r="C11" s="2174"/>
      <c r="D11" s="2174"/>
      <c r="E11" s="2175"/>
      <c r="F11" s="1881"/>
      <c r="G11" s="2177"/>
      <c r="H11" s="2177"/>
      <c r="I11" s="2177"/>
      <c r="J11" s="2177"/>
      <c r="K11" s="2172"/>
      <c r="L11" s="2119"/>
      <c r="M11" s="1147"/>
      <c r="N11" s="1147"/>
      <c r="O11" s="1604"/>
      <c r="P11" s="1647"/>
      <c r="Q11" s="1647"/>
      <c r="R11" s="1647"/>
      <c r="S11" s="1647"/>
      <c r="T11" s="1647"/>
      <c r="U11" s="1647"/>
      <c r="V11" s="1647"/>
      <c r="W11" s="1647"/>
      <c r="X11" s="1647"/>
      <c r="Y11" s="1647"/>
      <c r="Z11" s="1647"/>
      <c r="AA11" s="1647"/>
      <c r="AB11" s="1647"/>
      <c r="AC11" s="1647"/>
    </row>
    <row r="12" spans="1:29" ht="30" customHeight="1">
      <c r="A12" s="1067" t="s">
        <v>2164</v>
      </c>
      <c r="B12" s="2145">
        <v>4.0999999999999996</v>
      </c>
      <c r="C12" s="2148" t="s">
        <v>89</v>
      </c>
      <c r="D12" s="1070" t="s">
        <v>2165</v>
      </c>
      <c r="E12" s="1650">
        <v>0</v>
      </c>
      <c r="F12" s="1558"/>
      <c r="G12" s="1137">
        <f>IF(E12=0,0,X12)</f>
        <v>0</v>
      </c>
      <c r="H12" s="1212">
        <v>0</v>
      </c>
      <c r="I12" s="1212">
        <v>0</v>
      </c>
      <c r="J12" s="1212">
        <v>0</v>
      </c>
      <c r="K12" s="1063"/>
      <c r="L12" s="2149" t="s">
        <v>1882</v>
      </c>
      <c r="M12" s="1142"/>
      <c r="N12" s="1142"/>
      <c r="O12" s="2151">
        <v>4.0999999999999996</v>
      </c>
      <c r="P12" s="1149"/>
      <c r="Q12" s="1149"/>
      <c r="R12" s="1149"/>
      <c r="S12" s="1149"/>
      <c r="T12" s="1149"/>
      <c r="U12" s="1149"/>
      <c r="V12" s="1149"/>
      <c r="W12" s="1149"/>
      <c r="X12" s="1149">
        <v>6</v>
      </c>
      <c r="Y12" s="1149"/>
      <c r="Z12" s="1149"/>
      <c r="AA12" s="1149"/>
      <c r="AB12" s="1149"/>
      <c r="AC12" s="1149"/>
    </row>
    <row r="13" spans="1:29" ht="30" customHeight="1">
      <c r="A13" s="1067" t="s">
        <v>2166</v>
      </c>
      <c r="B13" s="2146"/>
      <c r="C13" s="2110"/>
      <c r="D13" s="1615" t="s">
        <v>2167</v>
      </c>
      <c r="E13" s="1064">
        <v>0</v>
      </c>
      <c r="F13" s="1210" t="s">
        <v>2168</v>
      </c>
      <c r="G13" s="1611">
        <f>IF(E12=0,0,E13*U13)</f>
        <v>0</v>
      </c>
      <c r="H13" s="1629">
        <v>0</v>
      </c>
      <c r="I13" s="1629">
        <v>0</v>
      </c>
      <c r="J13" s="1629">
        <v>0</v>
      </c>
      <c r="K13" s="1652"/>
      <c r="L13" s="2150"/>
      <c r="M13" s="1142"/>
      <c r="N13" s="1142"/>
      <c r="O13" s="2151"/>
      <c r="P13" s="1149"/>
      <c r="Q13" s="1149"/>
      <c r="R13" s="1149"/>
      <c r="S13" s="1149"/>
      <c r="T13" s="1149"/>
      <c r="U13" s="1653">
        <v>6</v>
      </c>
      <c r="V13" s="1149"/>
      <c r="W13" s="1149"/>
      <c r="X13" s="1149"/>
      <c r="Y13" s="1149"/>
      <c r="Z13" s="1149"/>
      <c r="AA13" s="1149"/>
      <c r="AB13" s="1149"/>
      <c r="AC13" s="1149"/>
    </row>
    <row r="14" spans="1:29" ht="30" customHeight="1">
      <c r="A14" s="1067" t="s">
        <v>2169</v>
      </c>
      <c r="B14" s="2146"/>
      <c r="C14" s="2110"/>
      <c r="D14" s="1615" t="s">
        <v>2167</v>
      </c>
      <c r="E14" s="1064">
        <v>0</v>
      </c>
      <c r="F14" s="1210" t="s">
        <v>2788</v>
      </c>
      <c r="G14" s="1611">
        <f>IF(E12=0,0,E14*V14)</f>
        <v>0</v>
      </c>
      <c r="H14" s="1629">
        <v>0</v>
      </c>
      <c r="I14" s="1629">
        <v>0</v>
      </c>
      <c r="J14" s="1629">
        <v>0</v>
      </c>
      <c r="K14" s="1652"/>
      <c r="L14" s="2150"/>
      <c r="M14" s="1142"/>
      <c r="N14" s="1142"/>
      <c r="O14" s="2151"/>
      <c r="P14" s="1149"/>
      <c r="Q14" s="1149"/>
      <c r="R14" s="1149"/>
      <c r="S14" s="1149"/>
      <c r="T14" s="1149"/>
      <c r="U14" s="1653"/>
      <c r="V14" s="1149">
        <v>8</v>
      </c>
      <c r="W14" s="1149"/>
      <c r="X14" s="1149"/>
      <c r="Y14" s="1149"/>
      <c r="Z14" s="1149"/>
      <c r="AA14" s="1149"/>
      <c r="AB14" s="1149"/>
      <c r="AC14" s="1149"/>
    </row>
    <row r="15" spans="1:29" ht="30" customHeight="1">
      <c r="A15" s="1067" t="s">
        <v>2170</v>
      </c>
      <c r="B15" s="2147"/>
      <c r="C15" s="2111"/>
      <c r="D15" s="1615" t="s">
        <v>2167</v>
      </c>
      <c r="E15" s="1064">
        <v>0</v>
      </c>
      <c r="F15" s="1210" t="s">
        <v>2171</v>
      </c>
      <c r="G15" s="1611">
        <f>IF(E12=0,0,E15*W15)</f>
        <v>0</v>
      </c>
      <c r="H15" s="1629">
        <v>0</v>
      </c>
      <c r="I15" s="1629">
        <v>0</v>
      </c>
      <c r="J15" s="1629">
        <v>0</v>
      </c>
      <c r="K15" s="1652"/>
      <c r="L15" s="2150"/>
      <c r="M15" s="1142"/>
      <c r="N15" s="1142"/>
      <c r="O15" s="2151"/>
      <c r="P15" s="1149"/>
      <c r="Q15" s="1149"/>
      <c r="R15" s="1149"/>
      <c r="S15" s="1149"/>
      <c r="T15" s="1149"/>
      <c r="U15" s="1653"/>
      <c r="V15" s="1149"/>
      <c r="W15" s="1149">
        <v>10</v>
      </c>
      <c r="X15" s="1149"/>
      <c r="Y15" s="1149"/>
      <c r="Z15" s="1149"/>
      <c r="AA15" s="1149"/>
      <c r="AB15" s="1149"/>
      <c r="AC15" s="1149"/>
    </row>
    <row r="16" spans="1:29" ht="30" customHeight="1">
      <c r="A16" s="1067" t="s">
        <v>2172</v>
      </c>
      <c r="B16" s="1126">
        <v>4.2</v>
      </c>
      <c r="C16" s="351" t="s">
        <v>1047</v>
      </c>
      <c r="D16" s="1210" t="s">
        <v>2031</v>
      </c>
      <c r="E16" s="1064">
        <v>0</v>
      </c>
      <c r="F16" s="1180"/>
      <c r="G16" s="1138">
        <f>IF(E16=0,0,IF(F16="Simple",U16,IF(F16="Standard",V16,IF(F16="Complex",W16,0))))</f>
        <v>0</v>
      </c>
      <c r="H16" s="1629">
        <v>0</v>
      </c>
      <c r="I16" s="1629">
        <v>0</v>
      </c>
      <c r="J16" s="1629">
        <v>0</v>
      </c>
      <c r="K16" s="1066"/>
      <c r="L16" s="2150"/>
      <c r="M16" s="1142"/>
      <c r="N16" s="1142"/>
      <c r="O16" s="1651">
        <v>4.2</v>
      </c>
      <c r="P16" s="1149"/>
      <c r="Q16" s="1149"/>
      <c r="R16" s="1149"/>
      <c r="S16" s="1654"/>
      <c r="T16" s="1654"/>
      <c r="U16" s="1653">
        <v>8</v>
      </c>
      <c r="V16" s="1654">
        <v>40</v>
      </c>
      <c r="W16" s="1654">
        <v>50</v>
      </c>
      <c r="X16" s="1149"/>
      <c r="Y16" s="1149"/>
      <c r="Z16" s="1149"/>
      <c r="AA16" s="1149"/>
      <c r="AB16" s="1149"/>
      <c r="AC16" s="1149"/>
    </row>
    <row r="17" spans="1:29" ht="30" customHeight="1">
      <c r="A17" s="1067" t="s">
        <v>2173</v>
      </c>
      <c r="B17" s="2146">
        <v>4.3</v>
      </c>
      <c r="C17" s="2110" t="s">
        <v>86</v>
      </c>
      <c r="D17" s="1210" t="s">
        <v>2174</v>
      </c>
      <c r="E17" s="1064">
        <v>0</v>
      </c>
      <c r="F17" s="1993" t="str">
        <f>IF($F$11=0,"",$F$11)</f>
        <v/>
      </c>
      <c r="G17" s="1138">
        <f>IF(E17=0,0,IF(F17="Below",P17,IF(F17="Low",Q17,(IF(F17="Mid",R17,(IF(F17="Upper",S17,(IF(F17="Above",T17,0)))))))))</f>
        <v>0</v>
      </c>
      <c r="H17" s="1629">
        <v>0</v>
      </c>
      <c r="I17" s="1629">
        <v>0</v>
      </c>
      <c r="J17" s="1629">
        <v>0</v>
      </c>
      <c r="K17" s="1066"/>
      <c r="L17" s="2150"/>
      <c r="M17" s="1142"/>
      <c r="N17" s="1142"/>
      <c r="O17" s="2151">
        <v>4.3</v>
      </c>
      <c r="P17" s="1149">
        <v>16</v>
      </c>
      <c r="Q17" s="1653">
        <v>24</v>
      </c>
      <c r="R17" s="1654">
        <v>32</v>
      </c>
      <c r="S17" s="1654">
        <v>40</v>
      </c>
      <c r="T17" s="1654">
        <v>48</v>
      </c>
      <c r="U17" s="1653"/>
      <c r="V17" s="1654"/>
      <c r="W17" s="1654"/>
      <c r="X17" s="1149"/>
      <c r="Y17" s="1149"/>
      <c r="Z17" s="1149"/>
      <c r="AA17" s="1149"/>
      <c r="AB17" s="1149"/>
      <c r="AC17" s="1149"/>
    </row>
    <row r="18" spans="1:29" ht="30" customHeight="1">
      <c r="A18" s="1067" t="s">
        <v>2175</v>
      </c>
      <c r="B18" s="2146"/>
      <c r="C18" s="2110"/>
      <c r="D18" s="1210" t="s">
        <v>2176</v>
      </c>
      <c r="E18" s="1064">
        <v>0</v>
      </c>
      <c r="F18" s="1210" t="s">
        <v>2177</v>
      </c>
      <c r="G18" s="1611">
        <f>IF(E17=0,0,E18*X18)</f>
        <v>0</v>
      </c>
      <c r="H18" s="1193">
        <v>0</v>
      </c>
      <c r="I18" s="1193">
        <v>0</v>
      </c>
      <c r="J18" s="1193">
        <v>0</v>
      </c>
      <c r="K18" s="1066"/>
      <c r="L18" s="2150"/>
      <c r="M18" s="1142"/>
      <c r="N18" s="1142"/>
      <c r="O18" s="2151"/>
      <c r="P18" s="1149"/>
      <c r="Q18" s="1149"/>
      <c r="R18" s="1149"/>
      <c r="S18" s="1654"/>
      <c r="T18" s="1654"/>
      <c r="U18" s="1653"/>
      <c r="V18" s="1654"/>
      <c r="W18" s="1654"/>
      <c r="X18" s="1149">
        <v>8</v>
      </c>
      <c r="Y18" s="1149"/>
      <c r="Z18" s="1149"/>
      <c r="AA18" s="1149"/>
      <c r="AB18" s="1149"/>
      <c r="AC18" s="1149"/>
    </row>
    <row r="19" spans="1:29" ht="30" customHeight="1">
      <c r="A19" s="1067" t="s">
        <v>2178</v>
      </c>
      <c r="B19" s="2147"/>
      <c r="C19" s="2111"/>
      <c r="D19" s="1210" t="s">
        <v>2176</v>
      </c>
      <c r="E19" s="1064">
        <v>0</v>
      </c>
      <c r="F19" s="1210" t="s">
        <v>2626</v>
      </c>
      <c r="G19" s="1611">
        <f>IF(E17=0,0,E19*X19)</f>
        <v>0</v>
      </c>
      <c r="H19" s="1193">
        <v>0</v>
      </c>
      <c r="I19" s="1193">
        <v>0</v>
      </c>
      <c r="J19" s="1193">
        <v>0</v>
      </c>
      <c r="K19" s="1066"/>
      <c r="L19" s="2150"/>
      <c r="M19" s="1142"/>
      <c r="N19" s="1142"/>
      <c r="O19" s="2151"/>
      <c r="P19" s="1149"/>
      <c r="Q19" s="1149"/>
      <c r="R19" s="1149"/>
      <c r="S19" s="1654"/>
      <c r="T19" s="1654"/>
      <c r="U19" s="1653"/>
      <c r="V19" s="1654"/>
      <c r="W19" s="1654"/>
      <c r="X19" s="1149">
        <v>4</v>
      </c>
      <c r="Y19" s="1149"/>
      <c r="Z19" s="1149"/>
      <c r="AA19" s="1149"/>
      <c r="AB19" s="1149"/>
      <c r="AC19" s="1149"/>
    </row>
    <row r="20" spans="1:29" ht="30" customHeight="1">
      <c r="A20" s="1067" t="s">
        <v>2179</v>
      </c>
      <c r="B20" s="2152">
        <v>4.4000000000000004</v>
      </c>
      <c r="C20" s="2109" t="s">
        <v>2180</v>
      </c>
      <c r="D20" s="1210" t="s">
        <v>2181</v>
      </c>
      <c r="E20" s="1105">
        <v>0</v>
      </c>
      <c r="F20" s="1210" t="s">
        <v>2182</v>
      </c>
      <c r="G20" s="1210">
        <f xml:space="preserve"> IF(E20=0,0,ROUNDUP(E20*X20,0))</f>
        <v>0</v>
      </c>
      <c r="H20" s="1193">
        <v>0</v>
      </c>
      <c r="I20" s="1193">
        <v>0</v>
      </c>
      <c r="J20" s="1193">
        <v>0</v>
      </c>
      <c r="K20" s="1066"/>
      <c r="L20" s="2150"/>
      <c r="M20" s="1142"/>
      <c r="N20" s="1142"/>
      <c r="O20" s="2151">
        <v>4.4000000000000004</v>
      </c>
      <c r="P20" s="1149"/>
      <c r="Q20" s="1149"/>
      <c r="R20" s="1149"/>
      <c r="S20" s="1654"/>
      <c r="T20" s="1654"/>
      <c r="U20" s="1653"/>
      <c r="V20" s="1654"/>
      <c r="W20" s="1654"/>
      <c r="X20" s="1149">
        <v>1.5</v>
      </c>
      <c r="Y20" s="1149"/>
      <c r="Z20" s="1149"/>
      <c r="AA20" s="1149"/>
      <c r="AB20" s="1149"/>
      <c r="AC20" s="1149"/>
    </row>
    <row r="21" spans="1:29" ht="30" customHeight="1">
      <c r="A21" s="1067" t="s">
        <v>2183</v>
      </c>
      <c r="B21" s="2146"/>
      <c r="C21" s="2110"/>
      <c r="D21" s="1210" t="s">
        <v>2181</v>
      </c>
      <c r="E21" s="1105">
        <v>0</v>
      </c>
      <c r="F21" s="1210" t="s">
        <v>2184</v>
      </c>
      <c r="G21" s="1210">
        <f xml:space="preserve"> IF(E21=0,0,ROUNDUP(E21*X21,0))</f>
        <v>0</v>
      </c>
      <c r="H21" s="1193">
        <v>0</v>
      </c>
      <c r="I21" s="1193">
        <v>0</v>
      </c>
      <c r="J21" s="1193">
        <v>0</v>
      </c>
      <c r="K21" s="1066"/>
      <c r="L21" s="2150"/>
      <c r="M21" s="1142"/>
      <c r="N21" s="1142"/>
      <c r="O21" s="2151"/>
      <c r="P21" s="1149"/>
      <c r="Q21" s="1149"/>
      <c r="R21" s="1149"/>
      <c r="S21" s="1654"/>
      <c r="T21" s="1654"/>
      <c r="U21" s="1653"/>
      <c r="V21" s="1654"/>
      <c r="W21" s="1654"/>
      <c r="X21" s="1149">
        <v>2.5</v>
      </c>
      <c r="Y21" s="1149"/>
      <c r="Z21" s="1149"/>
      <c r="AA21" s="1149"/>
      <c r="AB21" s="1149"/>
      <c r="AC21" s="1149"/>
    </row>
    <row r="22" spans="1:29" ht="30" customHeight="1">
      <c r="A22" s="1067" t="s">
        <v>2185</v>
      </c>
      <c r="B22" s="2147"/>
      <c r="C22" s="2111"/>
      <c r="D22" s="1210" t="s">
        <v>2186</v>
      </c>
      <c r="E22" s="1064">
        <v>0</v>
      </c>
      <c r="F22" s="1129"/>
      <c r="G22" s="1210">
        <f xml:space="preserve"> IF(E22=0,0,E22*X22)</f>
        <v>0</v>
      </c>
      <c r="H22" s="1193">
        <v>0</v>
      </c>
      <c r="I22" s="1193">
        <v>0</v>
      </c>
      <c r="J22" s="1193">
        <v>0</v>
      </c>
      <c r="K22" s="1066"/>
      <c r="L22" s="2150"/>
      <c r="M22" s="1142"/>
      <c r="N22" s="1142"/>
      <c r="O22" s="2151"/>
      <c r="P22" s="1149"/>
      <c r="Q22" s="1149"/>
      <c r="R22" s="1149"/>
      <c r="S22" s="1654"/>
      <c r="T22" s="1654"/>
      <c r="U22" s="1653"/>
      <c r="V22" s="1654"/>
      <c r="W22" s="1654"/>
      <c r="X22" s="1149">
        <v>6</v>
      </c>
      <c r="Y22" s="1149"/>
      <c r="Z22" s="1149"/>
      <c r="AA22" s="1149"/>
      <c r="AB22" s="1149"/>
      <c r="AC22" s="1149"/>
    </row>
    <row r="23" spans="1:29" ht="30" customHeight="1">
      <c r="A23" s="1067" t="s">
        <v>2187</v>
      </c>
      <c r="B23" s="2152">
        <v>4.5</v>
      </c>
      <c r="C23" s="2109" t="s">
        <v>2188</v>
      </c>
      <c r="D23" s="1210" t="s">
        <v>2189</v>
      </c>
      <c r="E23" s="1064">
        <v>0</v>
      </c>
      <c r="F23" s="1180"/>
      <c r="G23" s="1138">
        <f>IF(E23=0,0,IF(F23="Simple",U23,IF(F23="Standard",V23,IF(F23="Complex",W23,0))))</f>
        <v>0</v>
      </c>
      <c r="H23" s="1193">
        <v>0</v>
      </c>
      <c r="I23" s="1193">
        <v>0</v>
      </c>
      <c r="J23" s="1193">
        <v>0</v>
      </c>
      <c r="K23" s="1066"/>
      <c r="L23" s="2150"/>
      <c r="M23" s="1142"/>
      <c r="N23" s="1142"/>
      <c r="O23" s="2151">
        <v>4.5</v>
      </c>
      <c r="P23" s="1149"/>
      <c r="Q23" s="1149"/>
      <c r="R23" s="1149"/>
      <c r="S23" s="1654"/>
      <c r="T23" s="1654"/>
      <c r="U23" s="1653">
        <v>40</v>
      </c>
      <c r="V23" s="1654">
        <v>50</v>
      </c>
      <c r="W23" s="1654">
        <v>60</v>
      </c>
      <c r="X23" s="1149"/>
      <c r="Y23" s="1149"/>
      <c r="Z23" s="1149"/>
      <c r="AA23" s="1149"/>
      <c r="AB23" s="1149"/>
      <c r="AC23" s="1149"/>
    </row>
    <row r="24" spans="1:29" ht="30" customHeight="1">
      <c r="A24" s="1067" t="s">
        <v>2190</v>
      </c>
      <c r="B24" s="2146"/>
      <c r="C24" s="2110"/>
      <c r="D24" s="1210" t="s">
        <v>2191</v>
      </c>
      <c r="E24" s="1064">
        <v>0</v>
      </c>
      <c r="F24" s="1180"/>
      <c r="G24" s="1138">
        <f>IF(E24=0,0,IF(F24="Simple",U24,IF(F24="Standard",V24,IF(F24="Complex",W24,0))))</f>
        <v>0</v>
      </c>
      <c r="H24" s="1193">
        <v>0</v>
      </c>
      <c r="I24" s="1193">
        <v>0</v>
      </c>
      <c r="J24" s="1193">
        <v>0</v>
      </c>
      <c r="K24" s="1066"/>
      <c r="L24" s="2150"/>
      <c r="M24" s="1142"/>
      <c r="N24" s="1142"/>
      <c r="O24" s="2151"/>
      <c r="P24" s="1149"/>
      <c r="Q24" s="1149"/>
      <c r="R24" s="1149"/>
      <c r="S24" s="1654"/>
      <c r="T24" s="1654"/>
      <c r="U24" s="1653">
        <v>8</v>
      </c>
      <c r="V24" s="1654">
        <v>24</v>
      </c>
      <c r="W24" s="1654">
        <v>40</v>
      </c>
      <c r="X24" s="1149"/>
      <c r="Y24" s="1149"/>
      <c r="Z24" s="1149"/>
      <c r="AA24" s="1149"/>
      <c r="AB24" s="1149"/>
      <c r="AC24" s="1149"/>
    </row>
    <row r="25" spans="1:29" ht="30" customHeight="1">
      <c r="A25" s="1067" t="s">
        <v>2192</v>
      </c>
      <c r="B25" s="2152">
        <v>4.5999999999999996</v>
      </c>
      <c r="C25" s="2109" t="s">
        <v>2193</v>
      </c>
      <c r="D25" s="1210" t="s">
        <v>2194</v>
      </c>
      <c r="E25" s="1064">
        <v>0</v>
      </c>
      <c r="F25" s="1993" t="str">
        <f>IF($F$11=0,"",$F$11)</f>
        <v/>
      </c>
      <c r="G25" s="1138">
        <f>IF(E25=0,0,IF(F25="Below",P25,IF(F25="Low",Q25,(IF(F25="Mid",R25,(IF(F25="Upper",S25,(IF(F25="Above",T25,0)))))))))</f>
        <v>0</v>
      </c>
      <c r="H25" s="1193">
        <v>0</v>
      </c>
      <c r="I25" s="1193">
        <v>0</v>
      </c>
      <c r="J25" s="1193">
        <v>0</v>
      </c>
      <c r="K25" s="1066"/>
      <c r="L25" s="2150"/>
      <c r="M25" s="1142"/>
      <c r="N25" s="1142"/>
      <c r="O25" s="2168">
        <v>4.5999999999999996</v>
      </c>
      <c r="P25" s="1149">
        <v>4</v>
      </c>
      <c r="Q25" s="1149">
        <v>4</v>
      </c>
      <c r="R25" s="1149">
        <v>8</v>
      </c>
      <c r="S25" s="1149">
        <v>12</v>
      </c>
      <c r="T25" s="1149">
        <v>16</v>
      </c>
      <c r="U25" s="1653"/>
      <c r="V25" s="1654"/>
      <c r="W25" s="1654"/>
      <c r="X25" s="1149"/>
      <c r="Y25" s="1149"/>
      <c r="Z25" s="1149"/>
      <c r="AA25" s="1149"/>
      <c r="AB25" s="1149"/>
      <c r="AC25" s="1149"/>
    </row>
    <row r="26" spans="1:29" ht="30" customHeight="1">
      <c r="A26" s="1067" t="s">
        <v>2195</v>
      </c>
      <c r="B26" s="2147"/>
      <c r="C26" s="2111"/>
      <c r="D26" s="1210" t="s">
        <v>2552</v>
      </c>
      <c r="E26" s="1105">
        <v>0</v>
      </c>
      <c r="F26" s="1993" t="str">
        <f>IF($F$11=0,"",$F$11)</f>
        <v/>
      </c>
      <c r="G26" s="1139">
        <f>ROUNDUP(ROUND(E26,2)*(IF(F26="Below",P26,(IF(F26="Low",Q26,(IF(F26="Mid",R26,(IF(F26="Upper",S26,(IF(F26="Above",T26,0)))))))))),0)</f>
        <v>0</v>
      </c>
      <c r="H26" s="1193">
        <v>0</v>
      </c>
      <c r="I26" s="1193">
        <v>0</v>
      </c>
      <c r="J26" s="1193">
        <v>0</v>
      </c>
      <c r="K26" s="1066"/>
      <c r="L26" s="2150"/>
      <c r="M26" s="1142"/>
      <c r="N26" s="1142"/>
      <c r="O26" s="2169"/>
      <c r="P26" s="1149">
        <v>2</v>
      </c>
      <c r="Q26" s="1149">
        <v>4</v>
      </c>
      <c r="R26" s="1149">
        <v>8</v>
      </c>
      <c r="S26" s="1149">
        <v>10</v>
      </c>
      <c r="T26" s="1149">
        <v>14</v>
      </c>
      <c r="U26" s="1653"/>
      <c r="V26" s="1654"/>
      <c r="W26" s="1654"/>
      <c r="X26" s="1149"/>
      <c r="Y26" s="1149"/>
      <c r="Z26" s="1149"/>
      <c r="AA26" s="1149"/>
      <c r="AB26" s="1149"/>
      <c r="AC26" s="1149"/>
    </row>
    <row r="27" spans="1:29" ht="30" customHeight="1">
      <c r="A27" s="1067" t="s">
        <v>2199</v>
      </c>
      <c r="B27" s="2152">
        <v>4.7</v>
      </c>
      <c r="C27" s="2109" t="s">
        <v>2196</v>
      </c>
      <c r="D27" s="1210" t="s">
        <v>2197</v>
      </c>
      <c r="E27" s="1064">
        <v>0</v>
      </c>
      <c r="F27" s="1210" t="s">
        <v>2198</v>
      </c>
      <c r="G27" s="1611">
        <f>IF(E27=0,0,E27*U27)</f>
        <v>0</v>
      </c>
      <c r="H27" s="1193">
        <v>0</v>
      </c>
      <c r="I27" s="1193">
        <v>0</v>
      </c>
      <c r="J27" s="1193">
        <v>0</v>
      </c>
      <c r="K27" s="1066"/>
      <c r="L27" s="2150"/>
      <c r="M27" s="1142"/>
      <c r="N27" s="1142"/>
      <c r="O27" s="2151">
        <v>4.7</v>
      </c>
      <c r="P27" s="1149"/>
      <c r="Q27" s="1149"/>
      <c r="R27" s="1149"/>
      <c r="S27" s="1149"/>
      <c r="T27" s="1149"/>
      <c r="U27" s="1653">
        <v>40</v>
      </c>
      <c r="V27" s="1654"/>
      <c r="W27" s="1149"/>
      <c r="X27" s="1654"/>
      <c r="Y27" s="1654"/>
      <c r="Z27" s="1654"/>
      <c r="AA27" s="1654"/>
      <c r="AB27" s="1654"/>
      <c r="AC27" s="1654"/>
    </row>
    <row r="28" spans="1:29" ht="30" customHeight="1">
      <c r="A28" s="1067" t="s">
        <v>2201</v>
      </c>
      <c r="B28" s="2146"/>
      <c r="C28" s="2110"/>
      <c r="D28" s="1210" t="s">
        <v>2197</v>
      </c>
      <c r="E28" s="1064">
        <v>0</v>
      </c>
      <c r="F28" s="1210" t="s">
        <v>2200</v>
      </c>
      <c r="G28" s="1611">
        <f>IF(E28=0,0,E28*V28)</f>
        <v>0</v>
      </c>
      <c r="H28" s="1193">
        <v>0</v>
      </c>
      <c r="I28" s="1193">
        <v>0</v>
      </c>
      <c r="J28" s="1193">
        <v>0</v>
      </c>
      <c r="K28" s="1066"/>
      <c r="L28" s="2150"/>
      <c r="M28" s="1142"/>
      <c r="N28" s="1142"/>
      <c r="O28" s="2151"/>
      <c r="P28" s="1149"/>
      <c r="Q28" s="1149"/>
      <c r="R28" s="1149"/>
      <c r="S28" s="1149"/>
      <c r="T28" s="1149"/>
      <c r="U28" s="1653"/>
      <c r="V28" s="1654">
        <v>60</v>
      </c>
      <c r="W28" s="1149"/>
      <c r="X28" s="1654"/>
      <c r="Y28" s="1654"/>
      <c r="Z28" s="1654"/>
      <c r="AA28" s="1654"/>
      <c r="AB28" s="1654"/>
      <c r="AC28" s="1654"/>
    </row>
    <row r="29" spans="1:29" ht="30" customHeight="1">
      <c r="A29" s="1067" t="s">
        <v>2203</v>
      </c>
      <c r="B29" s="2146"/>
      <c r="C29" s="2110"/>
      <c r="D29" s="1210" t="s">
        <v>2197</v>
      </c>
      <c r="E29" s="1064">
        <v>0</v>
      </c>
      <c r="F29" s="1210" t="s">
        <v>2202</v>
      </c>
      <c r="G29" s="1611">
        <f>IF(E29=0,0,E29*W29)</f>
        <v>0</v>
      </c>
      <c r="H29" s="1193">
        <v>0</v>
      </c>
      <c r="I29" s="1193">
        <v>0</v>
      </c>
      <c r="J29" s="1193">
        <v>0</v>
      </c>
      <c r="K29" s="1066"/>
      <c r="L29" s="2150"/>
      <c r="M29" s="1142"/>
      <c r="N29" s="1142"/>
      <c r="O29" s="2151"/>
      <c r="P29" s="1149"/>
      <c r="Q29" s="1149"/>
      <c r="R29" s="1149"/>
      <c r="S29" s="1149"/>
      <c r="T29" s="1149"/>
      <c r="U29" s="1653"/>
      <c r="V29" s="1654"/>
      <c r="W29" s="1149">
        <v>80</v>
      </c>
      <c r="X29" s="1654"/>
      <c r="Y29" s="1654"/>
      <c r="Z29" s="1654"/>
      <c r="AA29" s="1654"/>
      <c r="AB29" s="1654"/>
      <c r="AC29" s="1654"/>
    </row>
    <row r="30" spans="1:29" ht="30" customHeight="1">
      <c r="A30" s="1067" t="s">
        <v>2205</v>
      </c>
      <c r="B30" s="2152">
        <v>4.8</v>
      </c>
      <c r="C30" s="2109" t="s">
        <v>2204</v>
      </c>
      <c r="D30" s="1210" t="s">
        <v>2102</v>
      </c>
      <c r="E30" s="1064">
        <v>0</v>
      </c>
      <c r="F30" s="1180"/>
      <c r="G30" s="1611">
        <f>IF(E30=0,0,E30*IF(F30="Simple",U30,IF(F30="Standard",V30,IF(F30="Complex",W30,0))))</f>
        <v>0</v>
      </c>
      <c r="H30" s="1193">
        <v>0</v>
      </c>
      <c r="I30" s="1193">
        <v>0</v>
      </c>
      <c r="J30" s="1193">
        <v>0</v>
      </c>
      <c r="K30" s="1066"/>
      <c r="L30" s="2150"/>
      <c r="M30" s="1142"/>
      <c r="N30" s="1142"/>
      <c r="O30" s="2168">
        <v>4.8</v>
      </c>
      <c r="P30" s="1149"/>
      <c r="Q30" s="1149"/>
      <c r="R30" s="1149"/>
      <c r="S30" s="1654"/>
      <c r="T30" s="1654"/>
      <c r="U30" s="1653">
        <v>40</v>
      </c>
      <c r="V30" s="1654">
        <v>60</v>
      </c>
      <c r="W30" s="1149">
        <v>80</v>
      </c>
      <c r="X30" s="1149"/>
      <c r="Y30" s="1149"/>
      <c r="Z30" s="1149"/>
      <c r="AA30" s="1149"/>
      <c r="AB30" s="1149"/>
      <c r="AC30" s="1149"/>
    </row>
    <row r="31" spans="1:29" ht="30" customHeight="1">
      <c r="A31" s="1067"/>
      <c r="B31" s="2147"/>
      <c r="C31" s="2111"/>
      <c r="D31" s="1210" t="s">
        <v>2627</v>
      </c>
      <c r="E31" s="1129"/>
      <c r="F31" s="1129"/>
      <c r="G31" s="1193">
        <v>0</v>
      </c>
      <c r="H31" s="1193">
        <v>0</v>
      </c>
      <c r="I31" s="1193">
        <v>0</v>
      </c>
      <c r="J31" s="1193">
        <v>0</v>
      </c>
      <c r="K31" s="1066"/>
      <c r="L31" s="2150"/>
      <c r="M31" s="1142"/>
      <c r="N31" s="1142"/>
      <c r="O31" s="2169"/>
      <c r="P31" s="1149"/>
      <c r="Q31" s="1149"/>
      <c r="R31" s="1149"/>
      <c r="S31" s="1654"/>
      <c r="T31" s="1654"/>
      <c r="U31" s="1653"/>
      <c r="V31" s="1654"/>
      <c r="W31" s="1149"/>
      <c r="X31" s="1149"/>
      <c r="Y31" s="1149"/>
      <c r="Z31" s="1149"/>
      <c r="AA31" s="1149"/>
      <c r="AB31" s="1149"/>
      <c r="AC31" s="1149"/>
    </row>
    <row r="32" spans="1:29" ht="30" customHeight="1">
      <c r="A32" s="1067" t="s">
        <v>2207</v>
      </c>
      <c r="B32" s="2152">
        <v>4.9000000000000004</v>
      </c>
      <c r="C32" s="2109" t="s">
        <v>365</v>
      </c>
      <c r="D32" s="1210" t="s">
        <v>2206</v>
      </c>
      <c r="E32" s="1938">
        <v>0</v>
      </c>
      <c r="F32" s="1939"/>
      <c r="G32" s="1611">
        <f>IF(E32=0,0,X32+(E32*Y32))</f>
        <v>0</v>
      </c>
      <c r="H32" s="1193">
        <v>0</v>
      </c>
      <c r="I32" s="1193">
        <v>0</v>
      </c>
      <c r="J32" s="1193">
        <v>0</v>
      </c>
      <c r="K32" s="1066"/>
      <c r="L32" s="2150"/>
      <c r="M32" s="1142"/>
      <c r="N32" s="1142"/>
      <c r="O32" s="2151">
        <v>4.9000000000000004</v>
      </c>
      <c r="P32" s="1149"/>
      <c r="Q32" s="1149"/>
      <c r="R32" s="1149"/>
      <c r="S32" s="1654"/>
      <c r="T32" s="1654"/>
      <c r="U32" s="1653"/>
      <c r="V32" s="1654"/>
      <c r="W32" s="1654"/>
      <c r="X32" s="1149">
        <v>8</v>
      </c>
      <c r="Y32" s="1149">
        <v>2</v>
      </c>
      <c r="Z32" s="1149"/>
      <c r="AA32" s="1149"/>
      <c r="AB32" s="1149"/>
      <c r="AC32" s="1149"/>
    </row>
    <row r="33" spans="1:29" ht="30" customHeight="1">
      <c r="A33" s="1067" t="s">
        <v>2209</v>
      </c>
      <c r="B33" s="2146"/>
      <c r="C33" s="2110"/>
      <c r="D33" s="1215" t="s">
        <v>2208</v>
      </c>
      <c r="E33" s="1064">
        <v>0</v>
      </c>
      <c r="F33" s="1129"/>
      <c r="G33" s="1611">
        <f>IF(E33=0,0,E33*X33)</f>
        <v>0</v>
      </c>
      <c r="H33" s="1193">
        <v>0</v>
      </c>
      <c r="I33" s="1193">
        <v>0</v>
      </c>
      <c r="J33" s="1193">
        <v>0</v>
      </c>
      <c r="K33" s="1066"/>
      <c r="L33" s="2150"/>
      <c r="M33" s="1142"/>
      <c r="N33" s="1142"/>
      <c r="O33" s="2151"/>
      <c r="P33" s="1149"/>
      <c r="Q33" s="1149"/>
      <c r="R33" s="1149"/>
      <c r="S33" s="1654"/>
      <c r="T33" s="1654"/>
      <c r="U33" s="1653"/>
      <c r="V33" s="1654"/>
      <c r="W33" s="1654"/>
      <c r="X33" s="1149">
        <v>24</v>
      </c>
      <c r="Y33" s="1149"/>
      <c r="Z33" s="1149"/>
      <c r="AA33" s="1149"/>
      <c r="AB33" s="1149"/>
      <c r="AC33" s="1149"/>
    </row>
    <row r="34" spans="1:29" ht="30" customHeight="1">
      <c r="A34" s="1067" t="s">
        <v>2211</v>
      </c>
      <c r="B34" s="2147"/>
      <c r="C34" s="2111"/>
      <c r="D34" s="1215" t="s">
        <v>2210</v>
      </c>
      <c r="E34" s="1064">
        <v>0</v>
      </c>
      <c r="F34" s="1129"/>
      <c r="G34" s="1611">
        <f>IF(E34=0,0,E34*X34)</f>
        <v>0</v>
      </c>
      <c r="H34" s="1193">
        <v>0</v>
      </c>
      <c r="I34" s="1193">
        <v>0</v>
      </c>
      <c r="J34" s="1193">
        <v>0</v>
      </c>
      <c r="K34" s="1066"/>
      <c r="L34" s="2150"/>
      <c r="M34" s="1142"/>
      <c r="N34" s="1142"/>
      <c r="O34" s="2151"/>
      <c r="P34" s="1149"/>
      <c r="Q34" s="1149"/>
      <c r="R34" s="1149"/>
      <c r="S34" s="1654"/>
      <c r="T34" s="1654"/>
      <c r="U34" s="1653"/>
      <c r="V34" s="1654"/>
      <c r="W34" s="1654"/>
      <c r="X34" s="1149">
        <v>40</v>
      </c>
      <c r="Y34" s="1149"/>
      <c r="Z34" s="1149"/>
      <c r="AA34" s="1149"/>
      <c r="AB34" s="1149"/>
      <c r="AC34" s="1149"/>
    </row>
    <row r="35" spans="1:29" ht="30" customHeight="1">
      <c r="A35" s="1067" t="s">
        <v>2212</v>
      </c>
      <c r="B35" s="1597">
        <v>4.0999999999999996</v>
      </c>
      <c r="C35" s="1598" t="s">
        <v>2613</v>
      </c>
      <c r="D35" s="1215" t="s">
        <v>85</v>
      </c>
      <c r="E35" s="1064">
        <v>0</v>
      </c>
      <c r="F35" s="1993" t="str">
        <f t="shared" ref="F35:F44" si="0">IF($F$11=0,"",$F$11)</f>
        <v/>
      </c>
      <c r="G35" s="1611">
        <f>IF(E35=0,0,IF(F35="Below",P35,IF(F35="Low",Q35,IF(F35="Mid",R35,IF(F35="Upper",S35,IF(F35="Above",T35,0))))))</f>
        <v>0</v>
      </c>
      <c r="H35" s="1193">
        <v>0</v>
      </c>
      <c r="I35" s="1193">
        <v>0</v>
      </c>
      <c r="J35" s="1193">
        <v>0</v>
      </c>
      <c r="K35" s="1066"/>
      <c r="L35" s="2150"/>
      <c r="M35" s="1142"/>
      <c r="N35" s="1142"/>
      <c r="O35" s="1630">
        <v>4.0999999999999996</v>
      </c>
      <c r="P35" s="1149">
        <v>20</v>
      </c>
      <c r="Q35" s="1149">
        <v>30</v>
      </c>
      <c r="R35" s="1149">
        <v>40</v>
      </c>
      <c r="S35" s="1654">
        <v>50</v>
      </c>
      <c r="T35" s="1654">
        <v>50</v>
      </c>
      <c r="U35" s="1653"/>
      <c r="V35" s="1654"/>
      <c r="W35" s="1654"/>
      <c r="X35" s="1149"/>
      <c r="Y35" s="1149"/>
      <c r="Z35" s="1149"/>
      <c r="AA35" s="1149"/>
      <c r="AB35" s="1149"/>
      <c r="AC35" s="1149"/>
    </row>
    <row r="36" spans="1:29" ht="30" customHeight="1">
      <c r="A36" s="1067" t="s">
        <v>2213</v>
      </c>
      <c r="B36" s="2164">
        <v>4.1100000000000003</v>
      </c>
      <c r="C36" s="2109" t="s">
        <v>2614</v>
      </c>
      <c r="D36" s="1210" t="s">
        <v>1663</v>
      </c>
      <c r="E36" s="1616">
        <v>0</v>
      </c>
      <c r="F36" s="1993" t="str">
        <f t="shared" si="0"/>
        <v/>
      </c>
      <c r="G36" s="1139">
        <f t="shared" ref="G36:G41" si="1">ROUNDUP(ROUND(E36,2)*(IF(F36="Below",P36,(IF(F36="Low",Q36,(IF(F36="Mid",R36,(IF(F36="Upper",S36,(IF(F36="Above",T36,0)))))))))),0)</f>
        <v>0</v>
      </c>
      <c r="H36" s="1193">
        <v>0</v>
      </c>
      <c r="I36" s="1193">
        <v>0</v>
      </c>
      <c r="J36" s="1193">
        <v>0</v>
      </c>
      <c r="K36" s="1066"/>
      <c r="L36" s="2150"/>
      <c r="M36" s="1142"/>
      <c r="N36" s="1142"/>
      <c r="O36" s="2108">
        <v>4.1100000000000003</v>
      </c>
      <c r="P36" s="1149">
        <v>120</v>
      </c>
      <c r="Q36" s="1149">
        <v>175</v>
      </c>
      <c r="R36" s="1149">
        <v>215</v>
      </c>
      <c r="S36" s="1149">
        <v>260</v>
      </c>
      <c r="T36" s="1149">
        <v>300</v>
      </c>
      <c r="U36" s="1653"/>
      <c r="V36" s="1654"/>
      <c r="W36" s="1654"/>
      <c r="X36" s="1149"/>
      <c r="Y36" s="1149"/>
      <c r="Z36" s="1149"/>
      <c r="AA36" s="1149"/>
      <c r="AB36" s="1149"/>
      <c r="AC36" s="1149"/>
    </row>
    <row r="37" spans="1:29" ht="30" customHeight="1">
      <c r="A37" s="1067" t="s">
        <v>2215</v>
      </c>
      <c r="B37" s="2165"/>
      <c r="C37" s="2110"/>
      <c r="D37" s="1215" t="s">
        <v>2214</v>
      </c>
      <c r="E37" s="1616">
        <v>0</v>
      </c>
      <c r="F37" s="1993" t="str">
        <f t="shared" si="0"/>
        <v/>
      </c>
      <c r="G37" s="1139">
        <f t="shared" si="1"/>
        <v>0</v>
      </c>
      <c r="H37" s="1193">
        <v>0</v>
      </c>
      <c r="I37" s="1193">
        <v>0</v>
      </c>
      <c r="J37" s="1193">
        <v>0</v>
      </c>
      <c r="K37" s="1066"/>
      <c r="L37" s="2150"/>
      <c r="M37" s="1142"/>
      <c r="N37" s="1142"/>
      <c r="O37" s="2108"/>
      <c r="P37" s="1149">
        <v>120</v>
      </c>
      <c r="Q37" s="1149">
        <v>175</v>
      </c>
      <c r="R37" s="1149">
        <v>215</v>
      </c>
      <c r="S37" s="1149">
        <v>260</v>
      </c>
      <c r="T37" s="1149">
        <v>300</v>
      </c>
      <c r="U37" s="1653"/>
      <c r="V37" s="1654"/>
      <c r="W37" s="1654"/>
      <c r="X37" s="1149"/>
      <c r="Y37" s="1149"/>
      <c r="Z37" s="1149"/>
      <c r="AA37" s="1149"/>
      <c r="AB37" s="1149"/>
      <c r="AC37" s="1149"/>
    </row>
    <row r="38" spans="1:29" ht="30" customHeight="1">
      <c r="A38" s="1067" t="s">
        <v>2217</v>
      </c>
      <c r="B38" s="2165"/>
      <c r="C38" s="2110"/>
      <c r="D38" s="1215" t="s">
        <v>2216</v>
      </c>
      <c r="E38" s="1616">
        <v>0</v>
      </c>
      <c r="F38" s="1993" t="str">
        <f t="shared" si="0"/>
        <v/>
      </c>
      <c r="G38" s="1139">
        <f t="shared" si="1"/>
        <v>0</v>
      </c>
      <c r="H38" s="1193">
        <v>0</v>
      </c>
      <c r="I38" s="1193">
        <v>0</v>
      </c>
      <c r="J38" s="1193">
        <v>0</v>
      </c>
      <c r="K38" s="1066"/>
      <c r="L38" s="2150"/>
      <c r="M38" s="1142"/>
      <c r="N38" s="1142"/>
      <c r="O38" s="2108"/>
      <c r="P38" s="1149">
        <v>60</v>
      </c>
      <c r="Q38" s="1149">
        <v>90</v>
      </c>
      <c r="R38" s="1149">
        <v>120</v>
      </c>
      <c r="S38" s="1654">
        <v>135</v>
      </c>
      <c r="T38" s="1654">
        <v>150</v>
      </c>
      <c r="U38" s="1653"/>
      <c r="V38" s="1654"/>
      <c r="W38" s="1654"/>
      <c r="X38" s="1149"/>
      <c r="Y38" s="1149"/>
      <c r="Z38" s="1149"/>
      <c r="AA38" s="1149"/>
      <c r="AB38" s="1149"/>
      <c r="AC38" s="1149"/>
    </row>
    <row r="39" spans="1:29" ht="30" customHeight="1">
      <c r="A39" s="1067" t="s">
        <v>2219</v>
      </c>
      <c r="B39" s="2165"/>
      <c r="C39" s="2109" t="s">
        <v>2218</v>
      </c>
      <c r="D39" s="1210" t="s">
        <v>1663</v>
      </c>
      <c r="E39" s="1616">
        <v>0</v>
      </c>
      <c r="F39" s="1993" t="str">
        <f t="shared" si="0"/>
        <v/>
      </c>
      <c r="G39" s="1139">
        <f t="shared" si="1"/>
        <v>0</v>
      </c>
      <c r="H39" s="1193">
        <v>0</v>
      </c>
      <c r="I39" s="1193">
        <v>0</v>
      </c>
      <c r="J39" s="1193">
        <v>0</v>
      </c>
      <c r="K39" s="1066"/>
      <c r="L39" s="2150"/>
      <c r="M39" s="1142"/>
      <c r="N39" s="1142"/>
      <c r="O39" s="2108"/>
      <c r="P39" s="1149">
        <f t="shared" ref="P39:T41" si="2">P36*0.5</f>
        <v>60</v>
      </c>
      <c r="Q39" s="1149">
        <f t="shared" si="2"/>
        <v>87.5</v>
      </c>
      <c r="R39" s="1149">
        <f t="shared" si="2"/>
        <v>107.5</v>
      </c>
      <c r="S39" s="1149">
        <f t="shared" si="2"/>
        <v>130</v>
      </c>
      <c r="T39" s="1149">
        <f t="shared" si="2"/>
        <v>150</v>
      </c>
      <c r="U39" s="1653"/>
      <c r="V39" s="1654"/>
      <c r="W39" s="1654"/>
      <c r="X39" s="1149"/>
      <c r="Y39" s="1149"/>
      <c r="Z39" s="1149"/>
      <c r="AA39" s="1149"/>
      <c r="AB39" s="1149"/>
      <c r="AC39" s="1149"/>
    </row>
    <row r="40" spans="1:29" ht="30" customHeight="1">
      <c r="A40" s="1067" t="s">
        <v>2220</v>
      </c>
      <c r="B40" s="2165"/>
      <c r="C40" s="2110"/>
      <c r="D40" s="1215" t="s">
        <v>2214</v>
      </c>
      <c r="E40" s="1616">
        <v>0</v>
      </c>
      <c r="F40" s="1993" t="str">
        <f t="shared" si="0"/>
        <v/>
      </c>
      <c r="G40" s="1139">
        <f t="shared" si="1"/>
        <v>0</v>
      </c>
      <c r="H40" s="1193">
        <v>0</v>
      </c>
      <c r="I40" s="1193">
        <v>0</v>
      </c>
      <c r="J40" s="1193">
        <v>0</v>
      </c>
      <c r="K40" s="1066"/>
      <c r="L40" s="2150"/>
      <c r="M40" s="1142"/>
      <c r="N40" s="1142"/>
      <c r="O40" s="2108"/>
      <c r="P40" s="1149">
        <f t="shared" si="2"/>
        <v>60</v>
      </c>
      <c r="Q40" s="1149">
        <f t="shared" si="2"/>
        <v>87.5</v>
      </c>
      <c r="R40" s="1149">
        <f t="shared" si="2"/>
        <v>107.5</v>
      </c>
      <c r="S40" s="1149">
        <f t="shared" si="2"/>
        <v>130</v>
      </c>
      <c r="T40" s="1149">
        <f t="shared" si="2"/>
        <v>150</v>
      </c>
      <c r="U40" s="1653"/>
      <c r="V40" s="1654"/>
      <c r="W40" s="1654"/>
      <c r="X40" s="1149"/>
      <c r="Y40" s="1149"/>
      <c r="Z40" s="1149"/>
      <c r="AA40" s="1149"/>
      <c r="AB40" s="1149"/>
      <c r="AC40" s="1149"/>
    </row>
    <row r="41" spans="1:29" ht="30" customHeight="1">
      <c r="A41" s="1067" t="s">
        <v>2221</v>
      </c>
      <c r="B41" s="2165"/>
      <c r="C41" s="2110"/>
      <c r="D41" s="1215" t="s">
        <v>2216</v>
      </c>
      <c r="E41" s="1616">
        <v>0</v>
      </c>
      <c r="F41" s="1993" t="str">
        <f t="shared" si="0"/>
        <v/>
      </c>
      <c r="G41" s="1139">
        <f t="shared" si="1"/>
        <v>0</v>
      </c>
      <c r="H41" s="1193">
        <v>0</v>
      </c>
      <c r="I41" s="1193">
        <v>0</v>
      </c>
      <c r="J41" s="1193">
        <v>0</v>
      </c>
      <c r="K41" s="1066"/>
      <c r="L41" s="2150"/>
      <c r="M41" s="1142"/>
      <c r="N41" s="1142"/>
      <c r="O41" s="2108"/>
      <c r="P41" s="1149">
        <f t="shared" si="2"/>
        <v>30</v>
      </c>
      <c r="Q41" s="1149">
        <f t="shared" si="2"/>
        <v>45</v>
      </c>
      <c r="R41" s="1149">
        <f t="shared" si="2"/>
        <v>60</v>
      </c>
      <c r="S41" s="1149">
        <f t="shared" si="2"/>
        <v>67.5</v>
      </c>
      <c r="T41" s="1149">
        <f t="shared" si="2"/>
        <v>75</v>
      </c>
      <c r="U41" s="1653"/>
      <c r="V41" s="1654"/>
      <c r="W41" s="1654"/>
      <c r="X41" s="1149"/>
      <c r="Y41" s="1149"/>
      <c r="Z41" s="1149"/>
      <c r="AA41" s="1149"/>
      <c r="AB41" s="1149"/>
      <c r="AC41" s="1149"/>
    </row>
    <row r="42" spans="1:29" ht="30" customHeight="1">
      <c r="A42" s="1067" t="s">
        <v>2223</v>
      </c>
      <c r="B42" s="2166"/>
      <c r="C42" s="2111"/>
      <c r="D42" s="1215" t="s">
        <v>2222</v>
      </c>
      <c r="E42" s="1064">
        <v>0</v>
      </c>
      <c r="F42" s="1993" t="str">
        <f t="shared" si="0"/>
        <v/>
      </c>
      <c r="G42" s="1611">
        <f>IF(E42=0,0,IF(F42="Below",P42,IF(F42="Low",Q42,IF(F42="Mid",R42,IF(F42="Upper",S42,IF(F42="Above",T42,0))))))</f>
        <v>0</v>
      </c>
      <c r="H42" s="1193">
        <v>0</v>
      </c>
      <c r="I42" s="1193">
        <v>0</v>
      </c>
      <c r="J42" s="1193">
        <v>0</v>
      </c>
      <c r="K42" s="1066"/>
      <c r="L42" s="2150"/>
      <c r="M42" s="1142"/>
      <c r="N42" s="1142"/>
      <c r="O42" s="2108"/>
      <c r="P42" s="1149">
        <v>10</v>
      </c>
      <c r="Q42" s="1149">
        <v>15</v>
      </c>
      <c r="R42" s="1149">
        <v>20</v>
      </c>
      <c r="S42" s="1149">
        <v>30</v>
      </c>
      <c r="T42" s="1149">
        <v>40</v>
      </c>
      <c r="U42" s="1653"/>
      <c r="V42" s="1654"/>
      <c r="W42" s="1654"/>
      <c r="X42" s="1149"/>
      <c r="Y42" s="1149"/>
      <c r="Z42" s="1149"/>
      <c r="AA42" s="1149"/>
      <c r="AB42" s="1149"/>
      <c r="AC42" s="1149"/>
    </row>
    <row r="43" spans="1:29" ht="30" customHeight="1">
      <c r="A43" s="1067" t="s">
        <v>2225</v>
      </c>
      <c r="B43" s="2165">
        <v>4.12</v>
      </c>
      <c r="C43" s="1426" t="s">
        <v>2224</v>
      </c>
      <c r="D43" s="1210" t="s">
        <v>85</v>
      </c>
      <c r="E43" s="1064">
        <v>0</v>
      </c>
      <c r="F43" s="1993" t="str">
        <f t="shared" si="0"/>
        <v/>
      </c>
      <c r="G43" s="1611">
        <f>IF(E43=0,0,IF(F43="Below",P43,IF(F43="Low",Q43,IF(F43="Mid",R43,IF(F43="Upper",S43,IF(F43="Above",T43,0))))))</f>
        <v>0</v>
      </c>
      <c r="H43" s="1193">
        <v>0</v>
      </c>
      <c r="I43" s="1193">
        <v>0</v>
      </c>
      <c r="J43" s="1193">
        <v>0</v>
      </c>
      <c r="K43" s="1066"/>
      <c r="L43" s="2150"/>
      <c r="M43" s="1142"/>
      <c r="N43" s="1142"/>
      <c r="O43" s="2108">
        <v>4.12</v>
      </c>
      <c r="P43" s="1149">
        <v>10</v>
      </c>
      <c r="Q43" s="1149">
        <v>20</v>
      </c>
      <c r="R43" s="1149">
        <v>40</v>
      </c>
      <c r="S43" s="1149">
        <v>100</v>
      </c>
      <c r="T43" s="1149">
        <v>160</v>
      </c>
      <c r="U43" s="1653"/>
      <c r="V43" s="1654"/>
      <c r="W43" s="1654"/>
      <c r="X43" s="1149"/>
      <c r="Y43" s="1149"/>
      <c r="Z43" s="1149"/>
      <c r="AA43" s="1149"/>
      <c r="AB43" s="1149"/>
      <c r="AC43" s="1149"/>
    </row>
    <row r="44" spans="1:29" ht="30" customHeight="1">
      <c r="A44" s="1067" t="s">
        <v>2226</v>
      </c>
      <c r="B44" s="2165"/>
      <c r="C44" s="2109" t="s">
        <v>2615</v>
      </c>
      <c r="D44" s="522" t="s">
        <v>2553</v>
      </c>
      <c r="E44" s="1616">
        <v>0</v>
      </c>
      <c r="F44" s="1993" t="str">
        <f t="shared" si="0"/>
        <v/>
      </c>
      <c r="G44" s="1139">
        <f>ROUNDUP(ROUND(E44,2)*(IF(F44="Below",P44,(IF(F44="Low",Q44,(IF(F44="Mid",R44,(IF(F44="Upper",S44,(IF(F44="Above",T44,0)))))))))),0)</f>
        <v>0</v>
      </c>
      <c r="H44" s="1193">
        <v>0</v>
      </c>
      <c r="I44" s="1193">
        <v>0</v>
      </c>
      <c r="J44" s="1193">
        <v>0</v>
      </c>
      <c r="K44" s="1066"/>
      <c r="L44" s="2150"/>
      <c r="M44" s="1142"/>
      <c r="N44" s="1142"/>
      <c r="O44" s="2108"/>
      <c r="P44" s="1149">
        <v>0</v>
      </c>
      <c r="Q44" s="1149">
        <v>0</v>
      </c>
      <c r="R44" s="1149">
        <v>32</v>
      </c>
      <c r="S44" s="1654">
        <v>40</v>
      </c>
      <c r="T44" s="1654">
        <v>48</v>
      </c>
      <c r="U44" s="1653"/>
      <c r="V44" s="1654"/>
      <c r="W44" s="1654"/>
      <c r="X44" s="1149"/>
      <c r="Y44" s="1149"/>
      <c r="Z44" s="1149"/>
      <c r="AA44" s="1149"/>
      <c r="AB44" s="1149"/>
      <c r="AC44" s="1149"/>
    </row>
    <row r="45" spans="1:29" ht="30" customHeight="1">
      <c r="A45" s="1067" t="s">
        <v>2227</v>
      </c>
      <c r="B45" s="2165"/>
      <c r="C45" s="2111"/>
      <c r="D45" s="1210" t="s">
        <v>2554</v>
      </c>
      <c r="E45" s="1064">
        <v>0</v>
      </c>
      <c r="F45" s="1102"/>
      <c r="G45" s="1138">
        <f>IF(E45=0,0,IF(F45="Simple",U45,IF(F45="Standard",V45,IF(F45="Complex",W45,0))))</f>
        <v>0</v>
      </c>
      <c r="H45" s="1193">
        <v>0</v>
      </c>
      <c r="I45" s="1193">
        <v>0</v>
      </c>
      <c r="J45" s="1193">
        <v>0</v>
      </c>
      <c r="K45" s="1066"/>
      <c r="L45" s="2150"/>
      <c r="M45" s="1142"/>
      <c r="N45" s="1142"/>
      <c r="O45" s="2108"/>
      <c r="P45" s="1149"/>
      <c r="Q45" s="1149"/>
      <c r="R45" s="1149"/>
      <c r="S45" s="1654"/>
      <c r="T45" s="1654"/>
      <c r="U45" s="1653">
        <v>24</v>
      </c>
      <c r="V45" s="1654">
        <v>32</v>
      </c>
      <c r="W45" s="1654">
        <v>40</v>
      </c>
      <c r="X45" s="1149"/>
      <c r="Y45" s="1149"/>
      <c r="Z45" s="1149"/>
      <c r="AA45" s="1149"/>
      <c r="AB45" s="1149"/>
      <c r="AC45" s="1149"/>
    </row>
    <row r="46" spans="1:29" ht="30" customHeight="1">
      <c r="A46" s="1067" t="s">
        <v>2229</v>
      </c>
      <c r="B46" s="2165"/>
      <c r="C46" s="1613" t="s">
        <v>2228</v>
      </c>
      <c r="D46" s="374" t="s">
        <v>2323</v>
      </c>
      <c r="E46" s="1064">
        <v>0</v>
      </c>
      <c r="F46" s="1102"/>
      <c r="G46" s="1139">
        <f>ROUNDUP(ROUND(E46,2)*(IF(F46="Below",P46,(IF(F46="Low",Q46,(IF(F46="Mid",R46,(IF(F46="Upper",S46,(IF(F46="Above",T46,0)))))))))),0)</f>
        <v>0</v>
      </c>
      <c r="H46" s="1193">
        <v>0</v>
      </c>
      <c r="I46" s="1193">
        <v>0</v>
      </c>
      <c r="J46" s="1193">
        <v>0</v>
      </c>
      <c r="K46" s="1066"/>
      <c r="L46" s="2150"/>
      <c r="M46" s="1142"/>
      <c r="N46" s="1142"/>
      <c r="O46" s="2108"/>
      <c r="P46" s="1149">
        <v>0</v>
      </c>
      <c r="Q46" s="1149">
        <v>0</v>
      </c>
      <c r="R46" s="1149">
        <v>8</v>
      </c>
      <c r="S46" s="1654">
        <v>16</v>
      </c>
      <c r="T46" s="1654">
        <v>24</v>
      </c>
      <c r="U46" s="1653"/>
      <c r="V46" s="1654"/>
      <c r="W46" s="1654"/>
      <c r="X46" s="1149"/>
      <c r="Y46" s="1149"/>
      <c r="Z46" s="1149"/>
      <c r="AA46" s="1149"/>
      <c r="AB46" s="1149"/>
      <c r="AC46" s="1149"/>
    </row>
    <row r="47" spans="1:29" ht="30" customHeight="1">
      <c r="A47" s="1067" t="s">
        <v>2231</v>
      </c>
      <c r="B47" s="1127">
        <v>4.13</v>
      </c>
      <c r="C47" s="1326" t="s">
        <v>2230</v>
      </c>
      <c r="D47" s="1210" t="s">
        <v>85</v>
      </c>
      <c r="E47" s="1064">
        <v>0</v>
      </c>
      <c r="F47" s="1993" t="str">
        <f t="shared" ref="F47:F48" si="3">IF($F$11=0,"",$F$11)</f>
        <v/>
      </c>
      <c r="G47" s="1138">
        <f>IF(E47=0,0,IF(F47="Below",P47,IF(F47="Low",Q47,IF(F47="Mid",R47,IF(F47="Upper",S47,IF(F47="Above",T47,0))))))</f>
        <v>0</v>
      </c>
      <c r="H47" s="1193">
        <v>0</v>
      </c>
      <c r="I47" s="1193">
        <v>0</v>
      </c>
      <c r="J47" s="1193">
        <v>0</v>
      </c>
      <c r="K47" s="1066"/>
      <c r="L47" s="2150"/>
      <c r="M47" s="1142"/>
      <c r="N47" s="1142"/>
      <c r="O47" s="1630">
        <v>4.13</v>
      </c>
      <c r="P47" s="1149">
        <v>2</v>
      </c>
      <c r="Q47" s="1149">
        <v>6</v>
      </c>
      <c r="R47" s="1149">
        <v>12</v>
      </c>
      <c r="S47" s="1654">
        <v>18</v>
      </c>
      <c r="T47" s="1654">
        <v>24</v>
      </c>
      <c r="U47" s="1653"/>
      <c r="V47" s="1654"/>
      <c r="W47" s="1654"/>
      <c r="X47" s="1149"/>
      <c r="Y47" s="1149"/>
      <c r="Z47" s="1149"/>
      <c r="AA47" s="1149"/>
      <c r="AB47" s="1149"/>
      <c r="AC47" s="1149"/>
    </row>
    <row r="48" spans="1:29" ht="30" customHeight="1">
      <c r="A48" s="1067" t="s">
        <v>2232</v>
      </c>
      <c r="B48" s="2164">
        <v>4.1399999999999997</v>
      </c>
      <c r="C48" s="2109" t="s">
        <v>2036</v>
      </c>
      <c r="D48" s="1215" t="s">
        <v>1830</v>
      </c>
      <c r="E48" s="1616">
        <v>0</v>
      </c>
      <c r="F48" s="1993" t="str">
        <f t="shared" si="3"/>
        <v/>
      </c>
      <c r="G48" s="1138">
        <f>ROUNDUP(IF(E48=0,0,IF(F48="Below",P48*E48,IF(F48="Low",Q48*E48,IF(F48="Mid",R48*E48,IF(F48="Upper",S48*E48,IF(F48="Above",T48*E48,0)))))),0)</f>
        <v>0</v>
      </c>
      <c r="H48" s="1193">
        <v>0</v>
      </c>
      <c r="I48" s="1193">
        <v>0</v>
      </c>
      <c r="J48" s="1193">
        <v>0</v>
      </c>
      <c r="K48" s="1066"/>
      <c r="L48" s="2150"/>
      <c r="M48" s="1142"/>
      <c r="N48" s="1142"/>
      <c r="O48" s="2108">
        <v>4.1399999999999997</v>
      </c>
      <c r="P48" s="1149">
        <v>2</v>
      </c>
      <c r="Q48" s="1149">
        <v>6</v>
      </c>
      <c r="R48" s="1149">
        <v>10</v>
      </c>
      <c r="S48" s="1654">
        <v>14</v>
      </c>
      <c r="T48" s="1654">
        <v>18</v>
      </c>
      <c r="U48" s="1653"/>
      <c r="V48" s="1149"/>
      <c r="W48" s="1654"/>
      <c r="X48" s="1149"/>
      <c r="Y48" s="1149"/>
      <c r="Z48" s="1149"/>
      <c r="AA48" s="1149"/>
      <c r="AB48" s="1149"/>
      <c r="AC48" s="1149"/>
    </row>
    <row r="49" spans="1:29" ht="30" customHeight="1">
      <c r="A49" s="1067" t="s">
        <v>2233</v>
      </c>
      <c r="B49" s="2165"/>
      <c r="C49" s="2110"/>
      <c r="D49" s="1210" t="s">
        <v>2028</v>
      </c>
      <c r="E49" s="1064">
        <v>0</v>
      </c>
      <c r="F49" s="1129"/>
      <c r="G49" s="1138">
        <f>IF(E49=0,0,E49*X49)</f>
        <v>0</v>
      </c>
      <c r="H49" s="1193">
        <v>0</v>
      </c>
      <c r="I49" s="1193">
        <v>0</v>
      </c>
      <c r="J49" s="1193">
        <v>0</v>
      </c>
      <c r="K49" s="1066"/>
      <c r="L49" s="2150"/>
      <c r="M49" s="1142"/>
      <c r="N49" s="1142"/>
      <c r="O49" s="2108"/>
      <c r="P49" s="1149"/>
      <c r="Q49" s="1149"/>
      <c r="R49" s="1149"/>
      <c r="S49" s="1654"/>
      <c r="T49" s="1654"/>
      <c r="U49" s="1653"/>
      <c r="V49" s="1149"/>
      <c r="W49" s="1654"/>
      <c r="X49" s="1654">
        <v>8</v>
      </c>
      <c r="Y49" s="1149"/>
      <c r="Z49" s="1149"/>
      <c r="AA49" s="1149"/>
      <c r="AB49" s="1149"/>
      <c r="AC49" s="1149"/>
    </row>
    <row r="50" spans="1:29" ht="30" customHeight="1">
      <c r="A50" s="1067" t="s">
        <v>2234</v>
      </c>
      <c r="B50" s="2165"/>
      <c r="C50" s="2111"/>
      <c r="D50" s="1215" t="s">
        <v>2555</v>
      </c>
      <c r="E50" s="1064">
        <v>0</v>
      </c>
      <c r="F50" s="1993" t="str">
        <f t="shared" ref="F50" si="4">IF($F$11=0,"",$F$11)</f>
        <v/>
      </c>
      <c r="G50" s="1138">
        <f>IF(E50=0,0,IF(F50="Below",P50,IF(F50="Low",Q50,IF(F50="Mid",R50,IF(F50="Upper",S50,IF(F50="Above",T50,0))))))</f>
        <v>0</v>
      </c>
      <c r="H50" s="1193">
        <v>0</v>
      </c>
      <c r="I50" s="1193">
        <v>0</v>
      </c>
      <c r="J50" s="1193">
        <v>0</v>
      </c>
      <c r="K50" s="1066"/>
      <c r="L50" s="2150"/>
      <c r="M50" s="1142"/>
      <c r="N50" s="1142"/>
      <c r="O50" s="2108"/>
      <c r="P50" s="1149">
        <v>32</v>
      </c>
      <c r="Q50" s="1149">
        <v>36</v>
      </c>
      <c r="R50" s="1149">
        <v>40</v>
      </c>
      <c r="S50" s="1654">
        <v>44</v>
      </c>
      <c r="T50" s="1654">
        <v>48</v>
      </c>
      <c r="U50" s="1653"/>
      <c r="V50" s="1149"/>
      <c r="W50" s="1654"/>
      <c r="X50" s="1654"/>
      <c r="Y50" s="1149"/>
      <c r="Z50" s="1149"/>
      <c r="AA50" s="1149"/>
      <c r="AB50" s="1149"/>
      <c r="AC50" s="1149"/>
    </row>
    <row r="51" spans="1:29" ht="30" customHeight="1">
      <c r="A51" s="1067" t="s">
        <v>2236</v>
      </c>
      <c r="B51" s="2166"/>
      <c r="C51" s="1903" t="s">
        <v>2029</v>
      </c>
      <c r="D51" s="1210" t="s">
        <v>2030</v>
      </c>
      <c r="E51" s="1064">
        <v>0</v>
      </c>
      <c r="F51" s="1102"/>
      <c r="G51" s="1611">
        <f>IF(E51=0,0,E51*IF(F51="Simple",U51,IF(F51="Standard",V51,IF(F51="Complex",W51,0))))</f>
        <v>0</v>
      </c>
      <c r="H51" s="1193">
        <v>0</v>
      </c>
      <c r="I51" s="1193">
        <v>0</v>
      </c>
      <c r="J51" s="1193">
        <v>0</v>
      </c>
      <c r="K51" s="1066"/>
      <c r="L51" s="2150"/>
      <c r="M51" s="1142"/>
      <c r="N51" s="1142"/>
      <c r="O51" s="2108"/>
      <c r="P51" s="1149"/>
      <c r="Q51" s="1149"/>
      <c r="R51" s="1149"/>
      <c r="S51" s="1654"/>
      <c r="T51" s="1654"/>
      <c r="U51" s="1654">
        <v>6</v>
      </c>
      <c r="V51" s="1654">
        <v>9</v>
      </c>
      <c r="W51" s="1654">
        <v>12</v>
      </c>
      <c r="X51" s="1654"/>
      <c r="Y51" s="1149"/>
      <c r="Z51" s="1149"/>
      <c r="AA51" s="1149"/>
      <c r="AB51" s="1149"/>
      <c r="AC51" s="1149"/>
    </row>
    <row r="52" spans="1:29" ht="30" customHeight="1">
      <c r="A52" s="1067" t="s">
        <v>2238</v>
      </c>
      <c r="B52" s="2164">
        <v>4.1500000000000004</v>
      </c>
      <c r="C52" s="2109" t="s">
        <v>366</v>
      </c>
      <c r="D52" s="1210" t="s">
        <v>2235</v>
      </c>
      <c r="E52" s="1064">
        <v>0</v>
      </c>
      <c r="F52" s="1993" t="str">
        <f t="shared" ref="F52:F53" si="5">IF($F$11=0,"",$F$11)</f>
        <v/>
      </c>
      <c r="G52" s="1611">
        <f>IF(E52=0,0,E52*IF(F52="Below",P52,IF(F52="Low",Q52,IF(F52="Mid",R52,IF(F52="Upper",S52,IF(F52="Above",T52,0))))))</f>
        <v>0</v>
      </c>
      <c r="H52" s="1193">
        <v>0</v>
      </c>
      <c r="I52" s="1193">
        <v>0</v>
      </c>
      <c r="J52" s="1193">
        <v>0</v>
      </c>
      <c r="K52" s="1066"/>
      <c r="L52" s="2150"/>
      <c r="M52" s="1142"/>
      <c r="N52" s="1142"/>
      <c r="O52" s="2108">
        <v>4.1500000000000004</v>
      </c>
      <c r="P52" s="1149">
        <v>8</v>
      </c>
      <c r="Q52" s="1149">
        <v>10</v>
      </c>
      <c r="R52" s="1149">
        <v>12</v>
      </c>
      <c r="S52" s="1149">
        <v>14</v>
      </c>
      <c r="T52" s="1149">
        <v>16</v>
      </c>
      <c r="U52" s="1653"/>
      <c r="V52" s="1654"/>
      <c r="W52" s="1654"/>
      <c r="X52" s="1149"/>
      <c r="Y52" s="1149"/>
      <c r="Z52" s="1149"/>
      <c r="AA52" s="1149"/>
      <c r="AB52" s="1149"/>
      <c r="AC52" s="1149"/>
    </row>
    <row r="53" spans="1:29" ht="30" customHeight="1">
      <c r="A53" s="1067" t="s">
        <v>2241</v>
      </c>
      <c r="B53" s="2166"/>
      <c r="C53" s="2111"/>
      <c r="D53" s="1210" t="s">
        <v>2237</v>
      </c>
      <c r="E53" s="1064">
        <v>0</v>
      </c>
      <c r="F53" s="1993" t="str">
        <f t="shared" si="5"/>
        <v/>
      </c>
      <c r="G53" s="1611">
        <f>IF(E53=0,0,E53*IF(F53="Below",P53,IF(F53="Low",Q53,IF(F53="Mid",R53,IF(F53="Upper",S53,IF(F53="Above",T53,0))))))</f>
        <v>0</v>
      </c>
      <c r="H53" s="1193">
        <v>0</v>
      </c>
      <c r="I53" s="1193">
        <v>0</v>
      </c>
      <c r="J53" s="1193">
        <v>0</v>
      </c>
      <c r="K53" s="1066"/>
      <c r="L53" s="2150"/>
      <c r="M53" s="1142"/>
      <c r="N53" s="1142"/>
      <c r="O53" s="2108"/>
      <c r="P53" s="1149">
        <v>4</v>
      </c>
      <c r="Q53" s="1149">
        <v>5</v>
      </c>
      <c r="R53" s="1149">
        <v>6</v>
      </c>
      <c r="S53" s="1149">
        <v>7</v>
      </c>
      <c r="T53" s="1149">
        <v>8</v>
      </c>
      <c r="U53" s="1653"/>
      <c r="V53" s="1654"/>
      <c r="W53" s="1654"/>
      <c r="X53" s="1149"/>
      <c r="Y53" s="1149"/>
      <c r="Z53" s="1149"/>
      <c r="AA53" s="1149"/>
      <c r="AB53" s="1149"/>
      <c r="AC53" s="1149"/>
    </row>
    <row r="54" spans="1:29" ht="30" customHeight="1">
      <c r="A54" s="1067" t="s">
        <v>2244</v>
      </c>
      <c r="B54" s="1127">
        <v>4.16</v>
      </c>
      <c r="C54" s="1190" t="s">
        <v>2239</v>
      </c>
      <c r="D54" s="1210" t="s">
        <v>2240</v>
      </c>
      <c r="E54" s="1064">
        <v>0</v>
      </c>
      <c r="F54" s="1129"/>
      <c r="G54" s="1138">
        <f>IF(E54=0,0,E54*X54)</f>
        <v>0</v>
      </c>
      <c r="H54" s="1193">
        <v>0</v>
      </c>
      <c r="I54" s="1193">
        <v>0</v>
      </c>
      <c r="J54" s="1193">
        <v>0</v>
      </c>
      <c r="K54" s="1066"/>
      <c r="L54" s="2150"/>
      <c r="M54" s="1142"/>
      <c r="N54" s="1142"/>
      <c r="O54" s="1630">
        <v>4.16</v>
      </c>
      <c r="P54" s="1149"/>
      <c r="Q54" s="1149"/>
      <c r="R54" s="1149"/>
      <c r="S54" s="1149"/>
      <c r="T54" s="1149"/>
      <c r="U54" s="1653"/>
      <c r="V54" s="1149"/>
      <c r="W54" s="1654"/>
      <c r="X54" s="1654">
        <v>6</v>
      </c>
      <c r="Y54" s="1654"/>
      <c r="Z54" s="1654"/>
      <c r="AA54" s="1654"/>
      <c r="AB54" s="1654"/>
      <c r="AC54" s="1654"/>
    </row>
    <row r="55" spans="1:29" ht="30" customHeight="1" thickBot="1">
      <c r="A55" s="1067" t="s">
        <v>2245</v>
      </c>
      <c r="B55" s="1633">
        <v>4.17</v>
      </c>
      <c r="C55" s="1128" t="s">
        <v>2242</v>
      </c>
      <c r="D55" s="1071" t="s">
        <v>2243</v>
      </c>
      <c r="E55" s="1136"/>
      <c r="F55" s="1136"/>
      <c r="G55" s="1196">
        <v>0</v>
      </c>
      <c r="H55" s="1196">
        <v>0</v>
      </c>
      <c r="I55" s="1196">
        <v>0</v>
      </c>
      <c r="J55" s="1196">
        <v>0</v>
      </c>
      <c r="K55" s="1069"/>
      <c r="L55" s="1599"/>
      <c r="M55" s="1142"/>
      <c r="N55" s="1142"/>
      <c r="O55" s="1630">
        <v>4.17</v>
      </c>
      <c r="P55" s="1149"/>
      <c r="Q55" s="1149"/>
      <c r="R55" s="1149"/>
      <c r="S55" s="1149"/>
      <c r="T55" s="1149"/>
      <c r="U55" s="1653"/>
      <c r="V55" s="1149"/>
      <c r="W55" s="1654"/>
      <c r="X55" s="1654"/>
      <c r="Y55" s="1654"/>
      <c r="Z55" s="1654"/>
      <c r="AA55" s="1654"/>
      <c r="AB55" s="1654"/>
      <c r="AC55" s="1654"/>
    </row>
    <row r="56" spans="1:29" ht="20.100000000000001" customHeight="1" thickBot="1">
      <c r="A56" s="1067"/>
      <c r="B56" s="2183" t="s">
        <v>83</v>
      </c>
      <c r="C56" s="2184"/>
      <c r="D56" s="2184"/>
      <c r="E56" s="2184"/>
      <c r="F56" s="2185"/>
      <c r="G56" s="1626">
        <f>SUM(G12:G55)</f>
        <v>0</v>
      </c>
      <c r="H56" s="1130">
        <f>SUM(H12:H55)</f>
        <v>0</v>
      </c>
      <c r="I56" s="1130">
        <f>SUM(I12:I55)</f>
        <v>0</v>
      </c>
      <c r="J56" s="1130">
        <f>SUM(J12:J55)</f>
        <v>0</v>
      </c>
      <c r="K56" s="1131"/>
      <c r="L56" s="2189"/>
      <c r="M56" s="1173"/>
      <c r="N56" s="1173"/>
      <c r="O56" s="1357"/>
      <c r="P56" s="1357"/>
      <c r="Q56" s="1656"/>
      <c r="R56" s="1177"/>
      <c r="S56" s="1656"/>
      <c r="T56" s="1656"/>
      <c r="U56" s="1656"/>
      <c r="V56" s="1656"/>
      <c r="W56" s="1656"/>
      <c r="X56" s="1656"/>
      <c r="Y56" s="1656"/>
      <c r="Z56" s="1357"/>
      <c r="AA56" s="1656"/>
      <c r="AB56" s="1656"/>
      <c r="AC56" s="1656"/>
    </row>
    <row r="57" spans="1:29" ht="30" customHeight="1">
      <c r="A57" s="1067" t="s">
        <v>2246</v>
      </c>
      <c r="B57" s="1134">
        <v>4.18</v>
      </c>
      <c r="C57" s="1125" t="s">
        <v>307</v>
      </c>
      <c r="D57" s="1070" t="s">
        <v>85</v>
      </c>
      <c r="E57" s="1212">
        <v>1</v>
      </c>
      <c r="F57" s="1347">
        <v>0.05</v>
      </c>
      <c r="G57" s="1657">
        <f>IF($E57=0,0,ROUNDUP($F57*G$56,0))</f>
        <v>0</v>
      </c>
      <c r="H57" s="1657">
        <f t="shared" ref="H57:J58" si="6">IF($E57=0,0,ROUNDUP($F57*H$56,0))</f>
        <v>0</v>
      </c>
      <c r="I57" s="1657">
        <f t="shared" si="6"/>
        <v>0</v>
      </c>
      <c r="J57" s="1900">
        <f t="shared" si="6"/>
        <v>0</v>
      </c>
      <c r="K57" s="1063"/>
      <c r="L57" s="2190"/>
      <c r="M57" s="1173"/>
      <c r="N57" s="1173"/>
      <c r="O57" s="1253">
        <v>4.18</v>
      </c>
      <c r="P57" s="1149"/>
      <c r="Q57" s="1654"/>
      <c r="R57" s="1149"/>
      <c r="S57" s="1654"/>
      <c r="T57" s="1654"/>
      <c r="U57" s="1654"/>
      <c r="V57" s="1654"/>
      <c r="W57" s="1654"/>
      <c r="X57" s="1654"/>
      <c r="Y57" s="1654"/>
      <c r="Z57" s="1654"/>
      <c r="AA57" s="1654"/>
      <c r="AB57" s="1654"/>
      <c r="AC57" s="1654"/>
    </row>
    <row r="58" spans="1:29" ht="30" customHeight="1">
      <c r="A58" s="1067" t="s">
        <v>2248</v>
      </c>
      <c r="B58" s="1195">
        <v>4.1900000000000004</v>
      </c>
      <c r="C58" s="351" t="s">
        <v>169</v>
      </c>
      <c r="D58" s="1210" t="s">
        <v>85</v>
      </c>
      <c r="E58" s="1193">
        <v>1</v>
      </c>
      <c r="F58" s="1636">
        <v>0.05</v>
      </c>
      <c r="G58" s="1138">
        <f>IF($E58=0,0,ROUNDUP($F58*G$56,0))</f>
        <v>0</v>
      </c>
      <c r="H58" s="1138">
        <f t="shared" si="6"/>
        <v>0</v>
      </c>
      <c r="I58" s="1138">
        <f t="shared" si="6"/>
        <v>0</v>
      </c>
      <c r="J58" s="1065">
        <f t="shared" si="6"/>
        <v>0</v>
      </c>
      <c r="K58" s="1066"/>
      <c r="L58" s="2190"/>
      <c r="M58" s="1173"/>
      <c r="N58" s="1173"/>
      <c r="O58" s="1253">
        <v>4.1900000000000004</v>
      </c>
      <c r="P58" s="1149"/>
      <c r="Q58" s="1654"/>
      <c r="R58" s="1149"/>
      <c r="S58" s="1654"/>
      <c r="T58" s="1654"/>
      <c r="U58" s="1654"/>
      <c r="V58" s="1654"/>
      <c r="W58" s="1654"/>
      <c r="X58" s="1654"/>
      <c r="Y58" s="1654"/>
      <c r="Z58" s="1654"/>
      <c r="AA58" s="1654"/>
      <c r="AB58" s="1654"/>
      <c r="AC58" s="1654"/>
    </row>
    <row r="59" spans="1:29" ht="30" customHeight="1">
      <c r="A59" s="1067" t="s">
        <v>2250</v>
      </c>
      <c r="B59" s="2186">
        <v>4.2</v>
      </c>
      <c r="C59" s="2109" t="s">
        <v>2247</v>
      </c>
      <c r="D59" s="1210" t="s">
        <v>2134</v>
      </c>
      <c r="E59" s="1901">
        <f>D81</f>
        <v>0</v>
      </c>
      <c r="F59" s="1129"/>
      <c r="G59" s="1138">
        <f>($E59*$X59)</f>
        <v>0</v>
      </c>
      <c r="H59" s="1193">
        <v>0</v>
      </c>
      <c r="I59" s="1193">
        <v>0</v>
      </c>
      <c r="J59" s="1193">
        <v>0</v>
      </c>
      <c r="K59" s="1066"/>
      <c r="L59" s="2190"/>
      <c r="M59" s="1173"/>
      <c r="N59" s="1173"/>
      <c r="O59" s="2188">
        <v>4.2</v>
      </c>
      <c r="P59" s="1149"/>
      <c r="Q59" s="1149"/>
      <c r="R59" s="1149"/>
      <c r="S59" s="1654"/>
      <c r="T59" s="1654"/>
      <c r="U59" s="1654"/>
      <c r="V59" s="1149"/>
      <c r="W59" s="1654"/>
      <c r="X59" s="1654">
        <v>2</v>
      </c>
      <c r="Y59" s="1654"/>
      <c r="Z59" s="1654"/>
      <c r="AA59" s="1654"/>
      <c r="AB59" s="1654"/>
      <c r="AC59" s="1654"/>
    </row>
    <row r="60" spans="1:29" ht="30" customHeight="1">
      <c r="A60" s="1067" t="s">
        <v>2253</v>
      </c>
      <c r="B60" s="2187"/>
      <c r="C60" s="2111"/>
      <c r="D60" s="1215" t="s">
        <v>2249</v>
      </c>
      <c r="E60" s="1659"/>
      <c r="F60" s="1659"/>
      <c r="G60" s="1138">
        <f>E81</f>
        <v>0</v>
      </c>
      <c r="H60" s="1065">
        <v>0</v>
      </c>
      <c r="I60" s="1065">
        <v>0</v>
      </c>
      <c r="J60" s="1065">
        <v>0</v>
      </c>
      <c r="K60" s="1660"/>
      <c r="L60" s="2190"/>
      <c r="M60" s="1173"/>
      <c r="N60" s="1173"/>
      <c r="O60" s="2188"/>
      <c r="P60" s="1149"/>
      <c r="Q60" s="1149"/>
      <c r="R60" s="1149"/>
      <c r="S60" s="1654"/>
      <c r="T60" s="1654"/>
      <c r="U60" s="1654"/>
      <c r="V60" s="1149"/>
      <c r="W60" s="1654"/>
      <c r="X60" s="1654"/>
      <c r="Y60" s="1654"/>
      <c r="Z60" s="1654"/>
      <c r="AA60" s="1654"/>
      <c r="AB60" s="1654"/>
      <c r="AC60" s="1654"/>
    </row>
    <row r="61" spans="1:29" ht="30" customHeight="1" thickBot="1">
      <c r="A61" s="1067" t="s">
        <v>2556</v>
      </c>
      <c r="B61" s="1135">
        <v>4.21</v>
      </c>
      <c r="C61" s="1128" t="s">
        <v>2251</v>
      </c>
      <c r="D61" s="1071" t="s">
        <v>85</v>
      </c>
      <c r="E61" s="1136"/>
      <c r="F61" s="1136"/>
      <c r="G61" s="1661">
        <f>G89</f>
        <v>0</v>
      </c>
      <c r="H61" s="1196">
        <v>0</v>
      </c>
      <c r="I61" s="1196">
        <v>0</v>
      </c>
      <c r="J61" s="1196">
        <v>0</v>
      </c>
      <c r="K61" s="1069"/>
      <c r="L61" s="2190"/>
      <c r="M61" s="1173"/>
      <c r="N61" s="1173"/>
      <c r="O61" s="1253">
        <v>4.21</v>
      </c>
      <c r="P61" s="1149"/>
      <c r="Q61" s="1654"/>
      <c r="R61" s="1149"/>
      <c r="S61" s="1654"/>
      <c r="T61" s="1654"/>
      <c r="U61" s="1654"/>
      <c r="V61" s="1149"/>
      <c r="W61" s="1654"/>
      <c r="X61" s="1654"/>
      <c r="Y61" s="1654"/>
      <c r="Z61" s="1654"/>
      <c r="AA61" s="1654"/>
      <c r="AB61" s="1654"/>
      <c r="AC61" s="1654"/>
    </row>
    <row r="62" spans="1:29" ht="20.100000000000001" customHeight="1" thickBot="1">
      <c r="B62" s="2183" t="s">
        <v>2252</v>
      </c>
      <c r="C62" s="2184"/>
      <c r="D62" s="2184"/>
      <c r="E62" s="2184"/>
      <c r="F62" s="2184"/>
      <c r="G62" s="1130">
        <f>SUM(G57:G61)</f>
        <v>0</v>
      </c>
      <c r="H62" s="1130">
        <f t="shared" ref="H62:J62" si="7">SUM(H57:H61)</f>
        <v>0</v>
      </c>
      <c r="I62" s="1130">
        <f t="shared" si="7"/>
        <v>0</v>
      </c>
      <c r="J62" s="1130">
        <f t="shared" si="7"/>
        <v>0</v>
      </c>
      <c r="K62" s="1133"/>
      <c r="L62" s="2190"/>
      <c r="M62" s="1173"/>
      <c r="N62" s="1173"/>
      <c r="O62" s="1177"/>
      <c r="P62" s="1177"/>
      <c r="Q62" s="1662"/>
      <c r="R62" s="1663"/>
      <c r="S62" s="1662"/>
      <c r="T62" s="1662"/>
      <c r="U62" s="1662"/>
      <c r="V62" s="1662"/>
      <c r="W62" s="1656"/>
      <c r="X62" s="1656"/>
      <c r="Y62" s="1656"/>
      <c r="Z62" s="1357"/>
      <c r="AA62" s="1656"/>
      <c r="AB62" s="1656"/>
      <c r="AC62" s="1664"/>
    </row>
    <row r="63" spans="1:29" ht="30" customHeight="1" thickBot="1">
      <c r="A63" s="1067" t="s">
        <v>2557</v>
      </c>
      <c r="B63" s="1665">
        <v>4.22</v>
      </c>
      <c r="C63" s="1666" t="s">
        <v>78</v>
      </c>
      <c r="D63" s="1667" t="s">
        <v>85</v>
      </c>
      <c r="E63" s="1668">
        <v>1</v>
      </c>
      <c r="F63" s="1669">
        <v>0.03</v>
      </c>
      <c r="G63" s="1670">
        <f>IF($E63=0,0,ROUNDUP((G$56+G$62)*$F$63,0))</f>
        <v>0</v>
      </c>
      <c r="H63" s="1670">
        <f t="shared" ref="H63:J63" si="8">IF($E63=0,0,ROUNDUP((H$56+H$62)*$F$63,0))</f>
        <v>0</v>
      </c>
      <c r="I63" s="1670">
        <f t="shared" si="8"/>
        <v>0</v>
      </c>
      <c r="J63" s="1902">
        <f t="shared" si="8"/>
        <v>0</v>
      </c>
      <c r="K63" s="1671"/>
      <c r="L63" s="2190"/>
      <c r="M63" s="1173"/>
      <c r="N63" s="1173"/>
      <c r="O63" s="1149">
        <v>4.22</v>
      </c>
      <c r="P63" s="1149"/>
      <c r="Q63" s="1654"/>
      <c r="R63" s="1149"/>
      <c r="S63" s="1654"/>
      <c r="T63" s="1654"/>
      <c r="U63" s="1654"/>
      <c r="V63" s="1654"/>
      <c r="W63" s="1654"/>
      <c r="X63" s="1654"/>
      <c r="Y63" s="1654"/>
      <c r="Z63" s="1654"/>
      <c r="AA63" s="1654"/>
      <c r="AB63" s="1654"/>
      <c r="AC63" s="1654"/>
    </row>
    <row r="64" spans="1:29" ht="20.100000000000001" customHeight="1" thickBot="1">
      <c r="B64" s="2183" t="s">
        <v>81</v>
      </c>
      <c r="C64" s="2184"/>
      <c r="D64" s="2184"/>
      <c r="E64" s="2184"/>
      <c r="F64" s="2192"/>
      <c r="G64" s="1672">
        <f>G56+G62+G63</f>
        <v>0</v>
      </c>
      <c r="H64" s="1079">
        <f t="shared" ref="H64:J64" si="9">H56+H62+H63</f>
        <v>0</v>
      </c>
      <c r="I64" s="1079">
        <f t="shared" si="9"/>
        <v>0</v>
      </c>
      <c r="J64" s="1079">
        <f t="shared" si="9"/>
        <v>0</v>
      </c>
      <c r="K64" s="1673"/>
      <c r="L64" s="2191"/>
      <c r="M64" s="1173"/>
      <c r="N64" s="1173"/>
      <c r="O64" s="1177"/>
      <c r="P64" s="1177"/>
      <c r="Q64" s="1178"/>
      <c r="R64" s="1179"/>
      <c r="S64" s="1178"/>
      <c r="T64" s="1178"/>
      <c r="U64" s="1178"/>
      <c r="V64" s="1178"/>
      <c r="W64" s="1145"/>
      <c r="X64" s="1145"/>
      <c r="Y64" s="1145"/>
      <c r="Z64" s="1142"/>
      <c r="AA64" s="1145"/>
      <c r="AB64" s="1145"/>
    </row>
    <row r="65" spans="1:11" ht="19.2" customHeight="1">
      <c r="J65" s="1674" t="s">
        <v>1858</v>
      </c>
    </row>
    <row r="66" spans="1:11" ht="19.2" customHeight="1" thickBot="1">
      <c r="J66" s="1674"/>
    </row>
    <row r="67" spans="1:11" s="1061" customFormat="1" ht="30" customHeight="1" thickBot="1">
      <c r="A67" s="1675"/>
      <c r="B67" s="1676"/>
      <c r="C67" s="1677" t="s">
        <v>82</v>
      </c>
      <c r="D67" s="1678" t="s">
        <v>2139</v>
      </c>
      <c r="E67" s="1679" t="s">
        <v>2254</v>
      </c>
      <c r="F67" s="1678" t="s">
        <v>2140</v>
      </c>
      <c r="G67" s="2193" t="s">
        <v>1823</v>
      </c>
      <c r="H67" s="2193"/>
      <c r="I67" s="2193"/>
      <c r="J67" s="2194"/>
      <c r="K67" s="1637"/>
    </row>
    <row r="68" spans="1:11" s="1061" customFormat="1" ht="19.95" customHeight="1">
      <c r="A68" s="1681"/>
      <c r="B68" s="1682"/>
      <c r="C68" s="1683" t="s">
        <v>147</v>
      </c>
      <c r="D68" s="1684">
        <v>0</v>
      </c>
      <c r="E68" s="1684">
        <v>0</v>
      </c>
      <c r="F68" s="1684">
        <v>0</v>
      </c>
      <c r="G68" s="2160"/>
      <c r="H68" s="2160"/>
      <c r="I68" s="2160"/>
      <c r="J68" s="2161"/>
      <c r="K68" s="1637"/>
    </row>
    <row r="69" spans="1:11" s="1061" customFormat="1" ht="19.95" customHeight="1">
      <c r="A69" s="1681"/>
      <c r="B69" s="1682"/>
      <c r="C69" s="1683" t="s">
        <v>2141</v>
      </c>
      <c r="D69" s="1684">
        <v>0</v>
      </c>
      <c r="E69" s="1684">
        <v>0</v>
      </c>
      <c r="F69" s="1684">
        <v>0</v>
      </c>
      <c r="G69" s="2162"/>
      <c r="H69" s="2162"/>
      <c r="I69" s="2162"/>
      <c r="J69" s="2163"/>
      <c r="K69" s="1637"/>
    </row>
    <row r="70" spans="1:11" s="1061" customFormat="1" ht="19.95" customHeight="1">
      <c r="A70" s="1681"/>
      <c r="B70" s="1682"/>
      <c r="C70" s="1683" t="s">
        <v>2142</v>
      </c>
      <c r="D70" s="1684">
        <v>0</v>
      </c>
      <c r="E70" s="1684">
        <v>0</v>
      </c>
      <c r="F70" s="1684">
        <v>0</v>
      </c>
      <c r="G70" s="2162"/>
      <c r="H70" s="2162"/>
      <c r="I70" s="2162"/>
      <c r="J70" s="2163"/>
      <c r="K70" s="1637"/>
    </row>
    <row r="71" spans="1:11" s="1061" customFormat="1" ht="19.95" customHeight="1">
      <c r="A71" s="1681"/>
      <c r="B71" s="1682"/>
      <c r="C71" s="1683" t="s">
        <v>234</v>
      </c>
      <c r="D71" s="1684">
        <v>0</v>
      </c>
      <c r="E71" s="1684">
        <v>0</v>
      </c>
      <c r="F71" s="1684">
        <v>0</v>
      </c>
      <c r="G71" s="2162"/>
      <c r="H71" s="2162"/>
      <c r="I71" s="2162"/>
      <c r="J71" s="2163"/>
      <c r="K71" s="1637"/>
    </row>
    <row r="72" spans="1:11" s="1061" customFormat="1" ht="19.95" customHeight="1">
      <c r="A72" s="1681"/>
      <c r="B72" s="1682"/>
      <c r="C72" s="1683" t="s">
        <v>2143</v>
      </c>
      <c r="D72" s="1684">
        <v>0</v>
      </c>
      <c r="E72" s="1684">
        <v>0</v>
      </c>
      <c r="F72" s="1684">
        <v>0</v>
      </c>
      <c r="G72" s="2162"/>
      <c r="H72" s="2162"/>
      <c r="I72" s="2162"/>
      <c r="J72" s="2163"/>
      <c r="K72" s="1637"/>
    </row>
    <row r="73" spans="1:11" s="1061" customFormat="1" ht="19.95" customHeight="1">
      <c r="A73" s="1681"/>
      <c r="B73" s="1682"/>
      <c r="C73" s="1683" t="s">
        <v>148</v>
      </c>
      <c r="D73" s="1684">
        <v>0</v>
      </c>
      <c r="E73" s="1684">
        <v>0</v>
      </c>
      <c r="F73" s="1684">
        <v>0</v>
      </c>
      <c r="G73" s="2162"/>
      <c r="H73" s="2162"/>
      <c r="I73" s="2162"/>
      <c r="J73" s="2163"/>
      <c r="K73" s="1637"/>
    </row>
    <row r="74" spans="1:11" s="1061" customFormat="1" ht="19.95" customHeight="1">
      <c r="A74" s="1681"/>
      <c r="B74" s="1682"/>
      <c r="C74" s="1683" t="s">
        <v>235</v>
      </c>
      <c r="D74" s="1684">
        <v>0</v>
      </c>
      <c r="E74" s="1684">
        <v>0</v>
      </c>
      <c r="F74" s="1684">
        <v>0</v>
      </c>
      <c r="G74" s="2162"/>
      <c r="H74" s="2162"/>
      <c r="I74" s="2162"/>
      <c r="J74" s="2163"/>
      <c r="K74" s="1637"/>
    </row>
    <row r="75" spans="1:11" s="1061" customFormat="1" ht="19.95" customHeight="1">
      <c r="A75" s="1681"/>
      <c r="B75" s="1682"/>
      <c r="C75" s="1683" t="s">
        <v>236</v>
      </c>
      <c r="D75" s="1684">
        <v>0</v>
      </c>
      <c r="E75" s="1684">
        <v>0</v>
      </c>
      <c r="F75" s="1684">
        <v>0</v>
      </c>
      <c r="G75" s="2162"/>
      <c r="H75" s="2162"/>
      <c r="I75" s="2162"/>
      <c r="J75" s="2163"/>
      <c r="K75" s="1637"/>
    </row>
    <row r="76" spans="1:11" s="1061" customFormat="1" ht="19.95" customHeight="1">
      <c r="A76" s="1681"/>
      <c r="B76" s="1682"/>
      <c r="C76" s="1683" t="s">
        <v>1319</v>
      </c>
      <c r="D76" s="1684">
        <v>0</v>
      </c>
      <c r="E76" s="1684">
        <v>0</v>
      </c>
      <c r="F76" s="1684">
        <v>0</v>
      </c>
      <c r="G76" s="2162"/>
      <c r="H76" s="2162"/>
      <c r="I76" s="2162"/>
      <c r="J76" s="2163"/>
      <c r="K76" s="1637"/>
    </row>
    <row r="77" spans="1:11" s="1061" customFormat="1" ht="19.95" customHeight="1" thickBot="1">
      <c r="A77" s="1681"/>
      <c r="B77" s="1682"/>
      <c r="C77" s="1685" t="s">
        <v>231</v>
      </c>
      <c r="D77" s="1686">
        <v>0</v>
      </c>
      <c r="E77" s="1686">
        <v>0</v>
      </c>
      <c r="F77" s="1686">
        <v>0</v>
      </c>
      <c r="G77" s="2181"/>
      <c r="H77" s="2181"/>
      <c r="I77" s="2181"/>
      <c r="J77" s="2182"/>
      <c r="K77" s="1637"/>
    </row>
    <row r="78" spans="1:11" s="1061" customFormat="1" ht="19.95" customHeight="1" thickBot="1">
      <c r="A78" s="1075"/>
      <c r="B78" s="1687"/>
      <c r="C78" s="1688" t="s">
        <v>238</v>
      </c>
      <c r="D78" s="1689">
        <f>SUM(D68:D77)</f>
        <v>0</v>
      </c>
      <c r="E78" s="1689">
        <f>SUM(E68:E77)</f>
        <v>0</v>
      </c>
      <c r="F78" s="1690">
        <f>SUM(F68:F77)</f>
        <v>0</v>
      </c>
      <c r="G78" s="1691"/>
      <c r="H78" s="1087"/>
      <c r="I78" s="1087"/>
      <c r="J78" s="1077"/>
      <c r="K78" s="1637"/>
    </row>
    <row r="79" spans="1:11" s="1061" customFormat="1" ht="19.95" customHeight="1">
      <c r="A79" s="1681"/>
      <c r="B79" s="1682"/>
      <c r="C79" s="1692" t="s">
        <v>861</v>
      </c>
      <c r="D79" s="1912">
        <v>0</v>
      </c>
      <c r="E79" s="1693">
        <v>0</v>
      </c>
      <c r="G79" s="1637"/>
      <c r="H79" s="1087"/>
      <c r="I79" s="1087"/>
      <c r="J79" s="1077"/>
      <c r="K79" s="1637"/>
    </row>
    <row r="80" spans="1:11" s="1061" customFormat="1" ht="19.95" customHeight="1" thickBot="1">
      <c r="A80" s="1681"/>
      <c r="B80" s="1682"/>
      <c r="C80" s="1695" t="s">
        <v>155</v>
      </c>
      <c r="D80" s="1913">
        <v>0</v>
      </c>
      <c r="E80" s="1914">
        <v>0</v>
      </c>
      <c r="F80" s="1694"/>
      <c r="G80" s="1637"/>
      <c r="H80" s="1087"/>
      <c r="I80" s="1098"/>
      <c r="J80" s="1077"/>
    </row>
    <row r="81" spans="1:29" s="1694" customFormat="1" ht="19.95" customHeight="1" thickTop="1" thickBot="1">
      <c r="A81" s="1075"/>
      <c r="B81" s="1687"/>
      <c r="C81" s="1697" t="s">
        <v>2144</v>
      </c>
      <c r="D81" s="1915">
        <f>SUM(D78:D80)</f>
        <v>0</v>
      </c>
      <c r="E81" s="1698">
        <f>SUM(E78:E80)</f>
        <v>0</v>
      </c>
      <c r="G81" s="1637"/>
      <c r="H81" s="1087"/>
      <c r="I81" s="1087"/>
      <c r="J81" s="1077"/>
    </row>
    <row r="82" spans="1:29" ht="19.95" customHeight="1" thickBot="1"/>
    <row r="83" spans="1:29" ht="30" customHeight="1" thickBot="1">
      <c r="C83" s="1677" t="s">
        <v>133</v>
      </c>
      <c r="D83" s="1678" t="s">
        <v>2255</v>
      </c>
      <c r="E83" s="1678" t="s">
        <v>2256</v>
      </c>
      <c r="F83" s="1678" t="s">
        <v>2257</v>
      </c>
      <c r="G83" s="1680" t="s">
        <v>102</v>
      </c>
    </row>
    <row r="84" spans="1:29" ht="19.95" customHeight="1">
      <c r="C84" s="1683" t="s">
        <v>2258</v>
      </c>
      <c r="D84" s="1684">
        <v>0</v>
      </c>
      <c r="E84" s="1684">
        <v>0</v>
      </c>
      <c r="F84" s="1684">
        <v>0</v>
      </c>
      <c r="G84" s="1898">
        <f>D84*(E84+F84)</f>
        <v>0</v>
      </c>
    </row>
    <row r="85" spans="1:29" ht="19.95" customHeight="1">
      <c r="C85" s="1683" t="s">
        <v>2259</v>
      </c>
      <c r="D85" s="1684">
        <v>0</v>
      </c>
      <c r="E85" s="1684">
        <v>0</v>
      </c>
      <c r="F85" s="1684">
        <v>0</v>
      </c>
      <c r="G85" s="1898">
        <f t="shared" ref="G85:G88" si="10">D85*(E85+F85)</f>
        <v>0</v>
      </c>
    </row>
    <row r="86" spans="1:29" ht="19.95" customHeight="1">
      <c r="C86" s="1683" t="s">
        <v>2260</v>
      </c>
      <c r="D86" s="1684">
        <v>0</v>
      </c>
      <c r="E86" s="1684">
        <v>0</v>
      </c>
      <c r="F86" s="1684">
        <v>0</v>
      </c>
      <c r="G86" s="1898">
        <f t="shared" si="10"/>
        <v>0</v>
      </c>
    </row>
    <row r="87" spans="1:29" s="1087" customFormat="1" ht="19.95" customHeight="1">
      <c r="A87" s="348"/>
      <c r="B87" s="348"/>
      <c r="C87" s="1683" t="s">
        <v>2261</v>
      </c>
      <c r="D87" s="1684">
        <v>0</v>
      </c>
      <c r="E87" s="1684">
        <v>0</v>
      </c>
      <c r="F87" s="1684">
        <v>0</v>
      </c>
      <c r="G87" s="1898">
        <f t="shared" si="10"/>
        <v>0</v>
      </c>
      <c r="J87" s="1077"/>
      <c r="K87" s="348"/>
      <c r="L87" s="348"/>
      <c r="M87" s="348"/>
      <c r="N87" s="348"/>
      <c r="O87" s="348"/>
      <c r="P87" s="348"/>
      <c r="Q87" s="1097"/>
      <c r="R87" s="1097"/>
      <c r="S87" s="1097"/>
      <c r="T87" s="1097"/>
      <c r="U87" s="1097"/>
      <c r="V87" s="1097"/>
      <c r="W87" s="1067"/>
      <c r="X87" s="1067"/>
      <c r="Y87" s="1067"/>
      <c r="Z87" s="348"/>
      <c r="AA87" s="1067"/>
      <c r="AB87" s="1067"/>
      <c r="AC87" s="348"/>
    </row>
    <row r="88" spans="1:29" s="1087" customFormat="1" ht="19.95" customHeight="1" thickBot="1">
      <c r="A88" s="348"/>
      <c r="B88" s="348"/>
      <c r="C88" s="1683" t="s">
        <v>2262</v>
      </c>
      <c r="D88" s="1684">
        <v>0</v>
      </c>
      <c r="E88" s="1684">
        <v>0</v>
      </c>
      <c r="F88" s="1684">
        <v>0</v>
      </c>
      <c r="G88" s="1898">
        <f t="shared" si="10"/>
        <v>0</v>
      </c>
      <c r="J88" s="1077"/>
      <c r="K88" s="348"/>
      <c r="L88" s="348"/>
      <c r="M88" s="348"/>
      <c r="N88" s="348"/>
      <c r="O88" s="348"/>
      <c r="P88" s="348"/>
      <c r="Q88" s="1097"/>
      <c r="R88" s="1097"/>
      <c r="S88" s="1097"/>
      <c r="T88" s="1097"/>
      <c r="U88" s="1097"/>
      <c r="V88" s="1097"/>
      <c r="W88" s="1067"/>
      <c r="X88" s="1067"/>
      <c r="Y88" s="1067"/>
      <c r="Z88" s="348"/>
      <c r="AA88" s="1067"/>
      <c r="AB88" s="1067"/>
      <c r="AC88" s="348"/>
    </row>
    <row r="89" spans="1:29" s="1087" customFormat="1" ht="19.95" customHeight="1" thickBot="1">
      <c r="A89" s="348"/>
      <c r="B89" s="348"/>
      <c r="C89" s="2178" t="s">
        <v>2263</v>
      </c>
      <c r="D89" s="2179"/>
      <c r="E89" s="2179"/>
      <c r="F89" s="2180"/>
      <c r="G89" s="1680">
        <f>SUM(G84:G88)</f>
        <v>0</v>
      </c>
      <c r="J89" s="1077"/>
      <c r="K89" s="348"/>
      <c r="L89" s="348"/>
      <c r="M89" s="348"/>
      <c r="N89" s="348"/>
      <c r="O89" s="348"/>
      <c r="P89" s="348"/>
      <c r="Q89" s="1097"/>
      <c r="R89" s="1097"/>
      <c r="S89" s="1097"/>
      <c r="T89" s="1097"/>
      <c r="U89" s="1097"/>
      <c r="V89" s="1097"/>
      <c r="W89" s="1067"/>
      <c r="X89" s="1067"/>
      <c r="Y89" s="1067"/>
      <c r="Z89" s="348"/>
      <c r="AA89" s="1067"/>
      <c r="AB89" s="1067"/>
      <c r="AC89" s="348"/>
    </row>
  </sheetData>
  <sheetProtection algorithmName="SHA-512" hashValue="AqPGiY6ivDqV9ufGJmQW9s6DFBfWjg6kW0PjOdhZ8f4GQVJJ9MB1h26UIZXKk/VyL9KOBBjRK+JtB0JjSgau4w==" saltValue="nnviUM4jvDW42lZ+WMkZuQ==" spinCount="100000" sheet="1" formatCells="0" formatColumns="0" formatRows="0" insertColumns="0" insertRows="0"/>
  <mergeCells count="82">
    <mergeCell ref="G71:J71"/>
    <mergeCell ref="B52:B53"/>
    <mergeCell ref="C30:C31"/>
    <mergeCell ref="O30:O31"/>
    <mergeCell ref="G70:J70"/>
    <mergeCell ref="C44:C45"/>
    <mergeCell ref="C52:C53"/>
    <mergeCell ref="O52:O53"/>
    <mergeCell ref="B56:F56"/>
    <mergeCell ref="B59:B60"/>
    <mergeCell ref="C59:C60"/>
    <mergeCell ref="O59:O60"/>
    <mergeCell ref="L56:L64"/>
    <mergeCell ref="B62:F62"/>
    <mergeCell ref="B64:F64"/>
    <mergeCell ref="G67:J67"/>
    <mergeCell ref="C89:F89"/>
    <mergeCell ref="G72:J72"/>
    <mergeCell ref="G73:J73"/>
    <mergeCell ref="G74:J74"/>
    <mergeCell ref="G75:J75"/>
    <mergeCell ref="G76:J76"/>
    <mergeCell ref="G77:J77"/>
    <mergeCell ref="U9:W9"/>
    <mergeCell ref="B25:B26"/>
    <mergeCell ref="C25:C26"/>
    <mergeCell ref="O25:O26"/>
    <mergeCell ref="O9:O10"/>
    <mergeCell ref="C23:C24"/>
    <mergeCell ref="O23:O24"/>
    <mergeCell ref="P9:T9"/>
    <mergeCell ref="G9:J9"/>
    <mergeCell ref="K10:K11"/>
    <mergeCell ref="B11:E11"/>
    <mergeCell ref="G10:G11"/>
    <mergeCell ref="H10:H11"/>
    <mergeCell ref="I10:I11"/>
    <mergeCell ref="J10:J11"/>
    <mergeCell ref="G68:J68"/>
    <mergeCell ref="G69:J69"/>
    <mergeCell ref="C48:C50"/>
    <mergeCell ref="O27:O29"/>
    <mergeCell ref="B32:B34"/>
    <mergeCell ref="C32:C34"/>
    <mergeCell ref="B48:B51"/>
    <mergeCell ref="O48:O51"/>
    <mergeCell ref="B43:B46"/>
    <mergeCell ref="B27:B29"/>
    <mergeCell ref="C27:C29"/>
    <mergeCell ref="O43:O46"/>
    <mergeCell ref="B30:B31"/>
    <mergeCell ref="O32:O34"/>
    <mergeCell ref="B36:B42"/>
    <mergeCell ref="C36:C38"/>
    <mergeCell ref="AA9:AC9"/>
    <mergeCell ref="B12:B15"/>
    <mergeCell ref="C12:C15"/>
    <mergeCell ref="L12:L54"/>
    <mergeCell ref="O12:O15"/>
    <mergeCell ref="B17:B19"/>
    <mergeCell ref="C17:C19"/>
    <mergeCell ref="O17:O19"/>
    <mergeCell ref="B20:B22"/>
    <mergeCell ref="B9:B10"/>
    <mergeCell ref="C9:C10"/>
    <mergeCell ref="D9:F9"/>
    <mergeCell ref="C20:C22"/>
    <mergeCell ref="O20:O22"/>
    <mergeCell ref="B23:B24"/>
    <mergeCell ref="X9:Z9"/>
    <mergeCell ref="L1:L3"/>
    <mergeCell ref="B4:C4"/>
    <mergeCell ref="D4:J4"/>
    <mergeCell ref="B5:C5"/>
    <mergeCell ref="D5:J5"/>
    <mergeCell ref="D1:J3"/>
    <mergeCell ref="B1:C3"/>
    <mergeCell ref="O36:O42"/>
    <mergeCell ref="C39:C42"/>
    <mergeCell ref="B6:C6"/>
    <mergeCell ref="D6:J6"/>
    <mergeCell ref="L5:L11"/>
  </mergeCells>
  <phoneticPr fontId="51" type="noConversion"/>
  <dataValidations xWindow="830" yWindow="854" count="24">
    <dataValidation type="whole" allowBlank="1" showInputMessage="1" showErrorMessage="1" error="Input 0 or 1." prompt="Are AMG files required?_x000a_Yes=1_x000a_No=0" sqref="E42" xr:uid="{2310671D-C07C-4ADD-9533-7B9E59564336}">
      <formula1>0</formula1>
      <formula2>1</formula2>
    </dataValidation>
    <dataValidation type="whole" operator="greaterThanOrEqual" allowBlank="1" showInputMessage="1" showErrorMessage="1" sqref="E84:G88 F68:F77" xr:uid="{918B214A-CC27-489A-A8DE-3CCEBA8C98B3}">
      <formula1>0</formula1>
    </dataValidation>
    <dataValidation type="whole" allowBlank="1" showInputMessage="1" showErrorMessage="1" error="Input 1 or 0." sqref="E43 E35 E45 E50 E47" xr:uid="{4EB7D063-E1B0-43D4-8FEE-1C94319EC1C2}">
      <formula1>0</formula1>
      <formula2>1</formula2>
    </dataValidation>
    <dataValidation type="whole" allowBlank="1" showInputMessage="1" showErrorMessage="1" error="Input 1 or 0." prompt="Are MES pay item numbers anticipated?_x000a_Yes=1_x000a_No=0" sqref="E25" xr:uid="{CFD54F14-E662-4743-AABA-11328D75EC8E}">
      <formula1>0</formula1>
      <formula2>1</formula2>
    </dataValidation>
    <dataValidation type="whole" allowBlank="1" showInputMessage="1" showErrorMessage="1" error="Input a whole number between 0 and 4." sqref="E51" xr:uid="{E3BED8F0-C2E7-4FE4-910F-D0022CFAAE8D}">
      <formula1>0</formula1>
      <formula2>4</formula2>
    </dataValidation>
    <dataValidation type="whole" allowBlank="1" showInputMessage="1" showErrorMessage="1" error="Input 1 or 0." prompt="Is a RRR Report required for the project?_x000a_Yes=1_x000a_No=0" sqref="E30" xr:uid="{F086C71B-94D7-4788-A4CB-235C07D07598}">
      <formula1>0</formula1>
      <formula2>1</formula2>
    </dataValidation>
    <dataValidation type="list" allowBlank="1" showInputMessage="1" showErrorMessage="1" promptTitle="Estimated Complexity" prompt="What is the complexity of the Report?_x000a_Simple is a Memo_x000a_Standard is a typical Report_x000a_Complex is a Report with complex analysis" sqref="F16 F30" xr:uid="{62113EFB-0EBA-427C-A318-F68EE07A3B4D}">
      <formula1>$U$10:$W$10</formula1>
    </dataValidation>
    <dataValidation type="list" allowBlank="1" showInputMessage="1" showErrorMessage="1" prompt="What is the estimated complexity of the roadway project?" sqref="F11" xr:uid="{701DB34A-274B-4870-9F2A-C6423BAAE41B}">
      <formula1>$P$10:$T$10</formula1>
    </dataValidation>
    <dataValidation type="whole" allowBlank="1" showInputMessage="1" showErrorMessage="1" error="Input 1 or 0." prompt="Is Pavement Type Selection Report required?_x000a_Yes=1_x000a_No=0" sqref="E16" xr:uid="{3997D1F0-A6EF-4F78-81B4-B0468503534A}">
      <formula1>0</formula1>
      <formula2>1</formula2>
    </dataValidation>
    <dataValidation type="whole" allowBlank="1" showInputMessage="1" showErrorMessage="1" error="Input 1 or 0." prompt="Is Typical Section Package required?_x000a_Yes=1_x000a_No=0" sqref="E12" xr:uid="{8851EC93-75EA-4EB8-8525-E5E839B10255}">
      <formula1>0</formula1>
      <formula2>1</formula2>
    </dataValidation>
    <dataValidation type="whole" operator="greaterThanOrEqual" allowBlank="1" showInputMessage="1" showErrorMessage="1" error="Input a whole number greater than or equal to zero." sqref="E13:E15 E32:E34 E46:E47 E18:E19 E59 E27:E29 E52:E54 E49:E50 E22" xr:uid="{3992A20E-903A-4409-B2F9-6C5E0A9C9FAA}">
      <formula1>0</formula1>
    </dataValidation>
    <dataValidation type="decimal" operator="greaterThanOrEqual" allowBlank="1" showInputMessage="1" showErrorMessage="1" error="Enter a positive number with an accuravy of 2 decimal places." sqref="E48 E36:E41 E44" xr:uid="{90545C95-A865-496E-A689-453EA70DB91B}">
      <formula1>0</formula1>
    </dataValidation>
    <dataValidation type="decimal" operator="greaterThanOrEqual" allowBlank="1" showInputMessage="1" showErrorMessage="1" error="Input a positive number to an accuracy of 2 decimal places." sqref="E20:E21 E26" xr:uid="{B91439C7-D1BE-4C8C-9510-244163398884}">
      <formula1>0</formula1>
    </dataValidation>
    <dataValidation type="whole" allowBlank="1" showInputMessage="1" showErrorMessage="1" error="Input 1 or 0." prompt="Is a HSM Assessment required?_x000a_Yes=1_x000a_No=0" sqref="E23" xr:uid="{90C6BAEC-E5EE-4C4A-A69D-7E975E486540}">
      <formula1>0</formula1>
      <formula2>1</formula2>
    </dataValidation>
    <dataValidation type="list" allowBlank="1" showInputMessage="1" showErrorMessage="1" prompt="What is the estimated complexity of the task?_x000a_Simple - Isolated area(s) (typically 1 major phase)_x000a_Standard - Level 1 (typically 2-3 major phases)_x000a_Complex - Level 2 (typically 3 or more major phases)" sqref="F51" xr:uid="{D8881804-1308-464F-BCE2-65876B932A9A}">
      <formula1>$U$10:$W$10</formula1>
    </dataValidation>
    <dataValidation type="whole" allowBlank="1" showInputMessage="1" showErrorMessage="1" error="Input 1 or 0." prompt="Is Pavement Design Package required?_x000a_Yes=1_x000a_No=0" sqref="E17" xr:uid="{C7AB7C0A-E4C9-4CCA-AF1C-2F974DD9AE1D}">
      <formula1>0</formula1>
      <formula2>1</formula2>
    </dataValidation>
    <dataValidation type="whole" allowBlank="1" showInputMessage="1" showErrorMessage="1" error="Input 1 or 0." prompt="Is Coordination required?_x000a_Yes=1_x000a_No=0" sqref="E63" xr:uid="{F89CBA04-F3CE-41AA-BCE8-A06865997B83}">
      <formula1>0</formula1>
      <formula2>1</formula2>
    </dataValidation>
    <dataValidation type="whole" allowBlank="1" showInputMessage="1" showErrorMessage="1" error="Enter 1 or 0._x000a_Yes=1_x000a_No=0" sqref="E57:E58" xr:uid="{1710818B-9199-459B-9624-09692A354384}">
      <formula1>0</formula1>
      <formula2>1</formula2>
    </dataValidation>
    <dataValidation type="whole" operator="greaterThanOrEqual" allowBlank="1" showInputMessage="1" showErrorMessage="1" error="Input a whole number zero or greater." sqref="D68:E77 D79:E80 D84:D88" xr:uid="{B245FDAE-875D-45A7-92A1-0C96D9F3D709}">
      <formula1>0</formula1>
    </dataValidation>
    <dataValidation type="whole" allowBlank="1" showInputMessage="1" showErrorMessage="1" error="Input 1 or 0." prompt="Is Crash Analysis required for the project?_x000a_Yes=1_x000a_No=0" sqref="E24" xr:uid="{9CAFA360-BD4C-4E74-9215-C08EED60688A}">
      <formula1>0</formula1>
      <formula2>1</formula2>
    </dataValidation>
    <dataValidation type="list" allowBlank="1" showInputMessage="1" showErrorMessage="1" prompt="What is the complexity of the roadway project?_x000a_Below and low complexity projects typically do not require Level II TTCP." sqref="F46" xr:uid="{48E766E8-D467-4ADB-A762-AEBAAF051602}">
      <formula1>$R$10:$T$10</formula1>
    </dataValidation>
    <dataValidation type="list" allowBlank="1" showInputMessage="1" showErrorMessage="1" prompt="What is the estimated complexity of the task?_x000a_" sqref="F45" xr:uid="{C28D3A2C-15E1-4338-8989-F4D14B339080}">
      <formula1>$U$10:$W$10</formula1>
    </dataValidation>
    <dataValidation type="list" allowBlank="1" showInputMessage="1" showErrorMessage="1" promptTitle="Estimated Complexity" prompt="What is the complexity of the task?" sqref="F23:F24" xr:uid="{286F793D-56F6-4B1A-A64C-5DC6F31C6AF6}">
      <formula1>$U$10:$W$10</formula1>
    </dataValidation>
    <dataValidation type="list" allowBlank="1" showInputMessage="1" showErrorMessage="1" sqref="F17 F50 F25:F26 F35:F44 F47:F48 F52:F53" xr:uid="{44552B4C-2FFE-4076-B280-12792DBEC7B0}">
      <formula1>$P$10:$T$10</formula1>
    </dataValidation>
  </dataValidations>
  <hyperlinks>
    <hyperlink ref="L4" r:id="rId1" display="Video Tutorial - A short webinar for the Drainage Plans tab" xr:uid="{4AC7A304-67EA-48A3-A286-3970851DBC9F}"/>
  </hyperlinks>
  <pageMargins left="0.7" right="0.7" top="0.75" bottom="0.75" header="0.3" footer="0.3"/>
  <pageSetup orientation="portrait"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80C19-4805-4951-81F0-F7F3EDE55288}">
  <sheetPr codeName="Sheet15"/>
  <dimension ref="A1:AO48"/>
  <sheetViews>
    <sheetView showGridLines="0" topLeftCell="B1" zoomScale="85" zoomScaleNormal="85" workbookViewId="0">
      <selection activeCell="B1" sqref="B1:C3"/>
    </sheetView>
  </sheetViews>
  <sheetFormatPr defaultColWidth="9.109375" defaultRowHeight="15.6"/>
  <cols>
    <col min="1" max="1" width="11.77734375" style="1077" hidden="1" customWidth="1"/>
    <col min="2" max="2" width="6.88671875" style="1084" customWidth="1"/>
    <col min="3" max="3" width="50.77734375" style="1085" customWidth="1"/>
    <col min="4" max="4" width="14.77734375" style="1085" customWidth="1"/>
    <col min="5" max="5" width="14.77734375" style="1084" customWidth="1"/>
    <col min="6" max="7" width="14.77734375" style="1086" customWidth="1"/>
    <col min="8" max="9" width="14.77734375" style="1087" customWidth="1"/>
    <col min="10" max="10" width="14.77734375" style="1077" customWidth="1"/>
    <col min="11" max="11" width="100.77734375" style="1077" customWidth="1"/>
    <col min="12" max="12" width="70.77734375" style="1077" customWidth="1"/>
    <col min="13" max="13" width="8.6640625" style="348" customWidth="1"/>
    <col min="14" max="14" width="15.5546875" style="348" customWidth="1"/>
    <col min="15" max="15" width="9.88671875" style="348" hidden="1" customWidth="1"/>
    <col min="16" max="24" width="12.77734375" style="348" hidden="1" customWidth="1"/>
    <col min="25" max="29" width="12.77734375" style="1076" hidden="1" customWidth="1"/>
    <col min="30" max="35" width="9.109375" style="1076"/>
    <col min="36" max="16384" width="9.109375" style="1077"/>
  </cols>
  <sheetData>
    <row r="1" spans="1:41" s="1075" customFormat="1" ht="15" customHeight="1">
      <c r="B1" s="2136" t="s">
        <v>592</v>
      </c>
      <c r="C1" s="2137"/>
      <c r="D1" s="2133" t="s">
        <v>2569</v>
      </c>
      <c r="E1" s="2133"/>
      <c r="F1" s="2133"/>
      <c r="G1" s="2133"/>
      <c r="H1" s="2133"/>
      <c r="I1" s="2133"/>
      <c r="J1" s="2133"/>
      <c r="K1" s="1055" t="str">
        <f>'Project Information'!B3</f>
        <v>Enter project name &amp; description</v>
      </c>
      <c r="L1" s="2120" t="s">
        <v>1819</v>
      </c>
      <c r="M1" s="348"/>
      <c r="N1" s="348"/>
      <c r="O1" s="348"/>
      <c r="P1" s="1142"/>
      <c r="Q1" s="1699"/>
      <c r="R1" s="1699"/>
      <c r="S1" s="1699"/>
      <c r="T1" s="1143"/>
      <c r="U1" s="1143"/>
      <c r="V1" s="348"/>
      <c r="W1" s="348"/>
      <c r="X1" s="348"/>
      <c r="Y1" s="1098"/>
      <c r="Z1" s="1098"/>
      <c r="AA1" s="1098"/>
      <c r="AB1" s="1098"/>
      <c r="AC1" s="1098"/>
      <c r="AD1" s="1098"/>
      <c r="AE1" s="1098"/>
      <c r="AF1" s="1098"/>
      <c r="AG1" s="1098"/>
      <c r="AH1" s="1098"/>
      <c r="AI1" s="1098"/>
    </row>
    <row r="2" spans="1:41" s="1075" customFormat="1" ht="15" customHeight="1">
      <c r="B2" s="2138"/>
      <c r="C2" s="2139"/>
      <c r="D2" s="2134"/>
      <c r="E2" s="2134"/>
      <c r="F2" s="2134"/>
      <c r="G2" s="2134"/>
      <c r="H2" s="2134"/>
      <c r="I2" s="2134"/>
      <c r="J2" s="2134"/>
      <c r="K2" s="1056" t="str">
        <f>'Project Information'!B1</f>
        <v>999999-1-32-01</v>
      </c>
      <c r="L2" s="2121"/>
      <c r="M2" s="348"/>
      <c r="N2" s="348"/>
      <c r="O2" s="348"/>
      <c r="P2" s="1142"/>
      <c r="Q2" s="1699"/>
      <c r="R2" s="1699"/>
      <c r="S2" s="1699"/>
      <c r="T2" s="1143"/>
      <c r="U2" s="1143"/>
      <c r="V2" s="348"/>
      <c r="W2" s="348"/>
      <c r="X2" s="348"/>
      <c r="Y2" s="1098"/>
      <c r="Z2" s="1098"/>
      <c r="AA2" s="1098"/>
      <c r="AB2" s="1098"/>
      <c r="AC2" s="1098"/>
      <c r="AD2" s="1098"/>
      <c r="AE2" s="1098"/>
      <c r="AF2" s="1098"/>
      <c r="AG2" s="1098"/>
      <c r="AH2" s="1098"/>
      <c r="AI2" s="1098"/>
    </row>
    <row r="3" spans="1:41" s="1058" customFormat="1" ht="15" customHeight="1" thickBot="1">
      <c r="B3" s="2140"/>
      <c r="C3" s="2141"/>
      <c r="D3" s="2135"/>
      <c r="E3" s="2135"/>
      <c r="F3" s="2135"/>
      <c r="G3" s="2135"/>
      <c r="H3" s="2135"/>
      <c r="I3" s="2135"/>
      <c r="J3" s="2135"/>
      <c r="K3" s="1057"/>
      <c r="L3" s="2122"/>
      <c r="P3" s="1146"/>
      <c r="Q3" s="1699"/>
      <c r="R3" s="1699"/>
      <c r="S3" s="1699"/>
      <c r="T3" s="1143"/>
      <c r="U3" s="1143"/>
      <c r="Y3" s="1103"/>
      <c r="Z3" s="1103"/>
      <c r="AA3" s="1103"/>
      <c r="AB3" s="1103"/>
      <c r="AC3" s="1103"/>
      <c r="AD3" s="1103"/>
      <c r="AE3" s="1103"/>
      <c r="AF3" s="1103"/>
      <c r="AG3" s="1103"/>
      <c r="AH3" s="1103"/>
      <c r="AI3" s="1103"/>
    </row>
    <row r="4" spans="1:41" s="1058" customFormat="1" ht="30" customHeight="1" thickBot="1">
      <c r="B4" s="2198" t="s">
        <v>1396</v>
      </c>
      <c r="C4" s="2199"/>
      <c r="D4" s="2200" t="s">
        <v>1397</v>
      </c>
      <c r="E4" s="2200"/>
      <c r="F4" s="2200"/>
      <c r="G4" s="2200"/>
      <c r="H4" s="2200"/>
      <c r="I4" s="2200"/>
      <c r="J4" s="2200"/>
      <c r="K4" s="1111" t="s">
        <v>1398</v>
      </c>
      <c r="L4" s="1580" t="s">
        <v>2625</v>
      </c>
      <c r="P4" s="1146"/>
      <c r="Q4" s="1699"/>
      <c r="R4" s="1699"/>
      <c r="S4" s="1699"/>
      <c r="T4" s="1143"/>
      <c r="U4" s="1143"/>
      <c r="Y4" s="1103"/>
      <c r="Z4" s="1103"/>
      <c r="AA4" s="1103"/>
      <c r="AB4" s="1103"/>
      <c r="AC4" s="1103"/>
      <c r="AD4" s="1103"/>
      <c r="AE4" s="1103"/>
      <c r="AF4" s="1103"/>
      <c r="AG4" s="1103"/>
      <c r="AH4" s="1103"/>
      <c r="AI4" s="1103"/>
    </row>
    <row r="5" spans="1:41" s="1058" customFormat="1" ht="30" customHeight="1">
      <c r="B5" s="2201" t="s">
        <v>1400</v>
      </c>
      <c r="C5" s="2202"/>
      <c r="D5" s="2203"/>
      <c r="E5" s="2203"/>
      <c r="F5" s="2203"/>
      <c r="G5" s="2203"/>
      <c r="H5" s="2203"/>
      <c r="I5" s="2203"/>
      <c r="J5" s="2203"/>
      <c r="K5" s="1059"/>
      <c r="L5" s="2195" t="s">
        <v>1820</v>
      </c>
      <c r="M5" s="1098"/>
      <c r="P5" s="1146"/>
      <c r="Q5" s="1700"/>
      <c r="R5" s="1700"/>
      <c r="S5" s="1700"/>
      <c r="T5" s="1201"/>
      <c r="U5" s="1201"/>
      <c r="Y5" s="1103"/>
      <c r="Z5" s="1103"/>
      <c r="AA5" s="1103"/>
      <c r="AB5" s="1103"/>
      <c r="AC5" s="1103"/>
      <c r="AD5" s="1103"/>
      <c r="AE5" s="1103"/>
      <c r="AF5" s="1103"/>
      <c r="AG5" s="1103"/>
      <c r="AH5" s="1103"/>
      <c r="AI5" s="1103"/>
    </row>
    <row r="6" spans="1:41" s="1058" customFormat="1" ht="30" customHeight="1" thickBot="1">
      <c r="B6" s="2204" t="s">
        <v>1399</v>
      </c>
      <c r="C6" s="2205"/>
      <c r="D6" s="2206"/>
      <c r="E6" s="2206"/>
      <c r="F6" s="2206"/>
      <c r="G6" s="2206"/>
      <c r="H6" s="2206"/>
      <c r="I6" s="2206"/>
      <c r="J6" s="2206"/>
      <c r="K6" s="1060"/>
      <c r="L6" s="2196"/>
      <c r="M6" s="1098"/>
      <c r="P6" s="1146"/>
      <c r="Q6" s="1700"/>
      <c r="R6" s="1700"/>
      <c r="S6" s="1700"/>
      <c r="T6" s="1201"/>
      <c r="U6" s="1201"/>
      <c r="Y6" s="1103"/>
      <c r="Z6" s="1103"/>
      <c r="AA6" s="1103"/>
      <c r="AB6" s="1103"/>
      <c r="AC6" s="1103"/>
      <c r="AD6" s="1103"/>
      <c r="AE6" s="1103"/>
      <c r="AF6" s="1103"/>
      <c r="AG6" s="1103"/>
      <c r="AH6" s="1103"/>
      <c r="AI6" s="1103"/>
    </row>
    <row r="7" spans="1:41" s="1058" customFormat="1" ht="15" customHeight="1">
      <c r="B7" s="1112" t="s">
        <v>1430</v>
      </c>
      <c r="C7" s="1182"/>
      <c r="D7" s="1183"/>
      <c r="E7" s="1183"/>
      <c r="F7" s="1183"/>
      <c r="G7" s="1183"/>
      <c r="H7" s="1183"/>
      <c r="I7" s="1183"/>
      <c r="J7" s="1183"/>
      <c r="K7" s="1184"/>
      <c r="L7" s="2196"/>
      <c r="M7" s="1098"/>
      <c r="P7" s="1146"/>
      <c r="T7" s="1146"/>
      <c r="U7" s="1146"/>
      <c r="Y7" s="1103"/>
      <c r="Z7" s="1103"/>
      <c r="AA7" s="1103"/>
      <c r="AB7" s="1103"/>
      <c r="AC7" s="1103"/>
      <c r="AD7" s="1103"/>
      <c r="AE7" s="1103"/>
      <c r="AF7" s="1103"/>
      <c r="AG7" s="1103"/>
      <c r="AH7" s="1103"/>
      <c r="AI7" s="1103"/>
    </row>
    <row r="8" spans="1:41" s="1058" customFormat="1" ht="15" customHeight="1" thickBot="1">
      <c r="B8" s="1185"/>
      <c r="C8" s="1186"/>
      <c r="D8" s="1187"/>
      <c r="E8" s="1187"/>
      <c r="F8" s="1187"/>
      <c r="G8" s="1187"/>
      <c r="H8" s="1187"/>
      <c r="I8" s="1187"/>
      <c r="J8" s="1187"/>
      <c r="K8" s="1188"/>
      <c r="L8" s="2196"/>
      <c r="M8" s="1098"/>
      <c r="P8" s="1146"/>
      <c r="T8" s="1146"/>
      <c r="U8" s="1146"/>
      <c r="Y8" s="1103"/>
      <c r="Z8" s="1103"/>
      <c r="AA8" s="1103"/>
      <c r="AB8" s="1103"/>
      <c r="AC8" s="1103"/>
      <c r="AD8" s="1103"/>
      <c r="AE8" s="1103"/>
      <c r="AF8" s="1103"/>
      <c r="AG8" s="1103"/>
      <c r="AH8" s="1103"/>
      <c r="AI8" s="1103"/>
      <c r="AJ8" s="1103"/>
      <c r="AK8" s="1103"/>
      <c r="AL8" s="1103"/>
      <c r="AM8" s="1103"/>
      <c r="AN8" s="1103"/>
      <c r="AO8" s="1103"/>
    </row>
    <row r="9" spans="1:41" s="1058" customFormat="1" ht="30" customHeight="1">
      <c r="B9" s="2226" t="s">
        <v>79</v>
      </c>
      <c r="C9" s="2228" t="s">
        <v>190</v>
      </c>
      <c r="D9" s="2157" t="s">
        <v>1821</v>
      </c>
      <c r="E9" s="2158"/>
      <c r="F9" s="2159"/>
      <c r="G9" s="2230" t="s">
        <v>1822</v>
      </c>
      <c r="H9" s="2230"/>
      <c r="I9" s="2230"/>
      <c r="J9" s="2230"/>
      <c r="K9" s="1120" t="s">
        <v>1823</v>
      </c>
      <c r="L9" s="2196"/>
      <c r="M9" s="1098"/>
      <c r="N9" s="2231"/>
      <c r="O9" s="2232" t="s">
        <v>190</v>
      </c>
      <c r="P9" s="1701"/>
      <c r="Q9" s="2210" t="s">
        <v>1825</v>
      </c>
      <c r="R9" s="2210"/>
      <c r="S9" s="2210"/>
      <c r="T9" s="1702"/>
      <c r="U9" s="2211" t="s">
        <v>1914</v>
      </c>
      <c r="V9" s="2210"/>
      <c r="W9" s="2212"/>
      <c r="X9" s="2213" t="s">
        <v>1960</v>
      </c>
      <c r="Y9" s="2213"/>
      <c r="Z9" s="2213"/>
      <c r="AA9" s="2214" t="s">
        <v>1862</v>
      </c>
      <c r="AB9" s="2213"/>
      <c r="AC9" s="2215"/>
      <c r="AD9" s="1103"/>
      <c r="AE9" s="1103"/>
      <c r="AF9" s="1103"/>
      <c r="AG9" s="1103"/>
      <c r="AH9" s="1103"/>
      <c r="AI9" s="1103"/>
      <c r="AJ9" s="1103"/>
      <c r="AK9" s="1103"/>
      <c r="AL9" s="1103"/>
      <c r="AM9" s="1103"/>
      <c r="AN9" s="1103"/>
      <c r="AO9" s="1103"/>
    </row>
    <row r="10" spans="1:41" s="1076" customFormat="1" ht="30" customHeight="1">
      <c r="B10" s="2227"/>
      <c r="C10" s="2229"/>
      <c r="D10" s="1879" t="s">
        <v>1824</v>
      </c>
      <c r="E10" s="1879" t="s">
        <v>87</v>
      </c>
      <c r="F10" s="1879" t="s">
        <v>1825</v>
      </c>
      <c r="G10" s="2177" t="s">
        <v>1826</v>
      </c>
      <c r="H10" s="2177" t="s">
        <v>1827</v>
      </c>
      <c r="I10" s="2177" t="s">
        <v>1196</v>
      </c>
      <c r="J10" s="2177" t="s">
        <v>1837</v>
      </c>
      <c r="K10" s="2207" t="s">
        <v>1829</v>
      </c>
      <c r="L10" s="2196"/>
      <c r="M10" s="1098"/>
      <c r="N10" s="2231"/>
      <c r="O10" s="2233"/>
      <c r="P10" s="1606" t="s">
        <v>1926</v>
      </c>
      <c r="Q10" s="1704" t="s">
        <v>1859</v>
      </c>
      <c r="R10" s="1704" t="s">
        <v>1860</v>
      </c>
      <c r="S10" s="1704" t="s">
        <v>1861</v>
      </c>
      <c r="T10" s="1607" t="s">
        <v>1927</v>
      </c>
      <c r="U10" s="1606" t="s">
        <v>1883</v>
      </c>
      <c r="V10" s="1704" t="s">
        <v>1833</v>
      </c>
      <c r="W10" s="1703" t="s">
        <v>1834</v>
      </c>
      <c r="X10" s="1607" t="s">
        <v>1928</v>
      </c>
      <c r="Y10" s="1607" t="s">
        <v>1929</v>
      </c>
      <c r="Z10" s="1607" t="s">
        <v>1930</v>
      </c>
      <c r="AA10" s="1606" t="s">
        <v>1931</v>
      </c>
      <c r="AB10" s="1607" t="s">
        <v>1932</v>
      </c>
      <c r="AC10" s="1608" t="s">
        <v>1933</v>
      </c>
      <c r="AD10" s="1103"/>
      <c r="AE10" s="1103"/>
      <c r="AF10" s="1103"/>
      <c r="AG10" s="1103"/>
      <c r="AH10" s="1103"/>
      <c r="AI10" s="1103"/>
      <c r="AJ10" s="1103"/>
      <c r="AK10" s="1103"/>
      <c r="AL10" s="1103"/>
      <c r="AM10" s="1103"/>
      <c r="AN10" s="1103"/>
      <c r="AO10" s="1103"/>
    </row>
    <row r="11" spans="1:41" s="1076" customFormat="1" ht="30" customHeight="1" thickBot="1">
      <c r="B11" s="2173" t="s">
        <v>2558</v>
      </c>
      <c r="C11" s="2174"/>
      <c r="D11" s="2174"/>
      <c r="E11" s="2175"/>
      <c r="F11" s="1881"/>
      <c r="G11" s="2209"/>
      <c r="H11" s="2209"/>
      <c r="I11" s="2209"/>
      <c r="J11" s="2209"/>
      <c r="K11" s="2208"/>
      <c r="L11" s="2197"/>
      <c r="M11" s="1098"/>
      <c r="N11" s="1700"/>
      <c r="O11" s="1934"/>
      <c r="P11" s="1648"/>
      <c r="Q11" s="1885"/>
      <c r="R11" s="1885"/>
      <c r="S11" s="1885"/>
      <c r="T11" s="1605"/>
      <c r="U11" s="1648"/>
      <c r="V11" s="1885"/>
      <c r="W11" s="1886"/>
      <c r="X11" s="1883"/>
      <c r="Y11" s="1883"/>
      <c r="Z11" s="1883"/>
      <c r="AA11" s="1882"/>
      <c r="AB11" s="1883"/>
      <c r="AC11" s="1884"/>
      <c r="AD11" s="1103"/>
      <c r="AE11" s="1103"/>
      <c r="AF11" s="1103"/>
      <c r="AG11" s="1103"/>
      <c r="AH11" s="1103"/>
      <c r="AI11" s="1103"/>
      <c r="AJ11" s="1103"/>
      <c r="AK11" s="1103"/>
      <c r="AL11" s="1103"/>
      <c r="AM11" s="1103"/>
      <c r="AN11" s="1103"/>
      <c r="AO11" s="1103"/>
    </row>
    <row r="12" spans="1:41" ht="30" customHeight="1">
      <c r="A12" s="1067" t="s">
        <v>2264</v>
      </c>
      <c r="B12" s="2216">
        <v>5.0999999999999996</v>
      </c>
      <c r="C12" s="1189" t="s">
        <v>94</v>
      </c>
      <c r="D12" s="1556"/>
      <c r="E12" s="1212">
        <v>0</v>
      </c>
      <c r="F12" s="1556"/>
      <c r="G12" s="1070">
        <f>IF(E12=1,X12,0)</f>
        <v>0</v>
      </c>
      <c r="H12" s="1212">
        <v>0</v>
      </c>
      <c r="I12" s="1212">
        <v>0</v>
      </c>
      <c r="J12" s="1212">
        <v>0</v>
      </c>
      <c r="K12" s="1081"/>
      <c r="L12" s="2149" t="s">
        <v>1882</v>
      </c>
      <c r="N12" s="1207"/>
      <c r="O12" s="2219">
        <v>5.0999999999999996</v>
      </c>
      <c r="P12" s="1155"/>
      <c r="Q12" s="1705"/>
      <c r="R12" s="1706"/>
      <c r="S12" s="1707"/>
      <c r="T12" s="1345"/>
      <c r="U12" s="1412"/>
      <c r="V12" s="1708"/>
      <c r="W12" s="1709"/>
      <c r="X12" s="1710">
        <v>4</v>
      </c>
      <c r="Y12" s="1711"/>
      <c r="Z12" s="1712"/>
      <c r="AA12" s="1710"/>
      <c r="AB12" s="1712"/>
      <c r="AC12" s="1713"/>
      <c r="AD12" s="1103"/>
      <c r="AE12" s="1103"/>
      <c r="AF12" s="1103"/>
      <c r="AG12" s="1103"/>
      <c r="AH12" s="1103"/>
      <c r="AI12" s="1103"/>
      <c r="AJ12" s="1103"/>
      <c r="AK12" s="1103"/>
      <c r="AL12" s="1103"/>
      <c r="AM12" s="1103"/>
      <c r="AN12" s="1103"/>
      <c r="AO12" s="1103"/>
    </row>
    <row r="13" spans="1:41" ht="30" customHeight="1">
      <c r="A13" s="1067" t="s">
        <v>2265</v>
      </c>
      <c r="B13" s="2217"/>
      <c r="C13" s="1190" t="s">
        <v>1838</v>
      </c>
      <c r="D13" s="1855"/>
      <c r="E13" s="1193">
        <v>0</v>
      </c>
      <c r="F13" s="1855"/>
      <c r="G13" s="1210">
        <f>IF(E12=1,IF(E13=1,X13,0),0)</f>
        <v>0</v>
      </c>
      <c r="H13" s="1629">
        <v>0</v>
      </c>
      <c r="I13" s="1629">
        <v>0</v>
      </c>
      <c r="J13" s="1629">
        <v>0</v>
      </c>
      <c r="K13" s="1217"/>
      <c r="L13" s="2150"/>
      <c r="N13" s="1207"/>
      <c r="O13" s="2220"/>
      <c r="P13" s="1245"/>
      <c r="Q13" s="1714"/>
      <c r="R13" s="1715"/>
      <c r="S13" s="1716"/>
      <c r="T13" s="1225"/>
      <c r="U13" s="1169"/>
      <c r="V13" s="1714"/>
      <c r="W13" s="1717"/>
      <c r="X13" s="1718">
        <v>2</v>
      </c>
      <c r="Y13" s="1715"/>
      <c r="Z13" s="1719"/>
      <c r="AA13" s="1718"/>
      <c r="AB13" s="1719"/>
      <c r="AC13" s="1717"/>
      <c r="AF13" s="1104"/>
      <c r="AG13" s="1104"/>
      <c r="AH13" s="1104"/>
    </row>
    <row r="14" spans="1:41" ht="38.4" customHeight="1">
      <c r="A14" s="1067" t="s">
        <v>2266</v>
      </c>
      <c r="B14" s="2221">
        <v>5.2</v>
      </c>
      <c r="C14" s="2109" t="s">
        <v>1165</v>
      </c>
      <c r="D14" s="1210" t="s">
        <v>2267</v>
      </c>
      <c r="E14" s="1064">
        <v>0</v>
      </c>
      <c r="F14" s="1910"/>
      <c r="G14" s="1210">
        <f>E14*X14</f>
        <v>0</v>
      </c>
      <c r="H14" s="1629">
        <v>0</v>
      </c>
      <c r="I14" s="1629">
        <v>0</v>
      </c>
      <c r="J14" s="1629">
        <v>0</v>
      </c>
      <c r="K14" s="1217"/>
      <c r="L14" s="2150"/>
      <c r="N14" s="1207"/>
      <c r="O14" s="2224">
        <v>5.2</v>
      </c>
      <c r="P14" s="1720"/>
      <c r="Q14" s="1721"/>
      <c r="R14" s="1722"/>
      <c r="S14" s="1723"/>
      <c r="T14" s="1388"/>
      <c r="U14" s="1724"/>
      <c r="V14" s="1721"/>
      <c r="W14" s="1725"/>
      <c r="X14" s="1726">
        <v>4</v>
      </c>
      <c r="Y14" s="1722"/>
      <c r="Z14" s="1727"/>
      <c r="AA14" s="1726"/>
      <c r="AB14" s="1727"/>
      <c r="AC14" s="1725"/>
      <c r="AF14" s="1104"/>
      <c r="AG14" s="1104"/>
      <c r="AH14" s="1104"/>
    </row>
    <row r="15" spans="1:41" ht="38.4" customHeight="1">
      <c r="A15" s="1067" t="s">
        <v>2268</v>
      </c>
      <c r="B15" s="2222"/>
      <c r="C15" s="2110"/>
      <c r="D15" s="1210" t="s">
        <v>2269</v>
      </c>
      <c r="E15" s="1064">
        <v>0</v>
      </c>
      <c r="F15" s="1374"/>
      <c r="G15" s="1210">
        <f>E15*X15</f>
        <v>0</v>
      </c>
      <c r="H15" s="1629">
        <v>0</v>
      </c>
      <c r="I15" s="1629">
        <v>0</v>
      </c>
      <c r="J15" s="1629">
        <v>0</v>
      </c>
      <c r="K15" s="1217"/>
      <c r="L15" s="2150"/>
      <c r="N15" s="1207"/>
      <c r="O15" s="2225"/>
      <c r="P15" s="1728"/>
      <c r="Q15" s="1729"/>
      <c r="R15" s="1730"/>
      <c r="S15" s="1731"/>
      <c r="T15" s="1390"/>
      <c r="U15" s="1389"/>
      <c r="V15" s="1729"/>
      <c r="W15" s="1732"/>
      <c r="X15" s="1733">
        <v>10</v>
      </c>
      <c r="Y15" s="1730"/>
      <c r="Z15" s="1734"/>
      <c r="AA15" s="1733"/>
      <c r="AB15" s="1734"/>
      <c r="AC15" s="1732"/>
      <c r="AF15" s="1104"/>
      <c r="AG15" s="1104"/>
      <c r="AH15" s="1104"/>
    </row>
    <row r="16" spans="1:41" ht="30" customHeight="1">
      <c r="A16" s="1067" t="s">
        <v>2270</v>
      </c>
      <c r="B16" s="2223"/>
      <c r="C16" s="2111"/>
      <c r="D16" s="1210" t="s">
        <v>2271</v>
      </c>
      <c r="E16" s="1064">
        <v>0</v>
      </c>
      <c r="F16" s="1855"/>
      <c r="G16" s="1210">
        <f>E16*X16</f>
        <v>0</v>
      </c>
      <c r="H16" s="1629">
        <v>0</v>
      </c>
      <c r="I16" s="1629">
        <v>0</v>
      </c>
      <c r="J16" s="1629">
        <v>0</v>
      </c>
      <c r="K16" s="1217"/>
      <c r="L16" s="2150"/>
      <c r="N16" s="1207"/>
      <c r="O16" s="2219"/>
      <c r="P16" s="1735"/>
      <c r="Q16" s="1736"/>
      <c r="R16" s="1737"/>
      <c r="S16" s="1738"/>
      <c r="T16" s="1249"/>
      <c r="U16" s="1245"/>
      <c r="V16" s="1736"/>
      <c r="W16" s="1739"/>
      <c r="X16" s="1740">
        <v>3</v>
      </c>
      <c r="Y16" s="1737"/>
      <c r="Z16" s="1741"/>
      <c r="AA16" s="1740"/>
      <c r="AB16" s="1741"/>
      <c r="AC16" s="1739"/>
      <c r="AF16" s="1104"/>
      <c r="AG16" s="1104"/>
      <c r="AH16" s="1104"/>
    </row>
    <row r="17" spans="1:34" ht="30" customHeight="1">
      <c r="A17" s="1067" t="s">
        <v>2272</v>
      </c>
      <c r="B17" s="1603">
        <v>5.3</v>
      </c>
      <c r="C17" s="1613" t="s">
        <v>2273</v>
      </c>
      <c r="D17" s="1210" t="s">
        <v>2274</v>
      </c>
      <c r="E17" s="1064">
        <v>0</v>
      </c>
      <c r="F17" s="1192"/>
      <c r="G17" s="1210">
        <f>E17*X17</f>
        <v>0</v>
      </c>
      <c r="H17" s="1629">
        <v>0</v>
      </c>
      <c r="I17" s="1629">
        <v>0</v>
      </c>
      <c r="J17" s="1629">
        <v>0</v>
      </c>
      <c r="K17" s="1217"/>
      <c r="L17" s="2150"/>
      <c r="N17" s="1207"/>
      <c r="O17" s="1935">
        <v>5.3</v>
      </c>
      <c r="P17" s="1150"/>
      <c r="Q17" s="1736"/>
      <c r="R17" s="1737"/>
      <c r="S17" s="1738"/>
      <c r="T17" s="1152"/>
      <c r="U17" s="1150"/>
      <c r="V17" s="1736"/>
      <c r="W17" s="1739"/>
      <c r="X17" s="1740">
        <v>8</v>
      </c>
      <c r="Y17" s="1737"/>
      <c r="Z17" s="1741"/>
      <c r="AA17" s="1740"/>
      <c r="AB17" s="1741"/>
      <c r="AC17" s="1739"/>
      <c r="AF17" s="1104"/>
      <c r="AG17" s="1104"/>
      <c r="AH17" s="1104"/>
    </row>
    <row r="18" spans="1:34" ht="30" customHeight="1">
      <c r="A18" s="1067" t="s">
        <v>2275</v>
      </c>
      <c r="B18" s="1904">
        <v>5.4</v>
      </c>
      <c r="C18" s="351" t="s">
        <v>229</v>
      </c>
      <c r="D18" s="1192"/>
      <c r="E18" s="1193">
        <v>0</v>
      </c>
      <c r="F18" s="1102"/>
      <c r="G18" s="1210">
        <f>IF(E18=1,IF(F18="Simple",U18,(IF(F18="Standard",V18,(IF(F18="Complex",W18,0))))),0)</f>
        <v>0</v>
      </c>
      <c r="H18" s="1193">
        <v>0</v>
      </c>
      <c r="I18" s="1193">
        <v>0</v>
      </c>
      <c r="J18" s="1193">
        <v>0</v>
      </c>
      <c r="K18" s="1217"/>
      <c r="L18" s="2150"/>
      <c r="N18" s="1207"/>
      <c r="O18" s="1927">
        <v>5.4</v>
      </c>
      <c r="P18" s="1150"/>
      <c r="Q18" s="1621"/>
      <c r="R18" s="1619"/>
      <c r="S18" s="1742"/>
      <c r="T18" s="1152"/>
      <c r="U18" s="1150">
        <v>6</v>
      </c>
      <c r="V18" s="1621">
        <v>9</v>
      </c>
      <c r="W18" s="1354">
        <v>12</v>
      </c>
      <c r="X18" s="1618"/>
      <c r="Y18" s="1619"/>
      <c r="Z18" s="1743"/>
      <c r="AA18" s="1618"/>
      <c r="AB18" s="1743"/>
      <c r="AC18" s="1354"/>
      <c r="AF18" s="1104"/>
      <c r="AG18" s="1104"/>
      <c r="AH18" s="1104"/>
    </row>
    <row r="19" spans="1:34" ht="30" customHeight="1">
      <c r="A19" s="1067" t="s">
        <v>2276</v>
      </c>
      <c r="B19" s="2244">
        <v>5.5</v>
      </c>
      <c r="C19" s="351" t="s">
        <v>2789</v>
      </c>
      <c r="D19" s="1192"/>
      <c r="E19" s="1193">
        <v>0</v>
      </c>
      <c r="F19" s="1102"/>
      <c r="G19" s="1210">
        <f>IF(E19=1,IF(F19="Simple",U19,(IF(F19="Standard",V19,(IF(F19="Complex",W19,0))))),0)</f>
        <v>0</v>
      </c>
      <c r="H19" s="1193">
        <v>0</v>
      </c>
      <c r="I19" s="1193">
        <v>0</v>
      </c>
      <c r="J19" s="1193">
        <v>0</v>
      </c>
      <c r="K19" s="1217"/>
      <c r="L19" s="2150"/>
      <c r="N19" s="1207"/>
      <c r="O19" s="2239">
        <v>5.5</v>
      </c>
      <c r="P19" s="1989"/>
      <c r="Q19" s="1758"/>
      <c r="R19" s="1711"/>
      <c r="S19" s="1712"/>
      <c r="T19" s="1162"/>
      <c r="U19" s="1160">
        <v>6</v>
      </c>
      <c r="V19" s="1759">
        <v>10</v>
      </c>
      <c r="W19" s="1760">
        <v>14</v>
      </c>
      <c r="X19" s="1710"/>
      <c r="Y19" s="1711"/>
      <c r="Z19" s="1712"/>
      <c r="AA19" s="1710"/>
      <c r="AB19" s="1712"/>
      <c r="AC19" s="1713"/>
      <c r="AD19" s="1104"/>
      <c r="AE19" s="1104"/>
      <c r="AF19" s="1104"/>
      <c r="AG19" s="1104"/>
      <c r="AH19" s="1104"/>
    </row>
    <row r="20" spans="1:34" ht="30" customHeight="1">
      <c r="A20" s="1067"/>
      <c r="B20" s="2242"/>
      <c r="C20" s="1598" t="s">
        <v>95</v>
      </c>
      <c r="D20" s="1192"/>
      <c r="E20" s="1193">
        <v>0</v>
      </c>
      <c r="F20" s="1192"/>
      <c r="G20" s="1615">
        <f>IF(E20=1,X20,0)</f>
        <v>0</v>
      </c>
      <c r="H20" s="1193">
        <v>0</v>
      </c>
      <c r="I20" s="1193">
        <v>0</v>
      </c>
      <c r="J20" s="1193">
        <v>0</v>
      </c>
      <c r="K20" s="1217"/>
      <c r="L20" s="2150"/>
      <c r="N20" s="1207"/>
      <c r="O20" s="2245"/>
      <c r="P20" s="1988"/>
      <c r="Q20" s="1721"/>
      <c r="R20" s="1722"/>
      <c r="S20" s="1727"/>
      <c r="T20" s="1345"/>
      <c r="U20" s="1412"/>
      <c r="V20" s="1753"/>
      <c r="W20" s="1754"/>
      <c r="X20" s="1726">
        <v>6</v>
      </c>
      <c r="Y20" s="1722"/>
      <c r="Z20" s="1727"/>
      <c r="AA20" s="1726"/>
      <c r="AB20" s="1727"/>
      <c r="AC20" s="1725"/>
      <c r="AD20" s="1104"/>
      <c r="AE20" s="1104"/>
      <c r="AF20" s="1104"/>
      <c r="AG20" s="1104"/>
      <c r="AH20" s="1104"/>
    </row>
    <row r="21" spans="1:34" ht="30" customHeight="1">
      <c r="A21" s="1067" t="s">
        <v>2277</v>
      </c>
      <c r="B21" s="2238">
        <v>5.6</v>
      </c>
      <c r="C21" s="2109" t="s">
        <v>2278</v>
      </c>
      <c r="D21" s="1210" t="s">
        <v>2790</v>
      </c>
      <c r="E21" s="1064">
        <v>0</v>
      </c>
      <c r="F21" s="1993" t="str">
        <f>IF($F$11=0,"",$F$11)</f>
        <v/>
      </c>
      <c r="G21" s="1210">
        <f>ROUNDUP(ROUND(E21,2)*(IF(F21="Below",P21,(IF(F21="Low",Q21,(IF(F21="Mid",R21,(IF(F21="Upper",S21,(IF(F21="Above",T21,0)))))))))),0)</f>
        <v>0</v>
      </c>
      <c r="H21" s="1193">
        <v>0</v>
      </c>
      <c r="I21" s="1193">
        <v>0</v>
      </c>
      <c r="J21" s="1193">
        <v>0</v>
      </c>
      <c r="K21" s="1217"/>
      <c r="L21" s="2150"/>
      <c r="N21" s="1767"/>
      <c r="O21" s="2239">
        <v>5.6</v>
      </c>
      <c r="P21" s="1160">
        <v>2</v>
      </c>
      <c r="Q21" s="1758">
        <v>3</v>
      </c>
      <c r="R21" s="1711">
        <v>4</v>
      </c>
      <c r="S21" s="1712">
        <v>5</v>
      </c>
      <c r="T21" s="1162">
        <v>6</v>
      </c>
      <c r="U21" s="1160"/>
      <c r="V21" s="1759"/>
      <c r="W21" s="1760"/>
      <c r="X21" s="1710"/>
      <c r="Y21" s="1711"/>
      <c r="Z21" s="1712"/>
      <c r="AA21" s="1710"/>
      <c r="AB21" s="1712"/>
      <c r="AC21" s="1713"/>
    </row>
    <row r="22" spans="1:34" ht="30" customHeight="1">
      <c r="A22" s="1067" t="s">
        <v>2279</v>
      </c>
      <c r="B22" s="2238"/>
      <c r="C22" s="2110"/>
      <c r="D22" s="1210" t="s">
        <v>1918</v>
      </c>
      <c r="E22" s="1064">
        <v>0</v>
      </c>
      <c r="F22" s="1192"/>
      <c r="G22" s="1615">
        <f>E22*X22</f>
        <v>0</v>
      </c>
      <c r="H22" s="1193">
        <v>0</v>
      </c>
      <c r="I22" s="1193">
        <v>0</v>
      </c>
      <c r="J22" s="1193">
        <v>0</v>
      </c>
      <c r="K22" s="1217"/>
      <c r="L22" s="2150"/>
      <c r="N22" s="1767"/>
      <c r="O22" s="2240"/>
      <c r="P22" s="1412"/>
      <c r="Q22" s="1721"/>
      <c r="R22" s="1722"/>
      <c r="S22" s="1727"/>
      <c r="T22" s="1345"/>
      <c r="U22" s="1412"/>
      <c r="V22" s="1753"/>
      <c r="W22" s="1754"/>
      <c r="X22" s="1726">
        <v>8</v>
      </c>
      <c r="Y22" s="1722"/>
      <c r="Z22" s="1727"/>
      <c r="AA22" s="1726"/>
      <c r="AB22" s="1727"/>
      <c r="AC22" s="1725"/>
    </row>
    <row r="23" spans="1:34" ht="30" customHeight="1">
      <c r="A23" s="1067" t="s">
        <v>2280</v>
      </c>
      <c r="B23" s="2238"/>
      <c r="C23" s="2111"/>
      <c r="D23" s="1210" t="s">
        <v>2197</v>
      </c>
      <c r="E23" s="1064">
        <v>0</v>
      </c>
      <c r="F23" s="1192"/>
      <c r="G23" s="1615">
        <f>E23*X23</f>
        <v>0</v>
      </c>
      <c r="H23" s="1193">
        <v>0</v>
      </c>
      <c r="I23" s="1193">
        <v>0</v>
      </c>
      <c r="J23" s="1193">
        <v>0</v>
      </c>
      <c r="K23" s="1217"/>
      <c r="L23" s="2150"/>
      <c r="N23" s="1767"/>
      <c r="O23" s="2240"/>
      <c r="P23" s="1166"/>
      <c r="Q23" s="1714"/>
      <c r="R23" s="1715"/>
      <c r="S23" s="1719"/>
      <c r="T23" s="1168"/>
      <c r="U23" s="1166"/>
      <c r="V23" s="1755"/>
      <c r="W23" s="1756"/>
      <c r="X23" s="1718">
        <v>8</v>
      </c>
      <c r="Y23" s="1715"/>
      <c r="Z23" s="1719"/>
      <c r="AA23" s="1718"/>
      <c r="AB23" s="1719"/>
      <c r="AC23" s="1717"/>
    </row>
    <row r="24" spans="1:34" ht="30" customHeight="1">
      <c r="A24" s="1067" t="s">
        <v>2281</v>
      </c>
      <c r="B24" s="2241">
        <v>5.7</v>
      </c>
      <c r="C24" s="2109" t="s">
        <v>2282</v>
      </c>
      <c r="D24" s="1210" t="s">
        <v>2790</v>
      </c>
      <c r="E24" s="1064">
        <v>0</v>
      </c>
      <c r="F24" s="1138" t="s">
        <v>2095</v>
      </c>
      <c r="G24" s="1210">
        <f>ROUNDUP(ROUND(E24,2)*X24,0)</f>
        <v>0</v>
      </c>
      <c r="H24" s="1193">
        <v>0</v>
      </c>
      <c r="I24" s="1193">
        <v>0</v>
      </c>
      <c r="J24" s="1193">
        <v>0</v>
      </c>
      <c r="K24" s="1217"/>
      <c r="L24" s="2150"/>
      <c r="N24" s="1767"/>
      <c r="O24" s="2243">
        <v>5.7</v>
      </c>
      <c r="P24" s="1382"/>
      <c r="Q24" s="1746"/>
      <c r="R24" s="1747"/>
      <c r="S24" s="1748"/>
      <c r="T24" s="1386"/>
      <c r="U24" s="1382"/>
      <c r="V24" s="1749"/>
      <c r="W24" s="1750"/>
      <c r="X24" s="1751">
        <v>3</v>
      </c>
      <c r="Y24" s="1747"/>
      <c r="Z24" s="1748"/>
      <c r="AA24" s="1751"/>
      <c r="AB24" s="1748"/>
      <c r="AC24" s="1752"/>
    </row>
    <row r="25" spans="1:34" ht="30" customHeight="1">
      <c r="A25" s="1067" t="s">
        <v>2283</v>
      </c>
      <c r="B25" s="2242"/>
      <c r="C25" s="2111"/>
      <c r="D25" s="1210" t="s">
        <v>2790</v>
      </c>
      <c r="E25" s="1064">
        <v>0</v>
      </c>
      <c r="F25" s="1138" t="s">
        <v>2087</v>
      </c>
      <c r="G25" s="1210">
        <f>ROUNDUP(ROUND(E25,2)*X25,0)</f>
        <v>0</v>
      </c>
      <c r="H25" s="1193">
        <v>0</v>
      </c>
      <c r="I25" s="1193">
        <v>0</v>
      </c>
      <c r="J25" s="1193">
        <v>0</v>
      </c>
      <c r="K25" s="1217"/>
      <c r="L25" s="2150"/>
      <c r="N25" s="1767"/>
      <c r="O25" s="2243"/>
      <c r="P25" s="1166"/>
      <c r="Q25" s="1714"/>
      <c r="R25" s="1715"/>
      <c r="S25" s="1719"/>
      <c r="T25" s="1168"/>
      <c r="U25" s="1166"/>
      <c r="V25" s="1755"/>
      <c r="W25" s="1756"/>
      <c r="X25" s="1718">
        <v>5</v>
      </c>
      <c r="Y25" s="1715"/>
      <c r="Z25" s="1719"/>
      <c r="AA25" s="1718"/>
      <c r="AB25" s="1719"/>
      <c r="AC25" s="1717"/>
    </row>
    <row r="26" spans="1:34" ht="30" customHeight="1">
      <c r="A26" s="1067" t="s">
        <v>2284</v>
      </c>
      <c r="B26" s="2244">
        <v>5.8</v>
      </c>
      <c r="C26" s="2109" t="s">
        <v>2285</v>
      </c>
      <c r="D26" s="1210" t="s">
        <v>2286</v>
      </c>
      <c r="E26" s="1064">
        <v>0</v>
      </c>
      <c r="F26" s="1192"/>
      <c r="G26" s="1210">
        <f>E26*X26</f>
        <v>0</v>
      </c>
      <c r="H26" s="1193">
        <v>0</v>
      </c>
      <c r="I26" s="1193">
        <v>0</v>
      </c>
      <c r="J26" s="1193">
        <v>0</v>
      </c>
      <c r="K26" s="1217"/>
      <c r="L26" s="2150"/>
      <c r="N26" s="1767"/>
      <c r="O26" s="2239">
        <v>5.8</v>
      </c>
      <c r="P26" s="1160"/>
      <c r="Q26" s="1758"/>
      <c r="R26" s="1711"/>
      <c r="S26" s="1712"/>
      <c r="T26" s="1162"/>
      <c r="U26" s="1160"/>
      <c r="V26" s="1759"/>
      <c r="W26" s="1760"/>
      <c r="X26" s="1710">
        <v>2</v>
      </c>
      <c r="Y26" s="1711"/>
      <c r="Z26" s="1712"/>
      <c r="AA26" s="1710"/>
      <c r="AB26" s="1712"/>
      <c r="AC26" s="1713"/>
    </row>
    <row r="27" spans="1:34" ht="30" customHeight="1">
      <c r="A27" s="1067" t="s">
        <v>2287</v>
      </c>
      <c r="B27" s="2242"/>
      <c r="C27" s="2111"/>
      <c r="D27" s="1210" t="s">
        <v>2288</v>
      </c>
      <c r="E27" s="1064">
        <v>0</v>
      </c>
      <c r="F27" s="1192"/>
      <c r="G27" s="1210">
        <f>E27*X27</f>
        <v>0</v>
      </c>
      <c r="H27" s="1193">
        <v>0</v>
      </c>
      <c r="I27" s="1193">
        <v>0</v>
      </c>
      <c r="J27" s="1193">
        <v>0</v>
      </c>
      <c r="K27" s="1217"/>
      <c r="L27" s="2150"/>
      <c r="N27" s="1767"/>
      <c r="O27" s="2245"/>
      <c r="P27" s="1290"/>
      <c r="Q27" s="1736"/>
      <c r="R27" s="1737"/>
      <c r="S27" s="1741"/>
      <c r="T27" s="1247"/>
      <c r="U27" s="1290"/>
      <c r="V27" s="1761"/>
      <c r="W27" s="1762"/>
      <c r="X27" s="1740">
        <v>4</v>
      </c>
      <c r="Y27" s="1737"/>
      <c r="Z27" s="1741"/>
      <c r="AA27" s="1740"/>
      <c r="AB27" s="1741"/>
      <c r="AC27" s="1739"/>
    </row>
    <row r="28" spans="1:34" ht="30" customHeight="1">
      <c r="A28" s="1067" t="s">
        <v>2289</v>
      </c>
      <c r="B28" s="1904">
        <v>5.9</v>
      </c>
      <c r="C28" s="1190" t="s">
        <v>2290</v>
      </c>
      <c r="D28" s="1210" t="s">
        <v>2790</v>
      </c>
      <c r="E28" s="1064">
        <v>0</v>
      </c>
      <c r="F28" s="1102"/>
      <c r="G28" s="1210">
        <f>ROUNDUP((ROUND(E28,2))*(IF(F28="Simple",U28,(IF(F28="Standard",V28,(IF(F28="Complex",W28,0)))))),0)</f>
        <v>0</v>
      </c>
      <c r="H28" s="1193">
        <v>0</v>
      </c>
      <c r="I28" s="1193">
        <v>0</v>
      </c>
      <c r="J28" s="1193">
        <v>0</v>
      </c>
      <c r="K28" s="1217"/>
      <c r="L28" s="2150"/>
      <c r="N28" s="1767"/>
      <c r="O28" s="1926">
        <v>5.9</v>
      </c>
      <c r="P28" s="1150"/>
      <c r="Q28" s="1621"/>
      <c r="R28" s="1619"/>
      <c r="S28" s="1743"/>
      <c r="T28" s="1152"/>
      <c r="U28" s="1150">
        <v>6</v>
      </c>
      <c r="V28" s="1745">
        <v>12</v>
      </c>
      <c r="W28" s="1349">
        <v>18</v>
      </c>
      <c r="X28" s="1618"/>
      <c r="Y28" s="1619"/>
      <c r="Z28" s="1743"/>
      <c r="AA28" s="1618"/>
      <c r="AB28" s="1743"/>
      <c r="AC28" s="1354"/>
    </row>
    <row r="29" spans="1:34" ht="30" customHeight="1">
      <c r="A29" s="1067" t="s">
        <v>2291</v>
      </c>
      <c r="B29" s="2248">
        <v>5.0999999999999996</v>
      </c>
      <c r="C29" s="2109" t="s">
        <v>97</v>
      </c>
      <c r="D29" s="2234" t="s">
        <v>1918</v>
      </c>
      <c r="E29" s="1064">
        <v>0</v>
      </c>
      <c r="F29" s="1210" t="s">
        <v>2292</v>
      </c>
      <c r="G29" s="1139">
        <f>E29*X29</f>
        <v>0</v>
      </c>
      <c r="H29" s="1193">
        <v>0</v>
      </c>
      <c r="I29" s="1193">
        <v>0</v>
      </c>
      <c r="J29" s="1193">
        <v>0</v>
      </c>
      <c r="K29" s="1217"/>
      <c r="L29" s="2150"/>
      <c r="O29" s="2236">
        <v>5.0999999999999996</v>
      </c>
      <c r="P29" s="1724"/>
      <c r="Q29" s="1746"/>
      <c r="R29" s="1747"/>
      <c r="S29" s="1748"/>
      <c r="T29" s="1388"/>
      <c r="U29" s="1724"/>
      <c r="V29" s="1746"/>
      <c r="W29" s="1750"/>
      <c r="X29" s="1751">
        <v>18</v>
      </c>
      <c r="Y29" s="1747"/>
      <c r="Z29" s="1748"/>
      <c r="AA29" s="1751"/>
      <c r="AB29" s="1748"/>
      <c r="AC29" s="1752"/>
    </row>
    <row r="30" spans="1:34" ht="30" customHeight="1">
      <c r="A30" s="1067" t="s">
        <v>2293</v>
      </c>
      <c r="B30" s="2250"/>
      <c r="C30" s="2111"/>
      <c r="D30" s="2235"/>
      <c r="E30" s="1064">
        <v>0</v>
      </c>
      <c r="F30" s="1210" t="s">
        <v>2294</v>
      </c>
      <c r="G30" s="1611">
        <f>E30*X30</f>
        <v>0</v>
      </c>
      <c r="H30" s="1193">
        <v>0</v>
      </c>
      <c r="I30" s="1193">
        <v>0</v>
      </c>
      <c r="J30" s="1193">
        <v>0</v>
      </c>
      <c r="K30" s="1217"/>
      <c r="L30" s="2150"/>
      <c r="O30" s="2237"/>
      <c r="P30" s="1764"/>
      <c r="Q30" s="1714"/>
      <c r="R30" s="1715"/>
      <c r="S30" s="1719"/>
      <c r="T30" s="1168"/>
      <c r="U30" s="1166"/>
      <c r="V30" s="1714"/>
      <c r="W30" s="1717"/>
      <c r="X30" s="1718">
        <v>24</v>
      </c>
      <c r="Y30" s="1715"/>
      <c r="Z30" s="1719"/>
      <c r="AA30" s="1718"/>
      <c r="AB30" s="1719"/>
      <c r="AC30" s="1717"/>
    </row>
    <row r="31" spans="1:34" ht="30" customHeight="1">
      <c r="A31" s="1067" t="s">
        <v>2295</v>
      </c>
      <c r="B31" s="2248">
        <v>5.1100000000000003</v>
      </c>
      <c r="C31" s="2109" t="s">
        <v>617</v>
      </c>
      <c r="D31" s="1210" t="s">
        <v>2296</v>
      </c>
      <c r="E31" s="1064">
        <v>0</v>
      </c>
      <c r="F31" s="1192"/>
      <c r="G31" s="1210">
        <f>E31*X31</f>
        <v>0</v>
      </c>
      <c r="H31" s="1193">
        <v>0</v>
      </c>
      <c r="I31" s="1193">
        <v>0</v>
      </c>
      <c r="J31" s="1193">
        <v>0</v>
      </c>
      <c r="K31" s="1217"/>
      <c r="L31" s="2150"/>
      <c r="O31" s="2251">
        <v>5.1100000000000003</v>
      </c>
      <c r="P31" s="1382"/>
      <c r="Q31" s="1746"/>
      <c r="R31" s="1747"/>
      <c r="S31" s="1748"/>
      <c r="T31" s="1386"/>
      <c r="U31" s="1382"/>
      <c r="V31" s="1746"/>
      <c r="W31" s="1752"/>
      <c r="X31" s="1751">
        <v>10</v>
      </c>
      <c r="Y31" s="1747"/>
      <c r="Z31" s="1748"/>
      <c r="AA31" s="1751"/>
      <c r="AB31" s="1748"/>
      <c r="AC31" s="1752"/>
    </row>
    <row r="32" spans="1:34" ht="30" customHeight="1">
      <c r="A32" s="1067" t="s">
        <v>2297</v>
      </c>
      <c r="B32" s="2249"/>
      <c r="C32" s="2110"/>
      <c r="D32" s="1210" t="s">
        <v>2298</v>
      </c>
      <c r="E32" s="1064">
        <v>0</v>
      </c>
      <c r="F32" s="1192"/>
      <c r="G32" s="1210">
        <f>E32*X32</f>
        <v>0</v>
      </c>
      <c r="H32" s="1193">
        <v>0</v>
      </c>
      <c r="I32" s="1193">
        <v>0</v>
      </c>
      <c r="J32" s="1193">
        <v>0</v>
      </c>
      <c r="K32" s="1217"/>
      <c r="L32" s="2150"/>
      <c r="O32" s="2251"/>
      <c r="P32" s="1409"/>
      <c r="Q32" s="1729"/>
      <c r="R32" s="1730"/>
      <c r="S32" s="1734"/>
      <c r="T32" s="1392"/>
      <c r="U32" s="1409"/>
      <c r="V32" s="1729"/>
      <c r="W32" s="1732"/>
      <c r="X32" s="1733">
        <v>12</v>
      </c>
      <c r="Y32" s="1730"/>
      <c r="Z32" s="1734"/>
      <c r="AA32" s="1733"/>
      <c r="AB32" s="1734"/>
      <c r="AC32" s="1732"/>
    </row>
    <row r="33" spans="1:35" ht="30" customHeight="1">
      <c r="A33" s="1067" t="s">
        <v>2299</v>
      </c>
      <c r="B33" s="2250"/>
      <c r="C33" s="2111"/>
      <c r="D33" s="1210" t="s">
        <v>2300</v>
      </c>
      <c r="E33" s="1064">
        <v>0</v>
      </c>
      <c r="F33" s="1192"/>
      <c r="G33" s="1210">
        <f>E33*X33</f>
        <v>0</v>
      </c>
      <c r="H33" s="1193">
        <v>0</v>
      </c>
      <c r="I33" s="1193">
        <v>0</v>
      </c>
      <c r="J33" s="1193">
        <v>0</v>
      </c>
      <c r="K33" s="1217"/>
      <c r="L33" s="2150"/>
      <c r="N33" s="1077"/>
      <c r="O33" s="2251"/>
      <c r="P33" s="1766"/>
      <c r="Q33" s="1736"/>
      <c r="R33" s="1737"/>
      <c r="S33" s="1741"/>
      <c r="T33" s="1249"/>
      <c r="U33" s="1245"/>
      <c r="V33" s="1761"/>
      <c r="W33" s="1762"/>
      <c r="X33" s="1740">
        <v>10</v>
      </c>
      <c r="Y33" s="1737"/>
      <c r="Z33" s="1741"/>
      <c r="AA33" s="1740"/>
      <c r="AB33" s="1741"/>
      <c r="AC33" s="1739"/>
    </row>
    <row r="34" spans="1:35" ht="30" customHeight="1">
      <c r="A34" s="1067" t="s">
        <v>2301</v>
      </c>
      <c r="B34" s="1908">
        <v>5.12</v>
      </c>
      <c r="C34" s="1190" t="s">
        <v>2302</v>
      </c>
      <c r="D34" s="1192"/>
      <c r="E34" s="1629">
        <v>0</v>
      </c>
      <c r="F34" s="1192"/>
      <c r="G34" s="1210">
        <f>IF(E34=1,X34,0)</f>
        <v>0</v>
      </c>
      <c r="H34" s="1193">
        <v>0</v>
      </c>
      <c r="I34" s="1193">
        <v>0</v>
      </c>
      <c r="J34" s="1193">
        <v>0</v>
      </c>
      <c r="K34" s="1217"/>
      <c r="L34" s="2150"/>
      <c r="N34" s="1767"/>
      <c r="O34" s="1765">
        <v>5.12</v>
      </c>
      <c r="P34" s="1768"/>
      <c r="Q34" s="1621"/>
      <c r="R34" s="1619"/>
      <c r="S34" s="1743"/>
      <c r="T34" s="1769"/>
      <c r="U34" s="1770"/>
      <c r="V34" s="1745"/>
      <c r="W34" s="1349"/>
      <c r="X34" s="1618">
        <v>2</v>
      </c>
      <c r="Y34" s="1619"/>
      <c r="Z34" s="1743"/>
      <c r="AA34" s="1618"/>
      <c r="AB34" s="1743"/>
      <c r="AC34" s="1354"/>
    </row>
    <row r="35" spans="1:35" ht="30" customHeight="1">
      <c r="A35" s="1067" t="s">
        <v>2303</v>
      </c>
      <c r="B35" s="1906">
        <v>5.13</v>
      </c>
      <c r="C35" s="1426" t="s">
        <v>98</v>
      </c>
      <c r="D35" s="1192"/>
      <c r="E35" s="1064">
        <v>0</v>
      </c>
      <c r="F35" s="1993" t="str">
        <f>IF($F$11=0,"",$F$11)</f>
        <v/>
      </c>
      <c r="G35" s="1210">
        <f>ROUNDUP(ROUND(E35,2)*(IF(F35="Below",P35,(IF(F35="Low",Q35,(IF(F35="Mid",R35,(IF(F35="Upper",S35,(IF(F35="Above",T35,0)))))))))),0)</f>
        <v>0</v>
      </c>
      <c r="H35" s="1193">
        <v>0</v>
      </c>
      <c r="I35" s="1193">
        <v>0</v>
      </c>
      <c r="J35" s="1193">
        <v>0</v>
      </c>
      <c r="K35" s="1217"/>
      <c r="L35" s="2150"/>
      <c r="N35" s="1767"/>
      <c r="O35" s="1771">
        <v>5.13</v>
      </c>
      <c r="P35" s="1364">
        <v>0.25</v>
      </c>
      <c r="Q35" s="1621">
        <v>0.3</v>
      </c>
      <c r="R35" s="1619">
        <v>0.35</v>
      </c>
      <c r="S35" s="1743">
        <v>0.4</v>
      </c>
      <c r="T35" s="1153">
        <v>0.45</v>
      </c>
      <c r="U35" s="1154"/>
      <c r="V35" s="1745"/>
      <c r="W35" s="1349"/>
      <c r="X35" s="1618"/>
      <c r="Y35" s="1619"/>
      <c r="Z35" s="1743"/>
      <c r="AA35" s="1618"/>
      <c r="AB35" s="1743"/>
      <c r="AC35" s="1354"/>
    </row>
    <row r="36" spans="1:35" ht="30" customHeight="1">
      <c r="A36" s="1067" t="s">
        <v>2304</v>
      </c>
      <c r="B36" s="2248">
        <v>5.14</v>
      </c>
      <c r="C36" s="2109" t="s">
        <v>2305</v>
      </c>
      <c r="D36" s="1615" t="s">
        <v>2306</v>
      </c>
      <c r="E36" s="1629">
        <v>0</v>
      </c>
      <c r="F36" s="1192"/>
      <c r="G36" s="1139">
        <f>IF(E36=1,X36,0)</f>
        <v>0</v>
      </c>
      <c r="H36" s="1193">
        <v>0</v>
      </c>
      <c r="I36" s="1193">
        <v>0</v>
      </c>
      <c r="J36" s="1193">
        <v>0</v>
      </c>
      <c r="K36" s="1217"/>
      <c r="L36" s="2150"/>
      <c r="N36" s="1767"/>
      <c r="O36" s="2236">
        <v>5.14</v>
      </c>
      <c r="P36" s="1772"/>
      <c r="Q36" s="1729"/>
      <c r="R36" s="1730"/>
      <c r="S36" s="1734"/>
      <c r="T36" s="1773"/>
      <c r="U36" s="1772"/>
      <c r="V36" s="1774"/>
      <c r="W36" s="1775"/>
      <c r="X36" s="1733">
        <v>2</v>
      </c>
      <c r="Y36" s="1730"/>
      <c r="Z36" s="1734"/>
      <c r="AA36" s="1733"/>
      <c r="AB36" s="1734"/>
      <c r="AC36" s="1732"/>
    </row>
    <row r="37" spans="1:35" ht="38.4" customHeight="1">
      <c r="A37" s="1067"/>
      <c r="B37" s="2249"/>
      <c r="C37" s="2110"/>
      <c r="D37" s="1615" t="s">
        <v>2794</v>
      </c>
      <c r="E37" s="1064">
        <v>0</v>
      </c>
      <c r="F37" s="1192"/>
      <c r="G37" s="1210">
        <f>E37*X37</f>
        <v>0</v>
      </c>
      <c r="H37" s="1193">
        <v>0</v>
      </c>
      <c r="I37" s="1193">
        <v>0</v>
      </c>
      <c r="J37" s="1193">
        <v>0</v>
      </c>
      <c r="K37" s="1217"/>
      <c r="L37" s="2150"/>
      <c r="N37" s="1767"/>
      <c r="O37" s="2252"/>
      <c r="P37" s="1990"/>
      <c r="Q37" s="1721"/>
      <c r="R37" s="1722"/>
      <c r="S37" s="1727"/>
      <c r="T37" s="1991"/>
      <c r="U37" s="1992"/>
      <c r="V37" s="1753"/>
      <c r="W37" s="1754"/>
      <c r="X37" s="1726">
        <v>4</v>
      </c>
      <c r="Y37" s="1722"/>
      <c r="Z37" s="1727"/>
      <c r="AA37" s="1726"/>
      <c r="AB37" s="1727"/>
      <c r="AC37" s="1725"/>
    </row>
    <row r="38" spans="1:35" ht="30" customHeight="1">
      <c r="A38" s="1067" t="s">
        <v>2307</v>
      </c>
      <c r="B38" s="2249"/>
      <c r="C38" s="2110"/>
      <c r="D38" s="1210" t="s">
        <v>2793</v>
      </c>
      <c r="E38" s="1064">
        <v>0</v>
      </c>
      <c r="F38" s="1993" t="str">
        <f>IF($F$11=0,"",$F$11)</f>
        <v/>
      </c>
      <c r="G38" s="1210">
        <f>ROUNDUP(ROUND(E38,2)*(IF(F38="Below",P38,(IF(F38="Low",Q38,(IF(F38="Mid",R38,(IF(F38="Upper",S38,(IF(F38="Above",T38,0)))))))))),0)</f>
        <v>0</v>
      </c>
      <c r="H38" s="1193">
        <v>0</v>
      </c>
      <c r="I38" s="1193">
        <v>0</v>
      </c>
      <c r="J38" s="1193">
        <v>0</v>
      </c>
      <c r="K38" s="1217"/>
      <c r="L38" s="2150"/>
      <c r="N38" s="1767"/>
      <c r="O38" s="2252"/>
      <c r="P38" s="1747">
        <v>0</v>
      </c>
      <c r="Q38" s="1747">
        <v>0</v>
      </c>
      <c r="R38" s="1747">
        <v>2</v>
      </c>
      <c r="S38" s="1748">
        <v>4</v>
      </c>
      <c r="T38" s="1388">
        <v>6</v>
      </c>
      <c r="U38" s="1724"/>
      <c r="V38" s="1749"/>
      <c r="W38" s="1750"/>
      <c r="X38" s="1751"/>
      <c r="Y38" s="1747"/>
      <c r="Z38" s="1748"/>
      <c r="AA38" s="1751"/>
      <c r="AB38" s="1748"/>
      <c r="AC38" s="1752"/>
    </row>
    <row r="39" spans="1:35" ht="30" customHeight="1">
      <c r="A39" s="1067" t="s">
        <v>2308</v>
      </c>
      <c r="B39" s="2249"/>
      <c r="C39" s="2110"/>
      <c r="D39" s="1615" t="s">
        <v>2309</v>
      </c>
      <c r="E39" s="1064">
        <v>0</v>
      </c>
      <c r="F39" s="1192"/>
      <c r="G39" s="1139">
        <f>IF(E36&gt;0,E39*X39,0)</f>
        <v>0</v>
      </c>
      <c r="H39" s="1193">
        <v>0</v>
      </c>
      <c r="I39" s="1193">
        <v>0</v>
      </c>
      <c r="J39" s="1193">
        <v>0</v>
      </c>
      <c r="K39" s="1217"/>
      <c r="L39" s="2150"/>
      <c r="N39" s="1767"/>
      <c r="O39" s="2252"/>
      <c r="P39" s="1776"/>
      <c r="Q39" s="1729"/>
      <c r="R39" s="1730"/>
      <c r="S39" s="1734"/>
      <c r="T39" s="1777"/>
      <c r="U39" s="1776"/>
      <c r="V39" s="1774"/>
      <c r="W39" s="1775"/>
      <c r="X39" s="1733">
        <v>4</v>
      </c>
      <c r="Y39" s="1730"/>
      <c r="Z39" s="1734"/>
      <c r="AA39" s="1733"/>
      <c r="AB39" s="1734"/>
      <c r="AC39" s="1732"/>
    </row>
    <row r="40" spans="1:35" ht="30" customHeight="1">
      <c r="A40" s="1067" t="s">
        <v>2310</v>
      </c>
      <c r="B40" s="2249"/>
      <c r="C40" s="2110"/>
      <c r="D40" s="1215" t="s">
        <v>2311</v>
      </c>
      <c r="E40" s="1064">
        <v>0</v>
      </c>
      <c r="F40" s="1192"/>
      <c r="G40" s="1611">
        <f>IF(E36&gt;0,E40*X40,0)</f>
        <v>0</v>
      </c>
      <c r="H40" s="1193">
        <v>0</v>
      </c>
      <c r="I40" s="1193">
        <v>0</v>
      </c>
      <c r="J40" s="1193">
        <v>0</v>
      </c>
      <c r="K40" s="1217"/>
      <c r="L40" s="2150"/>
      <c r="N40" s="1767"/>
      <c r="O40" s="2252"/>
      <c r="P40" s="1776"/>
      <c r="Q40" s="1729"/>
      <c r="R40" s="1730"/>
      <c r="S40" s="1734"/>
      <c r="T40" s="1777"/>
      <c r="U40" s="1778"/>
      <c r="V40" s="1774"/>
      <c r="W40" s="1775"/>
      <c r="X40" s="1733">
        <v>8</v>
      </c>
      <c r="Y40" s="1730"/>
      <c r="Z40" s="1734"/>
      <c r="AA40" s="1733"/>
      <c r="AB40" s="1734"/>
      <c r="AC40" s="1732"/>
    </row>
    <row r="41" spans="1:35" ht="30" customHeight="1">
      <c r="A41" s="1067" t="s">
        <v>2312</v>
      </c>
      <c r="B41" s="1906">
        <v>5.15</v>
      </c>
      <c r="C41" s="1598" t="s">
        <v>99</v>
      </c>
      <c r="D41" s="1210" t="s">
        <v>2790</v>
      </c>
      <c r="E41" s="1064">
        <v>0</v>
      </c>
      <c r="F41" s="1102"/>
      <c r="G41" s="1210">
        <f>ROUNDUP((ROUND(E41,2))*(IF(F41="Simple",U41,(IF(F41="Standard",V41,(IF(F41="Complex",W41,0)))))),0)</f>
        <v>0</v>
      </c>
      <c r="H41" s="1193">
        <v>0</v>
      </c>
      <c r="I41" s="1193">
        <v>0</v>
      </c>
      <c r="J41" s="1193">
        <v>0</v>
      </c>
      <c r="K41" s="1217"/>
      <c r="L41" s="2150"/>
      <c r="N41" s="1767"/>
      <c r="O41" s="1771">
        <v>5.15</v>
      </c>
      <c r="P41" s="1779"/>
      <c r="Q41" s="1746"/>
      <c r="R41" s="1747"/>
      <c r="S41" s="1748"/>
      <c r="T41" s="1780"/>
      <c r="U41" s="1710">
        <v>3</v>
      </c>
      <c r="V41" s="1749">
        <v>6</v>
      </c>
      <c r="W41" s="1750">
        <v>9</v>
      </c>
      <c r="X41" s="1751"/>
      <c r="Y41" s="1747"/>
      <c r="Z41" s="1748"/>
      <c r="AA41" s="1751"/>
      <c r="AB41" s="1748"/>
      <c r="AC41" s="1752"/>
    </row>
    <row r="42" spans="1:35" ht="30" customHeight="1">
      <c r="A42" s="1067" t="s">
        <v>2313</v>
      </c>
      <c r="B42" s="1906">
        <v>5.16</v>
      </c>
      <c r="C42" s="1426" t="s">
        <v>1718</v>
      </c>
      <c r="D42" s="1192"/>
      <c r="E42" s="1629">
        <v>0</v>
      </c>
      <c r="F42" s="1192"/>
      <c r="G42" s="1210">
        <f>IF(E42=1,X42,0)</f>
        <v>0</v>
      </c>
      <c r="H42" s="1193">
        <v>0</v>
      </c>
      <c r="I42" s="1193">
        <v>0</v>
      </c>
      <c r="J42" s="1193">
        <v>0</v>
      </c>
      <c r="K42" s="1217"/>
      <c r="L42" s="2150"/>
      <c r="N42" s="1933"/>
      <c r="O42" s="1765">
        <v>5.16</v>
      </c>
      <c r="P42" s="1781"/>
      <c r="Q42" s="1621"/>
      <c r="R42" s="1619"/>
      <c r="S42" s="1743"/>
      <c r="T42" s="1782"/>
      <c r="U42" s="1781"/>
      <c r="V42" s="1745"/>
      <c r="W42" s="1349"/>
      <c r="X42" s="1618">
        <v>4</v>
      </c>
      <c r="Y42" s="1619"/>
      <c r="Z42" s="1743"/>
      <c r="AA42" s="1618"/>
      <c r="AB42" s="1743"/>
      <c r="AC42" s="1354"/>
    </row>
    <row r="43" spans="1:35" s="1078" customFormat="1" ht="30" customHeight="1" thickBot="1">
      <c r="A43" s="1067" t="s">
        <v>2314</v>
      </c>
      <c r="B43" s="1909">
        <v>5.17</v>
      </c>
      <c r="C43" s="1197" t="s">
        <v>2315</v>
      </c>
      <c r="D43" s="1258"/>
      <c r="E43" s="1255">
        <v>0</v>
      </c>
      <c r="F43" s="1244"/>
      <c r="G43" s="1071">
        <f>IF(E43=1,X43,0)</f>
        <v>0</v>
      </c>
      <c r="H43" s="1196">
        <v>0</v>
      </c>
      <c r="I43" s="1196">
        <v>0</v>
      </c>
      <c r="J43" s="1196">
        <v>0</v>
      </c>
      <c r="K43" s="1219"/>
      <c r="L43" s="2218"/>
      <c r="M43" s="1085"/>
      <c r="N43" s="348"/>
      <c r="O43" s="1936">
        <v>5.17</v>
      </c>
      <c r="P43" s="1781"/>
      <c r="Q43" s="1745"/>
      <c r="R43" s="1783"/>
      <c r="S43" s="1742"/>
      <c r="T43" s="1782"/>
      <c r="U43" s="1781"/>
      <c r="V43" s="1745"/>
      <c r="W43" s="1349"/>
      <c r="X43" s="1618">
        <v>4</v>
      </c>
      <c r="Y43" s="1784"/>
      <c r="Z43" s="1785"/>
      <c r="AA43" s="1618"/>
      <c r="AB43" s="1785"/>
      <c r="AC43" s="1786"/>
      <c r="AD43" s="1106"/>
      <c r="AE43" s="1106"/>
      <c r="AF43" s="1106"/>
      <c r="AG43" s="1106"/>
      <c r="AH43" s="1106"/>
      <c r="AI43" s="1106"/>
    </row>
    <row r="44" spans="1:35" ht="19.2" customHeight="1" thickBot="1">
      <c r="B44" s="2246" t="s">
        <v>2316</v>
      </c>
      <c r="C44" s="2247"/>
      <c r="D44" s="2247"/>
      <c r="E44" s="2247"/>
      <c r="F44" s="2247"/>
      <c r="G44" s="1079">
        <f>SUM(G12:G43)</f>
        <v>0</v>
      </c>
      <c r="H44" s="1079">
        <f>SUM(H12:H43)</f>
        <v>0</v>
      </c>
      <c r="I44" s="1079">
        <f>SUM(I12:I43)</f>
        <v>0</v>
      </c>
      <c r="J44" s="1080">
        <f>SUM(J12:J43)</f>
        <v>0</v>
      </c>
      <c r="K44" s="1198"/>
      <c r="L44" s="2189"/>
      <c r="M44" s="1085"/>
      <c r="O44" s="1787"/>
      <c r="Q44" s="1767"/>
      <c r="R44" s="1767"/>
      <c r="S44" s="1767"/>
      <c r="V44" s="1097"/>
      <c r="W44" s="1097"/>
      <c r="X44" s="1788"/>
      <c r="Y44" s="1104"/>
      <c r="Z44" s="1104"/>
      <c r="AA44" s="1104"/>
      <c r="AB44" s="1104"/>
      <c r="AC44" s="1104"/>
    </row>
    <row r="45" spans="1:35" ht="30" customHeight="1">
      <c r="A45" s="1067" t="s">
        <v>2317</v>
      </c>
      <c r="B45" s="1134">
        <v>5.18</v>
      </c>
      <c r="C45" s="1189" t="s">
        <v>307</v>
      </c>
      <c r="D45" s="1070" t="s">
        <v>878</v>
      </c>
      <c r="E45" s="1629">
        <v>1</v>
      </c>
      <c r="F45" s="1347">
        <v>0.05</v>
      </c>
      <c r="G45" s="1578">
        <f t="shared" ref="G45:J46" si="0">IF($E45=0,0,ROUNDUP($F45*G$44,0))</f>
        <v>0</v>
      </c>
      <c r="H45" s="1578">
        <f t="shared" si="0"/>
        <v>0</v>
      </c>
      <c r="I45" s="1578">
        <f t="shared" si="0"/>
        <v>0</v>
      </c>
      <c r="J45" s="1617">
        <f t="shared" si="0"/>
        <v>0</v>
      </c>
      <c r="K45" s="1937"/>
      <c r="L45" s="2190"/>
      <c r="M45" s="1085"/>
      <c r="O45" s="1765">
        <v>5.18</v>
      </c>
      <c r="P45" s="1781"/>
      <c r="Q45" s="1745"/>
      <c r="R45" s="1783"/>
      <c r="S45" s="1742"/>
      <c r="T45" s="1782"/>
      <c r="U45" s="1781"/>
      <c r="V45" s="1745"/>
      <c r="W45" s="1349"/>
      <c r="X45" s="1618"/>
      <c r="Y45" s="1784"/>
      <c r="Z45" s="1785"/>
      <c r="AA45" s="1789"/>
      <c r="AB45" s="1785"/>
      <c r="AC45" s="1786"/>
    </row>
    <row r="46" spans="1:35" ht="30" customHeight="1" thickBot="1">
      <c r="A46" s="1067" t="s">
        <v>2318</v>
      </c>
      <c r="B46" s="1135">
        <v>5.19</v>
      </c>
      <c r="C46" s="1197" t="s">
        <v>169</v>
      </c>
      <c r="D46" s="1071" t="s">
        <v>878</v>
      </c>
      <c r="E46" s="1629">
        <v>1</v>
      </c>
      <c r="F46" s="1560">
        <v>0.05</v>
      </c>
      <c r="G46" s="1620">
        <f t="shared" si="0"/>
        <v>0</v>
      </c>
      <c r="H46" s="1620">
        <f t="shared" si="0"/>
        <v>0</v>
      </c>
      <c r="I46" s="1620">
        <f t="shared" si="0"/>
        <v>0</v>
      </c>
      <c r="J46" s="1617">
        <f t="shared" si="0"/>
        <v>0</v>
      </c>
      <c r="K46" s="1082"/>
      <c r="L46" s="2190"/>
      <c r="M46" s="1085"/>
      <c r="O46" s="1765">
        <v>5.19</v>
      </c>
      <c r="P46" s="1781"/>
      <c r="Q46" s="1745"/>
      <c r="R46" s="1783"/>
      <c r="S46" s="1742"/>
      <c r="T46" s="1782"/>
      <c r="U46" s="1781"/>
      <c r="V46" s="1745"/>
      <c r="W46" s="1349"/>
      <c r="X46" s="1618"/>
      <c r="Y46" s="1784"/>
      <c r="Z46" s="1785"/>
      <c r="AA46" s="1789"/>
      <c r="AB46" s="1785"/>
      <c r="AC46" s="1786"/>
    </row>
    <row r="47" spans="1:35" ht="20.100000000000001" customHeight="1" thickBot="1">
      <c r="B47" s="2183" t="s">
        <v>2319</v>
      </c>
      <c r="C47" s="2184"/>
      <c r="D47" s="2184"/>
      <c r="E47" s="2184"/>
      <c r="F47" s="2184"/>
      <c r="G47" s="1083">
        <f t="shared" ref="G47:I47" si="1">SUM(G44:G46)</f>
        <v>0</v>
      </c>
      <c r="H47" s="1083">
        <f t="shared" si="1"/>
        <v>0</v>
      </c>
      <c r="I47" s="1083">
        <f t="shared" si="1"/>
        <v>0</v>
      </c>
      <c r="J47" s="1083">
        <f>SUM(J44:J46)</f>
        <v>0</v>
      </c>
      <c r="K47" s="1199"/>
      <c r="L47" s="2191"/>
    </row>
    <row r="48" spans="1:35">
      <c r="J48" s="1674" t="s">
        <v>1858</v>
      </c>
    </row>
  </sheetData>
  <sheetProtection algorithmName="SHA-512" hashValue="H7Ayj+wYSIUgqHou63PwkLz9NAPdsoJ4IntGlqPhE4mA9bsXj8PNY9jl/rSzcA048VDr3tsQ5nMYdaiwTvnS3Q==" saltValue="f0ynTNH2YUJ5JZ4e5ri4tg==" spinCount="100000" sheet="1" formatCells="0" formatColumns="0" formatRows="0" insertColumns="0" insertRows="0" pivotTables="0"/>
  <mergeCells count="56">
    <mergeCell ref="B19:B20"/>
    <mergeCell ref="O19:O20"/>
    <mergeCell ref="B44:F44"/>
    <mergeCell ref="L44:L47"/>
    <mergeCell ref="B47:F47"/>
    <mergeCell ref="B31:B33"/>
    <mergeCell ref="C31:C33"/>
    <mergeCell ref="O31:O33"/>
    <mergeCell ref="B36:B40"/>
    <mergeCell ref="C36:C40"/>
    <mergeCell ref="O36:O40"/>
    <mergeCell ref="B26:B27"/>
    <mergeCell ref="C26:C27"/>
    <mergeCell ref="O26:O27"/>
    <mergeCell ref="B29:B30"/>
    <mergeCell ref="C29:C30"/>
    <mergeCell ref="D29:D30"/>
    <mergeCell ref="O29:O30"/>
    <mergeCell ref="B21:B23"/>
    <mergeCell ref="C21:C23"/>
    <mergeCell ref="O21:O23"/>
    <mergeCell ref="B24:B25"/>
    <mergeCell ref="C24:C25"/>
    <mergeCell ref="O24:O25"/>
    <mergeCell ref="Q9:S9"/>
    <mergeCell ref="U9:W9"/>
    <mergeCell ref="X9:Z9"/>
    <mergeCell ref="AA9:AC9"/>
    <mergeCell ref="B12:B13"/>
    <mergeCell ref="L12:L43"/>
    <mergeCell ref="O12:O13"/>
    <mergeCell ref="B14:B16"/>
    <mergeCell ref="C14:C16"/>
    <mergeCell ref="O14:O16"/>
    <mergeCell ref="B9:B10"/>
    <mergeCell ref="C9:C10"/>
    <mergeCell ref="D9:F9"/>
    <mergeCell ref="G9:J9"/>
    <mergeCell ref="N9:N10"/>
    <mergeCell ref="O9:O10"/>
    <mergeCell ref="L5:L11"/>
    <mergeCell ref="B1:C3"/>
    <mergeCell ref="D1:J3"/>
    <mergeCell ref="L1:L3"/>
    <mergeCell ref="B4:C4"/>
    <mergeCell ref="D4:J4"/>
    <mergeCell ref="B5:C5"/>
    <mergeCell ref="D5:J5"/>
    <mergeCell ref="B6:C6"/>
    <mergeCell ref="D6:J6"/>
    <mergeCell ref="K10:K11"/>
    <mergeCell ref="B11:E11"/>
    <mergeCell ref="G10:G11"/>
    <mergeCell ref="H10:H11"/>
    <mergeCell ref="I10:I11"/>
    <mergeCell ref="J10:J11"/>
  </mergeCells>
  <dataValidations count="10">
    <dataValidation type="list" allowBlank="1" showInputMessage="1" showErrorMessage="1" promptTitle="Complexity" prompt="What is the estimated complexity of the Utility Adjustment Sheet?_x000a_Simple = 1 - 3 Utility Agencies_x000a_Standard = 4 - 7 Utility Agencies_x000a_Complex = 8+ Utility Agencies" sqref="F41" xr:uid="{73A91B86-7614-462D-9DCA-66F632088208}">
      <formula1>$U$10:$W$10</formula1>
    </dataValidation>
    <dataValidation type="list" allowBlank="1" showInputMessage="1" showErrorMessage="1" promptTitle="Complexity" prompt="What is the complexity of the Sidewalk Profiles?_x000a_Complexity based on number of driveways." sqref="F28" xr:uid="{677CC199-422D-4B67-8DA5-B6EFC10E0711}">
      <formula1>$U$10:$W$10</formula1>
    </dataValidation>
    <dataValidation type="whole" operator="greaterThanOrEqual" allowBlank="1" showInputMessage="1" showErrorMessage="1" error="Input a whole number greater or equal to zero." sqref="E26:E27 E31:E33 E14:E17 E22:E23" xr:uid="{7F7B2270-2CFC-45BD-BC6B-DBACF799813B}">
      <formula1>0</formula1>
    </dataValidation>
    <dataValidation type="whole" operator="greaterThanOrEqual" allowBlank="1" showInputMessage="1" showErrorMessage="1" error="Input a whole number greater than or equal to zero." sqref="E39:E40 E29:E30" xr:uid="{A9FB86F5-FE86-4C57-8FB8-B5E680F3A14D}">
      <formula1>0</formula1>
    </dataValidation>
    <dataValidation type="whole" allowBlank="1" showInputMessage="1" showErrorMessage="1" error="Enter 1 or 0._x000a_Yes=1_x000a_No=0" sqref="E12:E13 E34 E18:E20 E42:E43 E45:E46 E36" xr:uid="{42B63A7B-0AD9-4FB3-843B-DDADDBD3D432}">
      <formula1>0</formula1>
      <formula2>1</formula2>
    </dataValidation>
    <dataValidation type="list" allowBlank="1" showInputMessage="1" showErrorMessage="1" promptTitle="Complexity" prompt="What is the estimated complexity of the General Notes/Pay Item Notes Sheet?" sqref="F18" xr:uid="{988F2CCE-FC36-418A-AB2D-41848AAA5260}">
      <formula1>$U$10:$W$10</formula1>
    </dataValidation>
    <dataValidation type="list" allowBlank="1" showInputMessage="1" showErrorMessage="1" prompt="What is the estimated complexity of the roadway project?" sqref="F11" xr:uid="{41551DBE-EB98-4591-862F-D51AD2ABC156}">
      <formula1>$P$10:$T$10</formula1>
    </dataValidation>
    <dataValidation type="list" allowBlank="1" showInputMessage="1" showErrorMessage="1" promptTitle="Complexity" prompt="What is the estimated complexity of the Model Management Sheet?_x000a_Simple = few models and simple layout)_x000a_Complex = many models and complex layout)" sqref="F19" xr:uid="{D229A39B-CAD7-45C8-8A64-9CC0620288E6}">
      <formula1>$U$10:$W$10</formula1>
    </dataValidation>
    <dataValidation type="whole" operator="greaterThanOrEqual" allowBlank="1" showInputMessage="1" showErrorMessage="1" error="Input a positive whole number." sqref="E21 E24:E25 E28 E35 E37:E38 E41" xr:uid="{026C3BBD-D6AF-4DFA-A4C9-7CEA918BE990}">
      <formula1>0</formula1>
    </dataValidation>
    <dataValidation type="list" allowBlank="1" showInputMessage="1" showErrorMessage="1" sqref="F21 F35 F38" xr:uid="{6AA5E8B7-7BC9-4F29-B3DB-B6C534E7B210}">
      <formula1>$P$10:$T$10</formula1>
    </dataValidation>
  </dataValidations>
  <hyperlinks>
    <hyperlink ref="L4" r:id="rId1" display="Video Tutorial - A short webinar for the Drainage Plans tab" xr:uid="{E2566880-29FD-4984-91A8-7D5F3BC8D1EE}"/>
  </hyperlinks>
  <pageMargins left="0.7" right="0.7" top="0.75" bottom="0.75" header="0.3" footer="0.3"/>
  <pageSetup orientation="portrait" r:id="rId2"/>
  <ignoredErrors>
    <ignoredError sqref="G28 G35" formula="1"/>
    <ignoredError sqref="F21" unlockedFormula="1"/>
  </ignoredErrors>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3B6A4-90B5-4C70-A523-B3FA1C45727B}">
  <sheetPr codeName="Sheet16"/>
  <dimension ref="A1:AC92"/>
  <sheetViews>
    <sheetView showGridLines="0" topLeftCell="B1" zoomScale="85" zoomScaleNormal="85" workbookViewId="0">
      <selection activeCell="B1" sqref="B1:C3"/>
    </sheetView>
  </sheetViews>
  <sheetFormatPr defaultColWidth="9.109375" defaultRowHeight="13.8"/>
  <cols>
    <col min="1" max="1" width="12.109375" style="348" hidden="1" customWidth="1"/>
    <col min="2" max="2" width="6.6640625" style="348" customWidth="1"/>
    <col min="3" max="3" width="50.6640625" style="348" customWidth="1"/>
    <col min="4" max="10" width="14.6640625" style="348" customWidth="1"/>
    <col min="11" max="11" width="100.6640625" style="348" customWidth="1"/>
    <col min="12" max="12" width="70.6640625" style="348" customWidth="1"/>
    <col min="13" max="14" width="8.6640625" style="348" customWidth="1"/>
    <col min="15" max="15" width="8.6640625" style="348" hidden="1" customWidth="1"/>
    <col min="16" max="16" width="10.6640625" style="348" hidden="1" customWidth="1"/>
    <col min="17" max="22" width="10.6640625" style="1097" hidden="1" customWidth="1"/>
    <col min="23" max="25" width="10.6640625" style="1067" hidden="1" customWidth="1"/>
    <col min="26" max="26" width="10.6640625" style="348" hidden="1" customWidth="1"/>
    <col min="27" max="28" width="10.6640625" style="1067" hidden="1" customWidth="1"/>
    <col min="29" max="29" width="10.6640625" style="348" hidden="1" customWidth="1"/>
    <col min="30" max="16384" width="9.109375" style="348"/>
  </cols>
  <sheetData>
    <row r="1" spans="1:29" ht="15" customHeight="1">
      <c r="B1" s="2136" t="s">
        <v>592</v>
      </c>
      <c r="C1" s="2137"/>
      <c r="D1" s="2133" t="s">
        <v>2320</v>
      </c>
      <c r="E1" s="2133"/>
      <c r="F1" s="2133"/>
      <c r="G1" s="2133"/>
      <c r="H1" s="2133"/>
      <c r="I1" s="2133"/>
      <c r="J1" s="2133"/>
      <c r="K1" s="1055" t="str">
        <f>'Project Information'!B3</f>
        <v>Enter project name &amp; description</v>
      </c>
      <c r="L1" s="2120" t="s">
        <v>1819</v>
      </c>
      <c r="M1" s="1141"/>
      <c r="N1" s="1141"/>
      <c r="O1" s="1141"/>
      <c r="P1" s="1141"/>
      <c r="Q1" s="1143"/>
      <c r="R1" s="1143"/>
      <c r="S1" s="1143"/>
      <c r="T1" s="1143"/>
      <c r="U1" s="1144"/>
      <c r="V1" s="1144"/>
      <c r="W1" s="1145"/>
      <c r="X1" s="1145"/>
      <c r="Y1" s="1145"/>
      <c r="Z1" s="1142"/>
      <c r="AA1" s="1145"/>
      <c r="AB1" s="1145"/>
    </row>
    <row r="2" spans="1:29" ht="15" customHeight="1">
      <c r="B2" s="2138"/>
      <c r="C2" s="2139"/>
      <c r="D2" s="2134"/>
      <c r="E2" s="2134"/>
      <c r="F2" s="2134"/>
      <c r="G2" s="2134"/>
      <c r="H2" s="2134"/>
      <c r="I2" s="2134"/>
      <c r="J2" s="2134"/>
      <c r="K2" s="1056" t="str">
        <f>'Project Information'!B1</f>
        <v>999999-1-32-01</v>
      </c>
      <c r="L2" s="2121"/>
      <c r="M2" s="1141"/>
      <c r="N2" s="1141"/>
      <c r="O2" s="1141"/>
      <c r="P2" s="1141"/>
      <c r="Q2" s="1143"/>
      <c r="R2" s="1143"/>
      <c r="S2" s="1143"/>
      <c r="T2" s="1143"/>
      <c r="U2" s="1144"/>
      <c r="V2" s="1144"/>
      <c r="W2" s="1145"/>
      <c r="X2" s="1145"/>
      <c r="Y2" s="1145"/>
      <c r="Z2" s="1142"/>
      <c r="AA2" s="1145"/>
      <c r="AB2" s="1145"/>
    </row>
    <row r="3" spans="1:29" s="1058" customFormat="1" ht="15" customHeight="1" thickBot="1">
      <c r="B3" s="2140"/>
      <c r="C3" s="2141"/>
      <c r="D3" s="2135"/>
      <c r="E3" s="2135"/>
      <c r="F3" s="2135"/>
      <c r="G3" s="2135"/>
      <c r="H3" s="2135"/>
      <c r="I3" s="2135"/>
      <c r="J3" s="2135"/>
      <c r="K3" s="1057"/>
      <c r="L3" s="2122"/>
      <c r="M3" s="1141"/>
      <c r="N3" s="1141"/>
      <c r="O3" s="1141"/>
      <c r="P3" s="1141"/>
      <c r="Q3" s="1144"/>
      <c r="R3" s="1144"/>
      <c r="S3" s="1144"/>
      <c r="T3" s="1144"/>
      <c r="U3" s="1144"/>
      <c r="V3" s="1144"/>
      <c r="W3" s="1145"/>
      <c r="X3" s="1145"/>
      <c r="Y3" s="1145"/>
      <c r="Z3" s="1146"/>
      <c r="AA3" s="1145"/>
      <c r="AB3" s="1145"/>
    </row>
    <row r="4" spans="1:29" s="1058" customFormat="1" ht="30" customHeight="1" thickBot="1">
      <c r="B4" s="2198" t="s">
        <v>1396</v>
      </c>
      <c r="C4" s="2199"/>
      <c r="D4" s="2200" t="s">
        <v>1397</v>
      </c>
      <c r="E4" s="2200"/>
      <c r="F4" s="2200"/>
      <c r="G4" s="2200"/>
      <c r="H4" s="2200"/>
      <c r="I4" s="2200"/>
      <c r="J4" s="2200"/>
      <c r="K4" s="1111" t="s">
        <v>1398</v>
      </c>
      <c r="L4" s="1580" t="s">
        <v>2625</v>
      </c>
      <c r="M4" s="1147"/>
      <c r="N4" s="1147"/>
      <c r="O4" s="1147"/>
      <c r="P4" s="1147"/>
      <c r="Q4" s="1148"/>
      <c r="R4" s="1148"/>
      <c r="S4" s="1148"/>
      <c r="T4" s="1148"/>
      <c r="U4" s="1144"/>
      <c r="V4" s="1144"/>
      <c r="W4" s="1145"/>
      <c r="X4" s="1145"/>
      <c r="Y4" s="1145"/>
      <c r="Z4" s="1146"/>
      <c r="AA4" s="1145"/>
      <c r="AB4" s="1145"/>
    </row>
    <row r="5" spans="1:29" s="1058" customFormat="1" ht="30" customHeight="1">
      <c r="B5" s="2201" t="s">
        <v>1400</v>
      </c>
      <c r="C5" s="2202"/>
      <c r="D5" s="2203"/>
      <c r="E5" s="2203"/>
      <c r="F5" s="2203"/>
      <c r="G5" s="2203"/>
      <c r="H5" s="2203"/>
      <c r="I5" s="2203"/>
      <c r="J5" s="2203"/>
      <c r="K5" s="1059"/>
      <c r="L5" s="2253" t="s">
        <v>1820</v>
      </c>
      <c r="M5" s="1147"/>
      <c r="N5" s="1147"/>
      <c r="O5" s="1147"/>
      <c r="P5" s="1147"/>
      <c r="Q5" s="1148"/>
      <c r="R5" s="1148"/>
      <c r="S5" s="1148"/>
      <c r="T5" s="1148"/>
      <c r="U5" s="1144"/>
      <c r="V5" s="1144"/>
      <c r="W5" s="1145"/>
      <c r="X5" s="1145"/>
      <c r="Y5" s="1145"/>
      <c r="Z5" s="1146"/>
      <c r="AA5" s="1145"/>
      <c r="AB5" s="1145"/>
    </row>
    <row r="6" spans="1:29" s="1058" customFormat="1" ht="30" customHeight="1" thickBot="1">
      <c r="B6" s="2204" t="s">
        <v>1399</v>
      </c>
      <c r="C6" s="2205"/>
      <c r="D6" s="2206"/>
      <c r="E6" s="2206"/>
      <c r="F6" s="2206"/>
      <c r="G6" s="2206"/>
      <c r="H6" s="2206"/>
      <c r="I6" s="2206"/>
      <c r="J6" s="2206"/>
      <c r="K6" s="1060"/>
      <c r="L6" s="2254"/>
      <c r="M6" s="1147"/>
      <c r="N6" s="1147"/>
      <c r="O6" s="1147"/>
      <c r="P6" s="1147"/>
      <c r="Q6" s="1148"/>
      <c r="R6" s="1148"/>
      <c r="S6" s="1148"/>
      <c r="T6" s="1148"/>
      <c r="U6" s="1144"/>
      <c r="V6" s="1144"/>
      <c r="W6" s="1145"/>
      <c r="X6" s="1145"/>
      <c r="Y6" s="1145"/>
      <c r="Z6" s="1146"/>
      <c r="AA6" s="1145"/>
      <c r="AB6" s="1145"/>
    </row>
    <row r="7" spans="1:29" s="1058" customFormat="1" ht="15" customHeight="1">
      <c r="B7" s="1112" t="s">
        <v>1430</v>
      </c>
      <c r="C7" s="1113"/>
      <c r="D7" s="1114"/>
      <c r="E7" s="1114"/>
      <c r="F7" s="1114"/>
      <c r="G7" s="1114"/>
      <c r="H7" s="1114"/>
      <c r="I7" s="1114"/>
      <c r="J7" s="1114"/>
      <c r="K7" s="1115"/>
      <c r="L7" s="2254"/>
      <c r="M7" s="1147"/>
      <c r="N7" s="1147"/>
      <c r="O7" s="1147"/>
      <c r="P7" s="1147"/>
      <c r="Q7" s="1144"/>
      <c r="R7" s="1144"/>
      <c r="S7" s="1144"/>
      <c r="T7" s="1144"/>
      <c r="U7" s="1144"/>
      <c r="V7" s="1144"/>
      <c r="W7" s="1145"/>
      <c r="X7" s="1145"/>
      <c r="Y7" s="1145"/>
      <c r="Z7" s="1146"/>
      <c r="AA7" s="1145"/>
      <c r="AB7" s="1145"/>
    </row>
    <row r="8" spans="1:29" s="1058" customFormat="1" ht="15" customHeight="1" thickBot="1">
      <c r="B8" s="1116"/>
      <c r="C8" s="1117"/>
      <c r="D8" s="1118"/>
      <c r="E8" s="1118"/>
      <c r="F8" s="1118"/>
      <c r="G8" s="1118"/>
      <c r="H8" s="1118"/>
      <c r="I8" s="1118"/>
      <c r="J8" s="1118"/>
      <c r="K8" s="1119"/>
      <c r="L8" s="2254"/>
      <c r="M8" s="1147"/>
      <c r="N8" s="1147"/>
      <c r="O8" s="1147"/>
      <c r="P8" s="1147"/>
      <c r="Q8" s="1144"/>
      <c r="R8" s="1144"/>
      <c r="S8" s="1144"/>
      <c r="T8" s="1144"/>
      <c r="U8" s="1144"/>
      <c r="V8" s="1144"/>
      <c r="W8" s="1145"/>
      <c r="X8" s="1145"/>
      <c r="Y8" s="1145"/>
      <c r="Z8" s="1146"/>
      <c r="AA8" s="1145"/>
      <c r="AB8" s="1145"/>
    </row>
    <row r="9" spans="1:29" s="1061" customFormat="1" ht="30" customHeight="1">
      <c r="B9" s="2153" t="s">
        <v>79</v>
      </c>
      <c r="C9" s="2155" t="s">
        <v>190</v>
      </c>
      <c r="D9" s="2230" t="s">
        <v>1821</v>
      </c>
      <c r="E9" s="2230"/>
      <c r="F9" s="2230"/>
      <c r="G9" s="2157" t="s">
        <v>1822</v>
      </c>
      <c r="H9" s="2158"/>
      <c r="I9" s="2158"/>
      <c r="J9" s="2159"/>
      <c r="K9" s="1120" t="s">
        <v>1823</v>
      </c>
      <c r="L9" s="2254"/>
      <c r="M9" s="1147"/>
      <c r="N9" s="1147"/>
      <c r="O9" s="2167" t="s">
        <v>190</v>
      </c>
      <c r="P9" s="2214" t="s">
        <v>1869</v>
      </c>
      <c r="Q9" s="2213"/>
      <c r="R9" s="2213"/>
      <c r="S9" s="2213"/>
      <c r="T9" s="2215"/>
      <c r="U9" s="2214" t="s">
        <v>1914</v>
      </c>
      <c r="V9" s="2213"/>
      <c r="W9" s="2215"/>
      <c r="X9" s="2214" t="s">
        <v>1960</v>
      </c>
      <c r="Y9" s="2213"/>
      <c r="Z9" s="2215"/>
      <c r="AA9" s="2214" t="s">
        <v>1862</v>
      </c>
      <c r="AB9" s="2213"/>
      <c r="AC9" s="2215"/>
    </row>
    <row r="10" spans="1:29" s="1061" customFormat="1" ht="30" customHeight="1" thickBot="1">
      <c r="B10" s="2258"/>
      <c r="C10" s="2259"/>
      <c r="D10" s="1121" t="s">
        <v>1824</v>
      </c>
      <c r="E10" s="1122" t="s">
        <v>87</v>
      </c>
      <c r="F10" s="1121" t="s">
        <v>1825</v>
      </c>
      <c r="G10" s="1121" t="s">
        <v>1826</v>
      </c>
      <c r="H10" s="1121" t="s">
        <v>1827</v>
      </c>
      <c r="I10" s="1121" t="s">
        <v>1196</v>
      </c>
      <c r="J10" s="1121" t="s">
        <v>1828</v>
      </c>
      <c r="K10" s="1123" t="s">
        <v>1829</v>
      </c>
      <c r="L10" s="2254"/>
      <c r="M10" s="1147"/>
      <c r="N10" s="1147"/>
      <c r="O10" s="2170"/>
      <c r="P10" s="1606" t="s">
        <v>1926</v>
      </c>
      <c r="Q10" s="1607" t="s">
        <v>1859</v>
      </c>
      <c r="R10" s="1607" t="s">
        <v>1860</v>
      </c>
      <c r="S10" s="1607" t="s">
        <v>1861</v>
      </c>
      <c r="T10" s="1608" t="s">
        <v>1927</v>
      </c>
      <c r="U10" s="1607" t="s">
        <v>1883</v>
      </c>
      <c r="V10" s="1607" t="s">
        <v>1833</v>
      </c>
      <c r="W10" s="1608" t="s">
        <v>1834</v>
      </c>
      <c r="X10" s="1606" t="s">
        <v>1928</v>
      </c>
      <c r="Y10" s="1607" t="s">
        <v>1929</v>
      </c>
      <c r="Z10" s="1607" t="s">
        <v>1930</v>
      </c>
      <c r="AA10" s="1606" t="s">
        <v>1931</v>
      </c>
      <c r="AB10" s="1607" t="s">
        <v>1932</v>
      </c>
      <c r="AC10" s="1608" t="s">
        <v>1933</v>
      </c>
    </row>
    <row r="11" spans="1:29" ht="30" customHeight="1">
      <c r="A11" s="1067" t="s">
        <v>2321</v>
      </c>
      <c r="B11" s="2145" t="s">
        <v>1449</v>
      </c>
      <c r="C11" s="2148" t="s">
        <v>2322</v>
      </c>
      <c r="D11" s="1070" t="s">
        <v>2323</v>
      </c>
      <c r="E11" s="1650">
        <v>0</v>
      </c>
      <c r="F11" s="1181"/>
      <c r="G11" s="1070">
        <f>IF(E11=0,0,E11*IF(F11="Simple",U11,IF(F11="Standard",V11,IF(F11="Complex",W11,0))))</f>
        <v>0</v>
      </c>
      <c r="H11" s="1062">
        <v>0</v>
      </c>
      <c r="I11" s="1062">
        <v>0</v>
      </c>
      <c r="J11" s="1062">
        <v>0</v>
      </c>
      <c r="K11" s="1063"/>
      <c r="L11" s="2149" t="s">
        <v>1882</v>
      </c>
      <c r="M11" s="1142"/>
      <c r="N11" s="1142"/>
      <c r="O11" s="2151" t="s">
        <v>1449</v>
      </c>
      <c r="P11" s="1337"/>
      <c r="Q11" s="1227"/>
      <c r="R11" s="1151"/>
      <c r="S11" s="1293"/>
      <c r="T11" s="1152"/>
      <c r="U11" s="1293">
        <v>4</v>
      </c>
      <c r="V11" s="1293">
        <v>8</v>
      </c>
      <c r="W11" s="1293">
        <v>12</v>
      </c>
      <c r="X11" s="1232"/>
      <c r="Y11" s="1295"/>
      <c r="Z11" s="1246"/>
      <c r="AA11" s="1232"/>
      <c r="AB11" s="1293"/>
      <c r="AC11" s="1152"/>
    </row>
    <row r="12" spans="1:29" ht="30" customHeight="1">
      <c r="A12" s="1067" t="s">
        <v>2324</v>
      </c>
      <c r="B12" s="2147"/>
      <c r="C12" s="2111"/>
      <c r="D12" s="1615" t="s">
        <v>2031</v>
      </c>
      <c r="E12" s="1629">
        <v>0</v>
      </c>
      <c r="F12" s="1602"/>
      <c r="G12" s="1210">
        <f>IF(E12=0,0,E12*IF(F12="Simple",U12,IF(F12="Standard",V12,IF(F12="Complex",W12,0))))</f>
        <v>0</v>
      </c>
      <c r="H12" s="1065">
        <v>0</v>
      </c>
      <c r="I12" s="1065">
        <v>0</v>
      </c>
      <c r="J12" s="1065">
        <v>0</v>
      </c>
      <c r="K12" s="1652"/>
      <c r="L12" s="2150"/>
      <c r="M12" s="1142"/>
      <c r="N12" s="1142"/>
      <c r="O12" s="2151"/>
      <c r="P12" s="1337"/>
      <c r="Q12" s="1227"/>
      <c r="R12" s="1151"/>
      <c r="S12" s="1293"/>
      <c r="T12" s="1152"/>
      <c r="U12" s="1293">
        <v>8</v>
      </c>
      <c r="V12" s="1293">
        <v>24</v>
      </c>
      <c r="W12" s="1293">
        <v>40</v>
      </c>
      <c r="X12" s="1232"/>
      <c r="Y12" s="1295"/>
      <c r="Z12" s="1246"/>
      <c r="AA12" s="1232"/>
      <c r="AB12" s="1295"/>
      <c r="AC12" s="1249"/>
    </row>
    <row r="13" spans="1:29" ht="30" customHeight="1">
      <c r="A13" s="1067" t="s">
        <v>2325</v>
      </c>
      <c r="B13" s="1126" t="s">
        <v>1459</v>
      </c>
      <c r="C13" s="1190" t="s">
        <v>1629</v>
      </c>
      <c r="D13" s="1210" t="s">
        <v>85</v>
      </c>
      <c r="E13" s="1629">
        <v>0</v>
      </c>
      <c r="F13" s="1602"/>
      <c r="G13" s="1210">
        <f>IF(E13=0,0,IF(F13="Simple",U13,IF(F13="Standard",V13,IF(F13="Complex",W13,0))))</f>
        <v>0</v>
      </c>
      <c r="H13" s="1065">
        <v>0</v>
      </c>
      <c r="I13" s="1065">
        <v>0</v>
      </c>
      <c r="J13" s="1065">
        <v>0</v>
      </c>
      <c r="K13" s="1066"/>
      <c r="L13" s="2150"/>
      <c r="M13" s="1142"/>
      <c r="N13" s="1142"/>
      <c r="O13" s="1651" t="s">
        <v>1459</v>
      </c>
      <c r="P13" s="1337"/>
      <c r="Q13" s="1227"/>
      <c r="R13" s="1151"/>
      <c r="S13" s="1293"/>
      <c r="T13" s="1152"/>
      <c r="U13" s="1293">
        <v>8</v>
      </c>
      <c r="V13" s="1293">
        <v>24</v>
      </c>
      <c r="W13" s="1153">
        <v>40</v>
      </c>
      <c r="X13" s="1232"/>
      <c r="Y13" s="1295"/>
      <c r="Z13" s="1246"/>
      <c r="AA13" s="1232"/>
      <c r="AB13" s="1295"/>
      <c r="AC13" s="1249"/>
    </row>
    <row r="14" spans="1:29" ht="30" customHeight="1">
      <c r="A14" s="1067" t="s">
        <v>2326</v>
      </c>
      <c r="B14" s="1126" t="s">
        <v>1460</v>
      </c>
      <c r="C14" s="1190" t="s">
        <v>1628</v>
      </c>
      <c r="D14" s="1210" t="s">
        <v>85</v>
      </c>
      <c r="E14" s="1629">
        <v>0</v>
      </c>
      <c r="F14" s="1602"/>
      <c r="G14" s="1210">
        <f>IF(E14=0,0,IF(F14="Simple",U14,IF(F14="Standard",V14,IF(F14="Complex",W14,0))))</f>
        <v>0</v>
      </c>
      <c r="H14" s="1065">
        <v>0</v>
      </c>
      <c r="I14" s="1065">
        <v>0</v>
      </c>
      <c r="J14" s="1065">
        <v>0</v>
      </c>
      <c r="K14" s="1066"/>
      <c r="L14" s="2150"/>
      <c r="M14" s="1142"/>
      <c r="N14" s="1142"/>
      <c r="O14" s="1651" t="s">
        <v>1460</v>
      </c>
      <c r="P14" s="1339"/>
      <c r="Q14" s="1227"/>
      <c r="R14" s="1151"/>
      <c r="S14" s="1293"/>
      <c r="T14" s="1152"/>
      <c r="U14" s="1293">
        <v>4</v>
      </c>
      <c r="V14" s="1293">
        <v>12</v>
      </c>
      <c r="W14" s="1247">
        <v>20</v>
      </c>
      <c r="X14" s="1232"/>
      <c r="Y14" s="1295"/>
      <c r="Z14" s="1246"/>
      <c r="AA14" s="1232"/>
      <c r="AB14" s="1295"/>
      <c r="AC14" s="1249"/>
    </row>
    <row r="15" spans="1:29" ht="30" customHeight="1">
      <c r="A15" s="1067" t="s">
        <v>2327</v>
      </c>
      <c r="B15" s="1127" t="s">
        <v>1461</v>
      </c>
      <c r="C15" s="1190" t="s">
        <v>2328</v>
      </c>
      <c r="D15" s="1210" t="s">
        <v>85</v>
      </c>
      <c r="E15" s="1629">
        <v>0</v>
      </c>
      <c r="F15" s="1602"/>
      <c r="G15" s="1210">
        <f>IF(E15=0,0,IF(F15="Simple",U15,IF(F15="Standard",V15,IF(F15="Complex",W15,0))))</f>
        <v>0</v>
      </c>
      <c r="H15" s="1065">
        <v>0</v>
      </c>
      <c r="I15" s="1065">
        <v>0</v>
      </c>
      <c r="J15" s="1065">
        <v>0</v>
      </c>
      <c r="K15" s="1066"/>
      <c r="L15" s="2150"/>
      <c r="M15" s="1142"/>
      <c r="N15" s="1142"/>
      <c r="O15" s="1630" t="s">
        <v>1461</v>
      </c>
      <c r="P15" s="1337"/>
      <c r="Q15" s="1227"/>
      <c r="R15" s="1151"/>
      <c r="S15" s="1293"/>
      <c r="T15" s="1152"/>
      <c r="U15" s="1293">
        <v>4</v>
      </c>
      <c r="V15" s="1293">
        <v>8</v>
      </c>
      <c r="W15" s="1790">
        <v>16</v>
      </c>
      <c r="X15" s="1232"/>
      <c r="Y15" s="1295"/>
      <c r="Z15" s="1246"/>
      <c r="AA15" s="1232"/>
      <c r="AB15" s="1295"/>
      <c r="AC15" s="1249"/>
    </row>
    <row r="16" spans="1:29" ht="30" customHeight="1">
      <c r="A16" s="1067" t="s">
        <v>2329</v>
      </c>
      <c r="B16" s="1601" t="s">
        <v>1462</v>
      </c>
      <c r="C16" s="1190" t="s">
        <v>2330</v>
      </c>
      <c r="D16" s="1210" t="s">
        <v>2331</v>
      </c>
      <c r="E16" s="1616">
        <v>0</v>
      </c>
      <c r="F16" s="1602"/>
      <c r="G16" s="1210">
        <f>ROUNDUP((ROUND(E16,2))*(IF(F16="Simple",U16,(IF(F16="Standard",V16,(IF(F16="Complex",W16,0)))))),0)</f>
        <v>0</v>
      </c>
      <c r="H16" s="1065">
        <v>0</v>
      </c>
      <c r="I16" s="1065">
        <v>0</v>
      </c>
      <c r="J16" s="1065">
        <v>0</v>
      </c>
      <c r="K16" s="1066"/>
      <c r="L16" s="2150"/>
      <c r="M16" s="1142"/>
      <c r="N16" s="1142"/>
      <c r="O16" s="1651" t="s">
        <v>1462</v>
      </c>
      <c r="P16" s="1341"/>
      <c r="Q16" s="1336"/>
      <c r="R16" s="1164"/>
      <c r="S16" s="1165"/>
      <c r="T16" s="1346"/>
      <c r="U16" s="1293">
        <v>4</v>
      </c>
      <c r="V16" s="1293">
        <v>8</v>
      </c>
      <c r="W16" s="1293">
        <v>12</v>
      </c>
      <c r="X16" s="1232"/>
      <c r="Y16" s="1295"/>
      <c r="Z16" s="1246"/>
      <c r="AA16" s="1232"/>
      <c r="AB16" s="1295"/>
      <c r="AC16" s="1249"/>
    </row>
    <row r="17" spans="1:29" ht="30" customHeight="1">
      <c r="A17" s="1067" t="s">
        <v>2332</v>
      </c>
      <c r="B17" s="1601" t="s">
        <v>1463</v>
      </c>
      <c r="C17" s="1613" t="s">
        <v>135</v>
      </c>
      <c r="D17" s="1210" t="s">
        <v>85</v>
      </c>
      <c r="E17" s="1629">
        <v>0</v>
      </c>
      <c r="F17" s="1602"/>
      <c r="G17" s="1210">
        <f>IF(E17=0,0,IF(F17="Simple",U17,IF(F17="Standard",V17,IF(F17="Complex",W17,0))))</f>
        <v>0</v>
      </c>
      <c r="H17" s="1065">
        <v>0</v>
      </c>
      <c r="I17" s="1065">
        <v>0</v>
      </c>
      <c r="J17" s="1065">
        <v>0</v>
      </c>
      <c r="K17" s="1652"/>
      <c r="L17" s="2150"/>
      <c r="M17" s="1142"/>
      <c r="N17" s="1142"/>
      <c r="O17" s="1651" t="s">
        <v>1463</v>
      </c>
      <c r="P17" s="1337"/>
      <c r="Q17" s="1227"/>
      <c r="R17" s="1151"/>
      <c r="S17" s="1293"/>
      <c r="T17" s="1152"/>
      <c r="U17" s="1293">
        <v>4</v>
      </c>
      <c r="V17" s="1293">
        <v>20</v>
      </c>
      <c r="W17" s="1293">
        <v>40</v>
      </c>
      <c r="X17" s="1232"/>
      <c r="Y17" s="1295"/>
      <c r="Z17" s="1246"/>
      <c r="AA17" s="1232"/>
      <c r="AB17" s="1293"/>
      <c r="AC17" s="1249"/>
    </row>
    <row r="18" spans="1:29" ht="30" customHeight="1">
      <c r="A18" s="1067" t="s">
        <v>2333</v>
      </c>
      <c r="B18" s="2164" t="s">
        <v>1464</v>
      </c>
      <c r="C18" s="2255" t="s">
        <v>142</v>
      </c>
      <c r="D18" s="1615" t="s">
        <v>2334</v>
      </c>
      <c r="E18" s="1064">
        <v>0</v>
      </c>
      <c r="F18" s="1602"/>
      <c r="G18" s="1210">
        <f>IF(E18=0,0,E18*IF(F18="Simple",U18,IF(F18="Standard",V18,IF(F18="Complex",W18,0))))</f>
        <v>0</v>
      </c>
      <c r="H18" s="1065">
        <v>0</v>
      </c>
      <c r="I18" s="1065">
        <v>0</v>
      </c>
      <c r="J18" s="1065">
        <v>0</v>
      </c>
      <c r="K18" s="1652"/>
      <c r="L18" s="2150"/>
      <c r="M18" s="1142"/>
      <c r="N18" s="1142"/>
      <c r="O18" s="2256" t="s">
        <v>1464</v>
      </c>
      <c r="P18" s="1337"/>
      <c r="Q18" s="1227"/>
      <c r="R18" s="1151"/>
      <c r="S18" s="1293"/>
      <c r="T18" s="1152"/>
      <c r="U18" s="1293">
        <v>24</v>
      </c>
      <c r="V18" s="1293">
        <v>42</v>
      </c>
      <c r="W18" s="1293">
        <v>60</v>
      </c>
      <c r="X18" s="1232"/>
      <c r="Y18" s="1295"/>
      <c r="Z18" s="1246"/>
      <c r="AA18" s="1232"/>
      <c r="AB18" s="1293"/>
      <c r="AC18" s="1249"/>
    </row>
    <row r="19" spans="1:29" ht="30" customHeight="1">
      <c r="A19" s="1067" t="s">
        <v>2335</v>
      </c>
      <c r="B19" s="2166"/>
      <c r="C19" s="2255"/>
      <c r="D19" s="1615" t="s">
        <v>2031</v>
      </c>
      <c r="E19" s="1629">
        <v>0</v>
      </c>
      <c r="F19" s="1602"/>
      <c r="G19" s="1210">
        <f>IF(E19=0,0,IF(F19="Simple",U19,IF(F19="Standard",V19,IF(F19="Complex",W19,0))))</f>
        <v>0</v>
      </c>
      <c r="H19" s="1065">
        <v>0</v>
      </c>
      <c r="I19" s="1065">
        <v>0</v>
      </c>
      <c r="J19" s="1065">
        <v>0</v>
      </c>
      <c r="K19" s="1652"/>
      <c r="L19" s="2150"/>
      <c r="M19" s="1142"/>
      <c r="N19" s="1142"/>
      <c r="O19" s="2257"/>
      <c r="P19" s="1337"/>
      <c r="Q19" s="1227"/>
      <c r="R19" s="1151"/>
      <c r="S19" s="1293"/>
      <c r="T19" s="1152"/>
      <c r="U19" s="1293">
        <v>8</v>
      </c>
      <c r="V19" s="1293">
        <v>12</v>
      </c>
      <c r="W19" s="1293">
        <v>16</v>
      </c>
      <c r="X19" s="1232"/>
      <c r="Y19" s="1295"/>
      <c r="Z19" s="1246"/>
      <c r="AA19" s="1232"/>
      <c r="AB19" s="1293"/>
      <c r="AC19" s="1249"/>
    </row>
    <row r="20" spans="1:29" ht="30" customHeight="1">
      <c r="A20" s="1067" t="s">
        <v>2336</v>
      </c>
      <c r="B20" s="1127" t="s">
        <v>1465</v>
      </c>
      <c r="C20" s="1613" t="s">
        <v>2337</v>
      </c>
      <c r="D20" s="1615" t="s">
        <v>85</v>
      </c>
      <c r="E20" s="1629">
        <v>0</v>
      </c>
      <c r="F20" s="1602"/>
      <c r="G20" s="1210">
        <f>IF(E20=0,0,IF(F20="Simple",U20,IF(F20="Standard",V20,IF(F20="Complex",W20,0))))</f>
        <v>0</v>
      </c>
      <c r="H20" s="1065">
        <v>0</v>
      </c>
      <c r="I20" s="1065">
        <v>0</v>
      </c>
      <c r="J20" s="1065">
        <v>0</v>
      </c>
      <c r="K20" s="1652"/>
      <c r="L20" s="2150"/>
      <c r="M20" s="1142"/>
      <c r="N20" s="1142"/>
      <c r="O20" s="1630" t="s">
        <v>1465</v>
      </c>
      <c r="P20" s="1337"/>
      <c r="Q20" s="1227"/>
      <c r="R20" s="1151"/>
      <c r="S20" s="1293"/>
      <c r="T20" s="1152"/>
      <c r="U20" s="1792">
        <v>8</v>
      </c>
      <c r="V20" s="1385">
        <v>16</v>
      </c>
      <c r="W20" s="1385">
        <v>24</v>
      </c>
      <c r="X20" s="1405"/>
      <c r="Y20" s="1295"/>
      <c r="Z20" s="1246"/>
      <c r="AA20" s="1405"/>
      <c r="AB20" s="1385"/>
      <c r="AC20" s="1249"/>
    </row>
    <row r="21" spans="1:29" ht="30" customHeight="1">
      <c r="A21" s="1067" t="s">
        <v>2338</v>
      </c>
      <c r="B21" s="2152" t="s">
        <v>2567</v>
      </c>
      <c r="C21" s="1426" t="s">
        <v>2339</v>
      </c>
      <c r="D21" s="1615" t="s">
        <v>2340</v>
      </c>
      <c r="E21" s="1064">
        <v>0</v>
      </c>
      <c r="F21" s="1602"/>
      <c r="G21" s="1210">
        <f>IF(E21=0,0,E21*IF(F21="Simple",U21,IF(F21="Standard",V21,IF(F21="Complex",W21,0))))</f>
        <v>0</v>
      </c>
      <c r="H21" s="1065">
        <v>0</v>
      </c>
      <c r="I21" s="1065">
        <v>0</v>
      </c>
      <c r="J21" s="1065">
        <v>0</v>
      </c>
      <c r="K21" s="1652"/>
      <c r="L21" s="2150"/>
      <c r="M21" s="1142"/>
      <c r="N21" s="1142"/>
      <c r="O21" s="2151" t="s">
        <v>2567</v>
      </c>
      <c r="P21" s="1793"/>
      <c r="Q21" s="1151"/>
      <c r="R21" s="1252"/>
      <c r="S21" s="1151"/>
      <c r="T21" s="1252"/>
      <c r="U21" s="1150">
        <v>60</v>
      </c>
      <c r="V21" s="1293">
        <v>80</v>
      </c>
      <c r="W21" s="1293">
        <v>100</v>
      </c>
      <c r="X21" s="1232"/>
      <c r="Y21" s="1295"/>
      <c r="Z21" s="1246"/>
      <c r="AA21" s="1232"/>
      <c r="AB21" s="1293"/>
      <c r="AC21" s="1249"/>
    </row>
    <row r="22" spans="1:29" ht="30" customHeight="1">
      <c r="A22" s="1067" t="s">
        <v>2341</v>
      </c>
      <c r="B22" s="2146"/>
      <c r="C22" s="2109" t="s">
        <v>2342</v>
      </c>
      <c r="D22" s="1615" t="s">
        <v>2343</v>
      </c>
      <c r="E22" s="1064">
        <v>0</v>
      </c>
      <c r="F22" s="1602"/>
      <c r="G22" s="1210">
        <f>IF(E22=0,0,E22*IF(F22="Simple",U22,IF(F22="Standard",V22,IF(F22="Complex",W22,0))))</f>
        <v>0</v>
      </c>
      <c r="H22" s="1065">
        <v>0</v>
      </c>
      <c r="I22" s="1065">
        <v>0</v>
      </c>
      <c r="J22" s="1065">
        <v>0</v>
      </c>
      <c r="K22" s="1652"/>
      <c r="L22" s="2150"/>
      <c r="M22" s="1142"/>
      <c r="N22" s="1142"/>
      <c r="O22" s="2151"/>
      <c r="P22" s="1793"/>
      <c r="Q22" s="1151"/>
      <c r="R22" s="1252"/>
      <c r="S22" s="1151"/>
      <c r="T22" s="1252"/>
      <c r="U22" s="1150">
        <v>120</v>
      </c>
      <c r="V22" s="1293">
        <v>200</v>
      </c>
      <c r="W22" s="1293">
        <v>300</v>
      </c>
      <c r="X22" s="1232"/>
      <c r="Y22" s="1151"/>
      <c r="Z22" s="1248"/>
      <c r="AA22" s="1232"/>
      <c r="AB22" s="1293"/>
      <c r="AC22" s="1249"/>
    </row>
    <row r="23" spans="1:29" ht="30" customHeight="1">
      <c r="A23" s="1067" t="s">
        <v>2344</v>
      </c>
      <c r="B23" s="2146"/>
      <c r="C23" s="2110"/>
      <c r="D23" s="1615" t="s">
        <v>2345</v>
      </c>
      <c r="E23" s="1064">
        <v>0</v>
      </c>
      <c r="F23" s="1602"/>
      <c r="G23" s="1210">
        <f>IF(E23=0,0,E23*IF(F23="Simple",U23,IF(F23="Standard",V23,IF(F23="Complex",W23,0))))</f>
        <v>0</v>
      </c>
      <c r="H23" s="1065">
        <v>0</v>
      </c>
      <c r="I23" s="1065">
        <v>0</v>
      </c>
      <c r="J23" s="1065">
        <v>0</v>
      </c>
      <c r="K23" s="1652"/>
      <c r="L23" s="2150"/>
      <c r="M23" s="1142"/>
      <c r="N23" s="1142"/>
      <c r="O23" s="2151"/>
      <c r="P23" s="1793"/>
      <c r="Q23" s="1151"/>
      <c r="R23" s="1252"/>
      <c r="S23" s="1151"/>
      <c r="T23" s="1252"/>
      <c r="U23" s="1150">
        <v>220</v>
      </c>
      <c r="V23" s="1293">
        <v>300</v>
      </c>
      <c r="W23" s="1293">
        <v>400</v>
      </c>
      <c r="X23" s="1232"/>
      <c r="Y23" s="1246"/>
      <c r="Z23" s="1248"/>
      <c r="AA23" s="1232"/>
      <c r="AB23" s="1293"/>
      <c r="AC23" s="1249"/>
    </row>
    <row r="24" spans="1:29" ht="30" customHeight="1">
      <c r="A24" s="1067" t="s">
        <v>2346</v>
      </c>
      <c r="B24" s="2146"/>
      <c r="C24" s="2110"/>
      <c r="D24" s="1615" t="s">
        <v>2347</v>
      </c>
      <c r="E24" s="1629">
        <v>0</v>
      </c>
      <c r="F24" s="1129"/>
      <c r="G24" s="1611">
        <f>IF(SUM(E22:E23)=0,0,ROUNDUP(E24*X24,0))</f>
        <v>0</v>
      </c>
      <c r="H24" s="1065">
        <v>0</v>
      </c>
      <c r="I24" s="1065">
        <v>0</v>
      </c>
      <c r="J24" s="1065">
        <v>0</v>
      </c>
      <c r="K24" s="1652"/>
      <c r="L24" s="2150"/>
      <c r="M24" s="1142"/>
      <c r="N24" s="1142"/>
      <c r="O24" s="2151"/>
      <c r="P24" s="1793"/>
      <c r="Q24" s="1151"/>
      <c r="R24" s="1252"/>
      <c r="S24" s="1151"/>
      <c r="T24" s="1252"/>
      <c r="U24" s="1150"/>
      <c r="V24" s="1293"/>
      <c r="W24" s="1152"/>
      <c r="X24" s="1252">
        <v>80</v>
      </c>
      <c r="Y24" s="1246"/>
      <c r="Z24" s="1261"/>
      <c r="AA24" s="1252"/>
      <c r="AB24" s="1293"/>
      <c r="AC24" s="1249"/>
    </row>
    <row r="25" spans="1:29" ht="30" customHeight="1">
      <c r="A25" s="1067" t="s">
        <v>2348</v>
      </c>
      <c r="B25" s="2146"/>
      <c r="C25" s="2109" t="s">
        <v>2350</v>
      </c>
      <c r="D25" s="1615" t="s">
        <v>2343</v>
      </c>
      <c r="E25" s="1064">
        <v>0</v>
      </c>
      <c r="F25" s="1602"/>
      <c r="G25" s="1210">
        <f>IF(E25=0,0,E25*IF(F25="Simple",U25,IF(F25="Standard",V25,IF(F25="Complex",W25,0))))</f>
        <v>0</v>
      </c>
      <c r="H25" s="1065">
        <v>0</v>
      </c>
      <c r="I25" s="1065">
        <v>0</v>
      </c>
      <c r="J25" s="1065">
        <v>0</v>
      </c>
      <c r="K25" s="1652"/>
      <c r="L25" s="2150"/>
      <c r="M25" s="1142"/>
      <c r="N25" s="1142"/>
      <c r="O25" s="2151"/>
      <c r="P25" s="1794"/>
      <c r="Q25" s="1151"/>
      <c r="R25" s="1252"/>
      <c r="S25" s="1151"/>
      <c r="T25" s="1252"/>
      <c r="U25" s="1150">
        <v>128</v>
      </c>
      <c r="V25" s="1293">
        <v>208</v>
      </c>
      <c r="W25" s="1293">
        <v>308</v>
      </c>
      <c r="X25" s="1232"/>
      <c r="Y25" s="1246"/>
      <c r="Z25" s="1261"/>
      <c r="AA25" s="1252"/>
      <c r="AB25" s="1293"/>
      <c r="AC25" s="1249"/>
    </row>
    <row r="26" spans="1:29" ht="30" customHeight="1">
      <c r="A26" s="1067" t="s">
        <v>2349</v>
      </c>
      <c r="B26" s="2146"/>
      <c r="C26" s="2110"/>
      <c r="D26" s="1615" t="s">
        <v>2345</v>
      </c>
      <c r="E26" s="1064">
        <v>0</v>
      </c>
      <c r="F26" s="1602"/>
      <c r="G26" s="1210">
        <f>IF(E26=0,0,E26*IF(F26="Simple",U26,IF(F26="Standard",V26,IF(F26="Complex",W26,0))))</f>
        <v>0</v>
      </c>
      <c r="H26" s="1065">
        <v>0</v>
      </c>
      <c r="I26" s="1065">
        <v>0</v>
      </c>
      <c r="J26" s="1065">
        <v>0</v>
      </c>
      <c r="K26" s="1652"/>
      <c r="L26" s="2150"/>
      <c r="M26" s="1142"/>
      <c r="N26" s="1142"/>
      <c r="O26" s="2151"/>
      <c r="P26" s="1793"/>
      <c r="Q26" s="1151"/>
      <c r="R26" s="1252"/>
      <c r="S26" s="1151"/>
      <c r="T26" s="1252"/>
      <c r="U26" s="1150">
        <v>228</v>
      </c>
      <c r="V26" s="1293">
        <v>308</v>
      </c>
      <c r="W26" s="1293">
        <v>408</v>
      </c>
      <c r="X26" s="1232"/>
      <c r="Y26" s="1246"/>
      <c r="Z26" s="1612"/>
      <c r="AA26" s="1252"/>
      <c r="AB26" s="1293"/>
      <c r="AC26" s="1249"/>
    </row>
    <row r="27" spans="1:29" ht="30" customHeight="1">
      <c r="A27" s="1067" t="s">
        <v>2351</v>
      </c>
      <c r="B27" s="2146"/>
      <c r="C27" s="2110"/>
      <c r="D27" s="1615" t="s">
        <v>2347</v>
      </c>
      <c r="E27" s="1629">
        <v>0</v>
      </c>
      <c r="F27" s="1129"/>
      <c r="G27" s="1611">
        <f>IF(SUM(E25:E26)=0,0,ROUNDUP(E27*X27,0))</f>
        <v>0</v>
      </c>
      <c r="H27" s="1065">
        <v>0</v>
      </c>
      <c r="I27" s="1065">
        <v>0</v>
      </c>
      <c r="J27" s="1065">
        <v>0</v>
      </c>
      <c r="K27" s="1652"/>
      <c r="L27" s="2150"/>
      <c r="M27" s="1142"/>
      <c r="N27" s="1142"/>
      <c r="O27" s="2151"/>
      <c r="P27" s="1793"/>
      <c r="Q27" s="1151"/>
      <c r="R27" s="1252"/>
      <c r="S27" s="1151"/>
      <c r="T27" s="1252"/>
      <c r="U27" s="1150"/>
      <c r="V27" s="1293"/>
      <c r="W27" s="1152"/>
      <c r="X27" s="1252">
        <v>80</v>
      </c>
      <c r="Y27" s="1246"/>
      <c r="Z27" s="1612"/>
      <c r="AA27" s="1252"/>
      <c r="AB27" s="1293"/>
      <c r="AC27" s="1249"/>
    </row>
    <row r="28" spans="1:29" ht="30" customHeight="1">
      <c r="A28" s="1067" t="s">
        <v>2352</v>
      </c>
      <c r="B28" s="2147"/>
      <c r="C28" s="1190" t="s">
        <v>2355</v>
      </c>
      <c r="D28" s="1615" t="s">
        <v>2355</v>
      </c>
      <c r="E28" s="1629">
        <v>0</v>
      </c>
      <c r="F28" s="1602"/>
      <c r="G28" s="1210">
        <f>IF(E28=0,0,E28*IF(F28="Simple",U28,IF(F28="Standard",V28,IF(F28="Complex",W28,0))))</f>
        <v>0</v>
      </c>
      <c r="H28" s="1065">
        <v>0</v>
      </c>
      <c r="I28" s="1065">
        <v>0</v>
      </c>
      <c r="J28" s="1065">
        <v>0</v>
      </c>
      <c r="K28" s="1652"/>
      <c r="L28" s="2150"/>
      <c r="M28" s="1142"/>
      <c r="N28" s="1142"/>
      <c r="O28" s="2151"/>
      <c r="P28" s="1794"/>
      <c r="Q28" s="1151"/>
      <c r="R28" s="1252"/>
      <c r="S28" s="1151"/>
      <c r="T28" s="1252"/>
      <c r="U28" s="1150">
        <v>20</v>
      </c>
      <c r="V28" s="1151">
        <v>40</v>
      </c>
      <c r="W28" s="1261">
        <v>60</v>
      </c>
      <c r="X28" s="1252"/>
      <c r="Y28" s="1246"/>
      <c r="Z28" s="1612"/>
      <c r="AA28" s="1252"/>
      <c r="AB28" s="1293"/>
      <c r="AC28" s="1249"/>
    </row>
    <row r="29" spans="1:29" ht="30" customHeight="1">
      <c r="A29" s="1067" t="s">
        <v>2353</v>
      </c>
      <c r="B29" s="2152" t="s">
        <v>1466</v>
      </c>
      <c r="C29" s="2109" t="s">
        <v>2357</v>
      </c>
      <c r="D29" s="2234" t="s">
        <v>2358</v>
      </c>
      <c r="E29" s="1064">
        <v>0</v>
      </c>
      <c r="F29" s="1615" t="s">
        <v>1883</v>
      </c>
      <c r="G29" s="1210">
        <f>IF(E29=0,0,E29*U29)</f>
        <v>0</v>
      </c>
      <c r="H29" s="1065">
        <v>0</v>
      </c>
      <c r="I29" s="1065">
        <v>0</v>
      </c>
      <c r="J29" s="1065">
        <v>0</v>
      </c>
      <c r="K29" s="1652"/>
      <c r="L29" s="2150"/>
      <c r="M29" s="1142"/>
      <c r="N29" s="1142"/>
      <c r="O29" s="2151" t="s">
        <v>1466</v>
      </c>
      <c r="P29" s="1793"/>
      <c r="Q29" s="1151"/>
      <c r="R29" s="1252"/>
      <c r="S29" s="1151"/>
      <c r="T29" s="1261"/>
      <c r="U29" s="1293">
        <v>7</v>
      </c>
      <c r="V29" s="1293"/>
      <c r="W29" s="1293"/>
      <c r="X29" s="1232"/>
      <c r="Y29" s="1246"/>
      <c r="Z29" s="1248"/>
      <c r="AA29" s="1232"/>
      <c r="AB29" s="1293"/>
      <c r="AC29" s="1249"/>
    </row>
    <row r="30" spans="1:29" ht="30" customHeight="1">
      <c r="A30" s="1067" t="s">
        <v>2354</v>
      </c>
      <c r="B30" s="2146"/>
      <c r="C30" s="2110"/>
      <c r="D30" s="2260"/>
      <c r="E30" s="1064">
        <v>0</v>
      </c>
      <c r="F30" s="1615" t="s">
        <v>1833</v>
      </c>
      <c r="G30" s="1210">
        <f>IF(E30=0,0,E30*V30)</f>
        <v>0</v>
      </c>
      <c r="H30" s="1065">
        <v>0</v>
      </c>
      <c r="I30" s="1065">
        <v>0</v>
      </c>
      <c r="J30" s="1065">
        <v>0</v>
      </c>
      <c r="K30" s="1652"/>
      <c r="L30" s="2150"/>
      <c r="M30" s="1142"/>
      <c r="N30" s="1142"/>
      <c r="O30" s="2151"/>
      <c r="P30" s="1793"/>
      <c r="Q30" s="1151"/>
      <c r="R30" s="1227"/>
      <c r="S30" s="1293"/>
      <c r="T30" s="1152"/>
      <c r="U30" s="1293"/>
      <c r="V30" s="1293">
        <v>9</v>
      </c>
      <c r="W30" s="1293"/>
      <c r="X30" s="1232"/>
      <c r="Y30" s="1246"/>
      <c r="Z30" s="1248"/>
      <c r="AA30" s="1232"/>
      <c r="AB30" s="1293"/>
      <c r="AC30" s="1249"/>
    </row>
    <row r="31" spans="1:29" ht="30" customHeight="1">
      <c r="A31" s="1067" t="s">
        <v>2356</v>
      </c>
      <c r="B31" s="2146"/>
      <c r="C31" s="2110"/>
      <c r="D31" s="2235"/>
      <c r="E31" s="1064">
        <v>0</v>
      </c>
      <c r="F31" s="1615" t="s">
        <v>1834</v>
      </c>
      <c r="G31" s="1210">
        <f>IF(E31=0,0,E31*W31)</f>
        <v>0</v>
      </c>
      <c r="H31" s="1065">
        <v>0</v>
      </c>
      <c r="I31" s="1065">
        <v>0</v>
      </c>
      <c r="J31" s="1065">
        <v>0</v>
      </c>
      <c r="K31" s="1652"/>
      <c r="L31" s="2150"/>
      <c r="M31" s="1142"/>
      <c r="N31" s="1142"/>
      <c r="O31" s="2151"/>
      <c r="P31" s="1337"/>
      <c r="Q31" s="1227"/>
      <c r="R31" s="1151"/>
      <c r="S31" s="1293"/>
      <c r="T31" s="1152"/>
      <c r="U31" s="1293"/>
      <c r="V31" s="1293"/>
      <c r="W31" s="1293">
        <v>11</v>
      </c>
      <c r="X31" s="1232"/>
      <c r="Y31" s="1295"/>
      <c r="Z31" s="1246"/>
      <c r="AA31" s="1232"/>
      <c r="AB31" s="1293"/>
      <c r="AC31" s="1249"/>
    </row>
    <row r="32" spans="1:29" ht="30" customHeight="1">
      <c r="A32" s="1067" t="s">
        <v>2359</v>
      </c>
      <c r="B32" s="2146"/>
      <c r="C32" s="2109" t="s">
        <v>2362</v>
      </c>
      <c r="D32" s="2234" t="s">
        <v>2358</v>
      </c>
      <c r="E32" s="1064">
        <v>0</v>
      </c>
      <c r="F32" s="1615" t="s">
        <v>1883</v>
      </c>
      <c r="G32" s="1210">
        <f>IF(E32=0,0,E32*U32)</f>
        <v>0</v>
      </c>
      <c r="H32" s="1065">
        <v>0</v>
      </c>
      <c r="I32" s="1065">
        <v>0</v>
      </c>
      <c r="J32" s="1065">
        <v>0</v>
      </c>
      <c r="K32" s="1652"/>
      <c r="L32" s="2150"/>
      <c r="M32" s="1142"/>
      <c r="N32" s="1142"/>
      <c r="O32" s="2151"/>
      <c r="P32" s="1337"/>
      <c r="Q32" s="1227"/>
      <c r="R32" s="1151"/>
      <c r="S32" s="1293"/>
      <c r="T32" s="1152"/>
      <c r="U32" s="1293">
        <v>14</v>
      </c>
      <c r="V32" s="1293"/>
      <c r="W32" s="1293"/>
      <c r="X32" s="1232"/>
      <c r="Y32" s="1295"/>
      <c r="Z32" s="1246"/>
      <c r="AA32" s="1232"/>
      <c r="AB32" s="1293"/>
      <c r="AC32" s="1249"/>
    </row>
    <row r="33" spans="1:29" ht="30" customHeight="1">
      <c r="A33" s="1067" t="s">
        <v>2360</v>
      </c>
      <c r="B33" s="2146"/>
      <c r="C33" s="2110"/>
      <c r="D33" s="2260"/>
      <c r="E33" s="1064">
        <v>0</v>
      </c>
      <c r="F33" s="1615" t="s">
        <v>1833</v>
      </c>
      <c r="G33" s="1210">
        <f>IF(E33=0,0,E33*V33)</f>
        <v>0</v>
      </c>
      <c r="H33" s="1065">
        <v>0</v>
      </c>
      <c r="I33" s="1065">
        <v>0</v>
      </c>
      <c r="J33" s="1065">
        <v>0</v>
      </c>
      <c r="K33" s="1652"/>
      <c r="L33" s="2150"/>
      <c r="M33" s="1142"/>
      <c r="N33" s="1142"/>
      <c r="O33" s="2151"/>
      <c r="P33" s="1337"/>
      <c r="Q33" s="1227"/>
      <c r="R33" s="1151"/>
      <c r="S33" s="1293"/>
      <c r="T33" s="1152"/>
      <c r="U33" s="1293"/>
      <c r="V33" s="1293">
        <v>24</v>
      </c>
      <c r="W33" s="1293"/>
      <c r="X33" s="1232"/>
      <c r="Y33" s="1295"/>
      <c r="Z33" s="1246"/>
      <c r="AA33" s="1232"/>
      <c r="AB33" s="1293"/>
      <c r="AC33" s="1249"/>
    </row>
    <row r="34" spans="1:29" ht="30" customHeight="1">
      <c r="A34" s="1067" t="s">
        <v>2361</v>
      </c>
      <c r="B34" s="2147"/>
      <c r="C34" s="2110"/>
      <c r="D34" s="2235"/>
      <c r="E34" s="1064">
        <v>0</v>
      </c>
      <c r="F34" s="1615" t="s">
        <v>1834</v>
      </c>
      <c r="G34" s="1210">
        <f>IF(E34=0,0,E34*W34)</f>
        <v>0</v>
      </c>
      <c r="H34" s="1065">
        <v>0</v>
      </c>
      <c r="I34" s="1065">
        <v>0</v>
      </c>
      <c r="J34" s="1065">
        <v>0</v>
      </c>
      <c r="K34" s="1652"/>
      <c r="L34" s="2150"/>
      <c r="M34" s="1142"/>
      <c r="N34" s="1142"/>
      <c r="O34" s="2151"/>
      <c r="P34" s="1337"/>
      <c r="Q34" s="1227"/>
      <c r="R34" s="1151"/>
      <c r="S34" s="1293"/>
      <c r="T34" s="1152"/>
      <c r="U34" s="1293"/>
      <c r="V34" s="1293"/>
      <c r="W34" s="1293">
        <v>34</v>
      </c>
      <c r="X34" s="1232"/>
      <c r="Y34" s="1295"/>
      <c r="Z34" s="1246"/>
      <c r="AA34" s="1232"/>
      <c r="AB34" s="1293"/>
      <c r="AC34" s="1249"/>
    </row>
    <row r="35" spans="1:29" ht="30" customHeight="1">
      <c r="A35" s="1067" t="s">
        <v>2363</v>
      </c>
      <c r="B35" s="2152" t="s">
        <v>1467</v>
      </c>
      <c r="C35" s="2109" t="s">
        <v>2366</v>
      </c>
      <c r="D35" s="2234" t="s">
        <v>2367</v>
      </c>
      <c r="E35" s="1616">
        <v>0</v>
      </c>
      <c r="F35" s="1615" t="s">
        <v>1883</v>
      </c>
      <c r="G35" s="1210">
        <f>ROUNDUP(IF(E35=0,0,E35*U35),0)</f>
        <v>0</v>
      </c>
      <c r="H35" s="1065">
        <v>0</v>
      </c>
      <c r="I35" s="1065">
        <v>0</v>
      </c>
      <c r="J35" s="1065">
        <v>0</v>
      </c>
      <c r="K35" s="1652"/>
      <c r="L35" s="2150"/>
      <c r="M35" s="1142"/>
      <c r="N35" s="1142"/>
      <c r="O35" s="2151" t="s">
        <v>1467</v>
      </c>
      <c r="P35" s="1337"/>
      <c r="Q35" s="1227"/>
      <c r="R35" s="1151"/>
      <c r="S35" s="1293"/>
      <c r="T35" s="1152"/>
      <c r="U35" s="1293">
        <v>14</v>
      </c>
      <c r="V35" s="1293"/>
      <c r="W35" s="1293"/>
      <c r="X35" s="1232"/>
      <c r="Y35" s="1295"/>
      <c r="Z35" s="1246"/>
      <c r="AA35" s="1232"/>
      <c r="AB35" s="1293"/>
      <c r="AC35" s="1249"/>
    </row>
    <row r="36" spans="1:29" ht="30" customHeight="1">
      <c r="A36" s="1067" t="s">
        <v>2364</v>
      </c>
      <c r="B36" s="2146"/>
      <c r="C36" s="2110"/>
      <c r="D36" s="2260"/>
      <c r="E36" s="1616">
        <v>0</v>
      </c>
      <c r="F36" s="1615" t="s">
        <v>1833</v>
      </c>
      <c r="G36" s="1210">
        <f>ROUNDUP(IF(E36=0,0,E36*V36),0)</f>
        <v>0</v>
      </c>
      <c r="H36" s="1065">
        <v>0</v>
      </c>
      <c r="I36" s="1065">
        <v>0</v>
      </c>
      <c r="J36" s="1065">
        <v>0</v>
      </c>
      <c r="K36" s="1652"/>
      <c r="L36" s="2150"/>
      <c r="M36" s="1142"/>
      <c r="N36" s="1142"/>
      <c r="O36" s="2151"/>
      <c r="P36" s="1337"/>
      <c r="Q36" s="1227"/>
      <c r="R36" s="1151"/>
      <c r="S36" s="1293"/>
      <c r="T36" s="1152"/>
      <c r="U36" s="1293"/>
      <c r="V36" s="1293">
        <v>20</v>
      </c>
      <c r="W36" s="1293"/>
      <c r="X36" s="1232"/>
      <c r="Y36" s="1295"/>
      <c r="Z36" s="1246"/>
      <c r="AA36" s="1232"/>
      <c r="AB36" s="1293"/>
      <c r="AC36" s="1249"/>
    </row>
    <row r="37" spans="1:29" ht="30" customHeight="1">
      <c r="A37" s="1067" t="s">
        <v>2365</v>
      </c>
      <c r="B37" s="2146"/>
      <c r="C37" s="2110"/>
      <c r="D37" s="2235"/>
      <c r="E37" s="1616">
        <v>0</v>
      </c>
      <c r="F37" s="1615" t="s">
        <v>1834</v>
      </c>
      <c r="G37" s="1210">
        <f>ROUNDUP(IF(E37=0,0,E37*W37),0)</f>
        <v>0</v>
      </c>
      <c r="H37" s="1065">
        <v>0</v>
      </c>
      <c r="I37" s="1065">
        <v>0</v>
      </c>
      <c r="J37" s="1065">
        <v>0</v>
      </c>
      <c r="K37" s="1652"/>
      <c r="L37" s="2150"/>
      <c r="M37" s="1142"/>
      <c r="N37" s="1142"/>
      <c r="O37" s="2151"/>
      <c r="P37" s="1337"/>
      <c r="Q37" s="1227"/>
      <c r="R37" s="1151"/>
      <c r="S37" s="1293"/>
      <c r="T37" s="1152"/>
      <c r="U37" s="1293"/>
      <c r="V37" s="1293"/>
      <c r="W37" s="1293">
        <v>26</v>
      </c>
      <c r="X37" s="1232"/>
      <c r="Y37" s="1295"/>
      <c r="Z37" s="1246"/>
      <c r="AA37" s="1232"/>
      <c r="AB37" s="1293"/>
      <c r="AC37" s="1249"/>
    </row>
    <row r="38" spans="1:29" ht="30" customHeight="1">
      <c r="A38" s="1067" t="s">
        <v>2368</v>
      </c>
      <c r="B38" s="2146"/>
      <c r="C38" s="2111"/>
      <c r="D38" s="1615" t="s">
        <v>2371</v>
      </c>
      <c r="E38" s="1064">
        <v>0</v>
      </c>
      <c r="F38" s="1129"/>
      <c r="G38" s="1611">
        <f>E38*X38</f>
        <v>0</v>
      </c>
      <c r="H38" s="1065">
        <v>0</v>
      </c>
      <c r="I38" s="1065">
        <v>0</v>
      </c>
      <c r="J38" s="1065">
        <v>0</v>
      </c>
      <c r="K38" s="1652"/>
      <c r="L38" s="2150"/>
      <c r="M38" s="1142"/>
      <c r="N38" s="1142"/>
      <c r="O38" s="2151"/>
      <c r="P38" s="1337"/>
      <c r="Q38" s="1227"/>
      <c r="R38" s="1151"/>
      <c r="S38" s="1293"/>
      <c r="T38" s="1152"/>
      <c r="U38" s="1293"/>
      <c r="V38" s="1293"/>
      <c r="W38" s="1293"/>
      <c r="X38" s="1232">
        <v>2</v>
      </c>
      <c r="Y38" s="1295"/>
      <c r="Z38" s="1246"/>
      <c r="AA38" s="1232"/>
      <c r="AB38" s="1293"/>
      <c r="AC38" s="1249"/>
    </row>
    <row r="39" spans="1:29" ht="30" customHeight="1">
      <c r="A39" s="1067" t="s">
        <v>2369</v>
      </c>
      <c r="B39" s="2152" t="s">
        <v>1468</v>
      </c>
      <c r="C39" s="2109" t="s">
        <v>2373</v>
      </c>
      <c r="D39" s="2234" t="s">
        <v>1867</v>
      </c>
      <c r="E39" s="1064">
        <v>0</v>
      </c>
      <c r="F39" s="1615" t="s">
        <v>1883</v>
      </c>
      <c r="G39" s="1210">
        <f>IF(E39=0,0,E39*U39)</f>
        <v>0</v>
      </c>
      <c r="H39" s="1065">
        <v>0</v>
      </c>
      <c r="I39" s="1065">
        <v>0</v>
      </c>
      <c r="J39" s="1065">
        <v>0</v>
      </c>
      <c r="K39" s="1652"/>
      <c r="L39" s="2150"/>
      <c r="M39" s="1142"/>
      <c r="N39" s="1142"/>
      <c r="O39" s="2151" t="s">
        <v>1468</v>
      </c>
      <c r="P39" s="1337"/>
      <c r="Q39" s="1227"/>
      <c r="R39" s="1151"/>
      <c r="S39" s="1293"/>
      <c r="T39" s="1152"/>
      <c r="U39" s="1293">
        <v>50</v>
      </c>
      <c r="V39" s="1293"/>
      <c r="W39" s="1293"/>
      <c r="X39" s="1232"/>
      <c r="Y39" s="1295"/>
      <c r="Z39" s="1246"/>
      <c r="AA39" s="1232"/>
      <c r="AB39" s="1293"/>
      <c r="AC39" s="1249"/>
    </row>
    <row r="40" spans="1:29" ht="30" customHeight="1">
      <c r="A40" s="1067" t="s">
        <v>2370</v>
      </c>
      <c r="B40" s="2146"/>
      <c r="C40" s="2110"/>
      <c r="D40" s="2260"/>
      <c r="E40" s="1064">
        <v>0</v>
      </c>
      <c r="F40" s="1615" t="s">
        <v>1833</v>
      </c>
      <c r="G40" s="1210">
        <f>IF(E40=0,0,E40*V40)</f>
        <v>0</v>
      </c>
      <c r="H40" s="1065">
        <v>0</v>
      </c>
      <c r="I40" s="1065">
        <v>0</v>
      </c>
      <c r="J40" s="1065">
        <v>0</v>
      </c>
      <c r="K40" s="1652"/>
      <c r="L40" s="2150"/>
      <c r="M40" s="1142"/>
      <c r="N40" s="1142"/>
      <c r="O40" s="2151"/>
      <c r="P40" s="1337"/>
      <c r="Q40" s="1227"/>
      <c r="R40" s="1151"/>
      <c r="S40" s="1293"/>
      <c r="T40" s="1152"/>
      <c r="U40" s="1293"/>
      <c r="V40" s="1293">
        <v>75</v>
      </c>
      <c r="W40" s="1293"/>
      <c r="X40" s="1232"/>
      <c r="Y40" s="1295"/>
      <c r="Z40" s="1246"/>
      <c r="AA40" s="1232"/>
      <c r="AB40" s="1293"/>
      <c r="AC40" s="1249"/>
    </row>
    <row r="41" spans="1:29" ht="30" customHeight="1">
      <c r="A41" s="1067" t="s">
        <v>2372</v>
      </c>
      <c r="B41" s="2146"/>
      <c r="C41" s="2110"/>
      <c r="D41" s="2235"/>
      <c r="E41" s="1064">
        <v>0</v>
      </c>
      <c r="F41" s="1615" t="s">
        <v>1834</v>
      </c>
      <c r="G41" s="1210">
        <f>IF(E41=0,0,E41*W41)</f>
        <v>0</v>
      </c>
      <c r="H41" s="1065">
        <v>0</v>
      </c>
      <c r="I41" s="1065">
        <v>0</v>
      </c>
      <c r="J41" s="1065">
        <v>0</v>
      </c>
      <c r="K41" s="1652"/>
      <c r="L41" s="2150"/>
      <c r="M41" s="1142"/>
      <c r="N41" s="1142"/>
      <c r="O41" s="2151"/>
      <c r="P41" s="1337"/>
      <c r="Q41" s="1227"/>
      <c r="R41" s="1151"/>
      <c r="S41" s="1293"/>
      <c r="T41" s="1152"/>
      <c r="U41" s="1293"/>
      <c r="V41" s="1293"/>
      <c r="W41" s="1293">
        <v>100</v>
      </c>
      <c r="X41" s="1232"/>
      <c r="Y41" s="1295"/>
      <c r="Z41" s="1246"/>
      <c r="AA41" s="1232"/>
      <c r="AB41" s="1293"/>
      <c r="AC41" s="1249"/>
    </row>
    <row r="42" spans="1:29" ht="30" customHeight="1">
      <c r="A42" s="1067" t="s">
        <v>2374</v>
      </c>
      <c r="B42" s="2147"/>
      <c r="C42" s="2110"/>
      <c r="D42" s="1615" t="s">
        <v>2568</v>
      </c>
      <c r="E42" s="1064">
        <v>0</v>
      </c>
      <c r="F42" s="1602"/>
      <c r="G42" s="1210">
        <f>IF(E42=0,0,E42*IF(F42="Simple",U42,IF(F42="Standard",V42,IF(F42="Complex",W42,0))))</f>
        <v>0</v>
      </c>
      <c r="H42" s="1065">
        <v>0</v>
      </c>
      <c r="I42" s="1065">
        <v>0</v>
      </c>
      <c r="J42" s="1065">
        <v>0</v>
      </c>
      <c r="K42" s="1652"/>
      <c r="L42" s="2150"/>
      <c r="M42" s="1142"/>
      <c r="N42" s="1142"/>
      <c r="O42" s="2151"/>
      <c r="P42" s="1337"/>
      <c r="Q42" s="1227"/>
      <c r="R42" s="1151"/>
      <c r="S42" s="1293"/>
      <c r="T42" s="1152"/>
      <c r="U42" s="1293">
        <v>12</v>
      </c>
      <c r="V42" s="1293">
        <v>16</v>
      </c>
      <c r="W42" s="1293">
        <v>20</v>
      </c>
      <c r="X42" s="1232"/>
      <c r="Y42" s="1295"/>
      <c r="Z42" s="1246"/>
      <c r="AA42" s="1232"/>
      <c r="AB42" s="1293"/>
      <c r="AC42" s="1249"/>
    </row>
    <row r="43" spans="1:29" ht="30" customHeight="1">
      <c r="A43" s="1067" t="s">
        <v>2375</v>
      </c>
      <c r="B43" s="1601" t="s">
        <v>1469</v>
      </c>
      <c r="C43" s="351" t="s">
        <v>1480</v>
      </c>
      <c r="D43" s="1615" t="s">
        <v>2334</v>
      </c>
      <c r="E43" s="1064">
        <v>0</v>
      </c>
      <c r="F43" s="1602"/>
      <c r="G43" s="1210">
        <f>IF(E43=0,0,E43*IF(F43="Simple",U43,IF(F43="Standard",V43,IF(F43="Complex",W43,0))))</f>
        <v>0</v>
      </c>
      <c r="H43" s="1065">
        <v>0</v>
      </c>
      <c r="I43" s="1065">
        <v>0</v>
      </c>
      <c r="J43" s="1065">
        <v>0</v>
      </c>
      <c r="K43" s="1652"/>
      <c r="L43" s="2150"/>
      <c r="M43" s="1142"/>
      <c r="N43" s="1142"/>
      <c r="O43" s="1651" t="s">
        <v>1469</v>
      </c>
      <c r="P43" s="1337"/>
      <c r="Q43" s="1227"/>
      <c r="R43" s="1151"/>
      <c r="S43" s="1293"/>
      <c r="T43" s="1152"/>
      <c r="U43" s="1293">
        <v>36</v>
      </c>
      <c r="V43" s="1293">
        <v>52</v>
      </c>
      <c r="W43" s="1293">
        <v>68</v>
      </c>
      <c r="X43" s="1232"/>
      <c r="Y43" s="1295"/>
      <c r="Z43" s="1246"/>
      <c r="AA43" s="1232"/>
      <c r="AB43" s="1293"/>
      <c r="AC43" s="1249"/>
    </row>
    <row r="44" spans="1:29" ht="30" customHeight="1">
      <c r="A44" s="1067" t="s">
        <v>2376</v>
      </c>
      <c r="B44" s="2152" t="s">
        <v>1470</v>
      </c>
      <c r="C44" s="2109" t="s">
        <v>143</v>
      </c>
      <c r="D44" s="1210" t="s">
        <v>1775</v>
      </c>
      <c r="E44" s="1064">
        <v>0</v>
      </c>
      <c r="F44" s="1602"/>
      <c r="G44" s="1210">
        <f>ROUNDUP(IF(E44=0,0,(E44*IF(F44="Simple",U44,IF(F44="Standard",V44,IF(F44="Complex",W44,0))))),0)</f>
        <v>0</v>
      </c>
      <c r="H44" s="1065">
        <v>0</v>
      </c>
      <c r="I44" s="1065">
        <v>0</v>
      </c>
      <c r="J44" s="1065">
        <v>0</v>
      </c>
      <c r="K44" s="1652"/>
      <c r="L44" s="2150"/>
      <c r="M44" s="1142"/>
      <c r="N44" s="1142"/>
      <c r="O44" s="2151" t="s">
        <v>1470</v>
      </c>
      <c r="P44" s="1337"/>
      <c r="Q44" s="1227"/>
      <c r="R44" s="1151"/>
      <c r="S44" s="1293"/>
      <c r="T44" s="1152"/>
      <c r="U44" s="1293">
        <v>3</v>
      </c>
      <c r="V44" s="1293">
        <v>3.5</v>
      </c>
      <c r="W44" s="1293">
        <v>4</v>
      </c>
      <c r="X44" s="1232"/>
      <c r="Y44" s="1295"/>
      <c r="Z44" s="1246"/>
      <c r="AA44" s="1232"/>
      <c r="AB44" s="1293"/>
      <c r="AC44" s="1249"/>
    </row>
    <row r="45" spans="1:29" ht="30" customHeight="1">
      <c r="A45" s="1067" t="s">
        <v>2377</v>
      </c>
      <c r="B45" s="2147"/>
      <c r="C45" s="2111"/>
      <c r="D45" s="1615" t="s">
        <v>2380</v>
      </c>
      <c r="E45" s="1064">
        <v>0</v>
      </c>
      <c r="F45" s="1129"/>
      <c r="G45" s="1611">
        <f>E45*X45</f>
        <v>0</v>
      </c>
      <c r="H45" s="1065">
        <v>0</v>
      </c>
      <c r="I45" s="1065">
        <v>0</v>
      </c>
      <c r="J45" s="1065">
        <v>0</v>
      </c>
      <c r="K45" s="1652"/>
      <c r="L45" s="2150"/>
      <c r="M45" s="1142"/>
      <c r="N45" s="1142"/>
      <c r="O45" s="2151"/>
      <c r="P45" s="1337"/>
      <c r="Q45" s="1227"/>
      <c r="R45" s="1151"/>
      <c r="S45" s="1293"/>
      <c r="T45" s="1152"/>
      <c r="U45" s="1293"/>
      <c r="V45" s="1293"/>
      <c r="W45" s="1293"/>
      <c r="X45" s="1232">
        <v>3</v>
      </c>
      <c r="Y45" s="1295"/>
      <c r="Z45" s="1246"/>
      <c r="AA45" s="1232"/>
      <c r="AB45" s="1293"/>
      <c r="AC45" s="1249"/>
    </row>
    <row r="46" spans="1:29" ht="30" customHeight="1">
      <c r="A46" s="1067" t="s">
        <v>2378</v>
      </c>
      <c r="B46" s="1601" t="s">
        <v>1471</v>
      </c>
      <c r="C46" s="1613" t="s">
        <v>144</v>
      </c>
      <c r="D46" s="1615" t="s">
        <v>2382</v>
      </c>
      <c r="E46" s="1064">
        <v>0</v>
      </c>
      <c r="F46" s="1602"/>
      <c r="G46" s="1210">
        <f>ROUNDUP(IF(E46=0,0,X46+(E46*IF(F46="Simple",U46,IF(F46="Standard",V46,IF(F46="Complex",W46,0))))),0)</f>
        <v>0</v>
      </c>
      <c r="H46" s="1065">
        <v>0</v>
      </c>
      <c r="I46" s="1065">
        <v>0</v>
      </c>
      <c r="J46" s="1065">
        <v>0</v>
      </c>
      <c r="K46" s="1652"/>
      <c r="L46" s="2150"/>
      <c r="M46" s="1142"/>
      <c r="N46" s="1142"/>
      <c r="O46" s="1651" t="s">
        <v>1471</v>
      </c>
      <c r="P46" s="1337"/>
      <c r="Q46" s="1227"/>
      <c r="R46" s="1151"/>
      <c r="S46" s="1293"/>
      <c r="T46" s="1152"/>
      <c r="U46" s="1293">
        <v>0.15</v>
      </c>
      <c r="V46" s="1293">
        <v>0.2</v>
      </c>
      <c r="W46" s="1293">
        <v>0.25</v>
      </c>
      <c r="X46" s="1232">
        <v>2</v>
      </c>
      <c r="Y46" s="1295"/>
      <c r="Z46" s="1246"/>
      <c r="AA46" s="1232"/>
      <c r="AB46" s="1293"/>
      <c r="AC46" s="1249"/>
    </row>
    <row r="47" spans="1:29" ht="30" customHeight="1">
      <c r="A47" s="1067" t="s">
        <v>2379</v>
      </c>
      <c r="B47" s="1126" t="s">
        <v>1812</v>
      </c>
      <c r="C47" s="1613" t="s">
        <v>2574</v>
      </c>
      <c r="D47" s="1615" t="s">
        <v>2384</v>
      </c>
      <c r="E47" s="1064">
        <v>0</v>
      </c>
      <c r="F47" s="1602"/>
      <c r="G47" s="1210">
        <f>ROUNDUP(IF(E47=0,0,E47*IF(F47="Simple",U47,IF(F47="Standard",V47,IF(F47="Complex",W47,0)))),0)</f>
        <v>0</v>
      </c>
      <c r="H47" s="1065">
        <v>0</v>
      </c>
      <c r="I47" s="1065">
        <v>0</v>
      </c>
      <c r="J47" s="1065">
        <v>0</v>
      </c>
      <c r="K47" s="1652"/>
      <c r="L47" s="2150"/>
      <c r="M47" s="1142"/>
      <c r="N47" s="1142"/>
      <c r="O47" s="1651" t="s">
        <v>1812</v>
      </c>
      <c r="P47" s="1337"/>
      <c r="Q47" s="1227"/>
      <c r="R47" s="1151"/>
      <c r="S47" s="1293"/>
      <c r="T47" s="1152"/>
      <c r="U47" s="1293">
        <v>2</v>
      </c>
      <c r="V47" s="1293">
        <v>2.5</v>
      </c>
      <c r="W47" s="1293">
        <v>3</v>
      </c>
      <c r="X47" s="1232"/>
      <c r="Y47" s="1295"/>
      <c r="Z47" s="1246"/>
      <c r="AA47" s="1232"/>
      <c r="AB47" s="1293"/>
      <c r="AC47" s="1249"/>
    </row>
    <row r="48" spans="1:29" ht="30" customHeight="1">
      <c r="A48" s="1067" t="s">
        <v>2381</v>
      </c>
      <c r="B48" s="2146" t="s">
        <v>1472</v>
      </c>
      <c r="C48" s="1613" t="s">
        <v>2386</v>
      </c>
      <c r="D48" s="1615" t="s">
        <v>2387</v>
      </c>
      <c r="E48" s="1064">
        <v>0</v>
      </c>
      <c r="F48" s="1602"/>
      <c r="G48" s="1210">
        <f>IF(E48=0,0,E48*IF(F48="Simple",U48,IF(F48="Standard",V48,IF(F48="Complex",W48,0))))</f>
        <v>0</v>
      </c>
      <c r="H48" s="1065">
        <v>0</v>
      </c>
      <c r="I48" s="1065">
        <v>0</v>
      </c>
      <c r="J48" s="1065">
        <v>0</v>
      </c>
      <c r="K48" s="1652"/>
      <c r="L48" s="2150"/>
      <c r="M48" s="1142"/>
      <c r="N48" s="1142"/>
      <c r="O48" s="2151" t="s">
        <v>1472</v>
      </c>
      <c r="P48" s="1337"/>
      <c r="Q48" s="1227"/>
      <c r="R48" s="1151"/>
      <c r="S48" s="1293"/>
      <c r="T48" s="1152"/>
      <c r="U48" s="1293">
        <v>12</v>
      </c>
      <c r="V48" s="1293">
        <v>16</v>
      </c>
      <c r="W48" s="1293">
        <v>20</v>
      </c>
      <c r="X48" s="1232"/>
      <c r="Y48" s="1295"/>
      <c r="Z48" s="1246"/>
      <c r="AA48" s="1232"/>
      <c r="AB48" s="1293"/>
      <c r="AC48" s="1249"/>
    </row>
    <row r="49" spans="1:29" ht="30" customHeight="1">
      <c r="A49" s="1067" t="s">
        <v>2383</v>
      </c>
      <c r="B49" s="2147"/>
      <c r="C49" s="1613" t="s">
        <v>2590</v>
      </c>
      <c r="D49" s="1615" t="s">
        <v>2387</v>
      </c>
      <c r="E49" s="1064">
        <v>0</v>
      </c>
      <c r="F49" s="1602"/>
      <c r="G49" s="1210">
        <f>IF(E49=0,0,E49*IF(F49="Simple",U49,IF(F49="Standard",V49,IF(F49="Complex",W49,0))))</f>
        <v>0</v>
      </c>
      <c r="H49" s="1065">
        <v>0</v>
      </c>
      <c r="I49" s="1065">
        <v>0</v>
      </c>
      <c r="J49" s="1065">
        <v>0</v>
      </c>
      <c r="K49" s="1652"/>
      <c r="L49" s="2150"/>
      <c r="M49" s="1142"/>
      <c r="N49" s="1142"/>
      <c r="O49" s="2151"/>
      <c r="P49" s="1337"/>
      <c r="Q49" s="1227"/>
      <c r="R49" s="1151"/>
      <c r="S49" s="1293"/>
      <c r="T49" s="1152"/>
      <c r="U49" s="1293">
        <v>2</v>
      </c>
      <c r="V49" s="1293">
        <v>3</v>
      </c>
      <c r="W49" s="1293">
        <v>4</v>
      </c>
      <c r="X49" s="1232"/>
      <c r="Y49" s="1295"/>
      <c r="Z49" s="1246"/>
      <c r="AA49" s="1232"/>
      <c r="AB49" s="1293"/>
      <c r="AC49" s="1249"/>
    </row>
    <row r="50" spans="1:29" ht="30" customHeight="1">
      <c r="A50" s="1067" t="s">
        <v>2385</v>
      </c>
      <c r="B50" s="1601" t="s">
        <v>1473</v>
      </c>
      <c r="C50" s="1613" t="s">
        <v>2390</v>
      </c>
      <c r="D50" s="1615" t="s">
        <v>2391</v>
      </c>
      <c r="E50" s="1795">
        <v>0</v>
      </c>
      <c r="F50" s="1602"/>
      <c r="G50" s="1210">
        <f>IF(E50=0,0,E50*IF(F50="Simple",U50,IF(F50="Standard",V50,IF(F50="Complex",W50,0))))</f>
        <v>0</v>
      </c>
      <c r="H50" s="1065">
        <v>0</v>
      </c>
      <c r="I50" s="1065">
        <v>0</v>
      </c>
      <c r="J50" s="1065">
        <v>0</v>
      </c>
      <c r="K50" s="1652"/>
      <c r="L50" s="2150"/>
      <c r="M50" s="1142"/>
      <c r="N50" s="1142"/>
      <c r="O50" s="1651" t="s">
        <v>1473</v>
      </c>
      <c r="P50" s="1337"/>
      <c r="Q50" s="1227"/>
      <c r="R50" s="1151"/>
      <c r="S50" s="1293"/>
      <c r="T50" s="1152"/>
      <c r="U50" s="1293">
        <v>8</v>
      </c>
      <c r="V50" s="1293">
        <v>10</v>
      </c>
      <c r="W50" s="1293">
        <v>12</v>
      </c>
      <c r="X50" s="1232"/>
      <c r="Y50" s="1295"/>
      <c r="Z50" s="1246"/>
      <c r="AA50" s="1232"/>
      <c r="AB50" s="1293"/>
      <c r="AC50" s="1249"/>
    </row>
    <row r="51" spans="1:29" ht="30" customHeight="1">
      <c r="A51" s="1067" t="s">
        <v>2388</v>
      </c>
      <c r="B51" s="1601" t="s">
        <v>1474</v>
      </c>
      <c r="C51" s="1613" t="s">
        <v>2393</v>
      </c>
      <c r="D51" s="1615" t="s">
        <v>1830</v>
      </c>
      <c r="E51" s="1105">
        <v>0</v>
      </c>
      <c r="F51" s="1602"/>
      <c r="G51" s="1210">
        <f>ROUNDUP((ROUND(E51,2))*(IF(F51="Simple",U51,(IF(F51="Standard",V51,(IF(F51="Complex",W51,0)))))),0)</f>
        <v>0</v>
      </c>
      <c r="H51" s="1065">
        <v>0</v>
      </c>
      <c r="I51" s="1065">
        <v>0</v>
      </c>
      <c r="J51" s="1065">
        <v>0</v>
      </c>
      <c r="K51" s="1652"/>
      <c r="L51" s="2150"/>
      <c r="M51" s="1142"/>
      <c r="N51" s="1142"/>
      <c r="O51" s="1651" t="s">
        <v>1474</v>
      </c>
      <c r="P51" s="1337"/>
      <c r="Q51" s="1227"/>
      <c r="R51" s="1151"/>
      <c r="S51" s="1293"/>
      <c r="T51" s="1152"/>
      <c r="U51" s="1293">
        <v>2</v>
      </c>
      <c r="V51" s="1293">
        <v>4</v>
      </c>
      <c r="W51" s="1293">
        <v>6</v>
      </c>
      <c r="X51" s="1232"/>
      <c r="Y51" s="1295"/>
      <c r="Z51" s="1246"/>
      <c r="AA51" s="1232"/>
      <c r="AB51" s="1293"/>
      <c r="AC51" s="1249"/>
    </row>
    <row r="52" spans="1:29" ht="30" customHeight="1">
      <c r="A52" s="1067" t="s">
        <v>2389</v>
      </c>
      <c r="B52" s="1126" t="s">
        <v>1475</v>
      </c>
      <c r="C52" s="351" t="s">
        <v>2395</v>
      </c>
      <c r="D52" s="1210" t="s">
        <v>85</v>
      </c>
      <c r="E52" s="1129"/>
      <c r="F52" s="1129"/>
      <c r="G52" s="1065">
        <v>0</v>
      </c>
      <c r="H52" s="1065">
        <v>0</v>
      </c>
      <c r="I52" s="1065">
        <v>0</v>
      </c>
      <c r="J52" s="1065">
        <v>0</v>
      </c>
      <c r="K52" s="1652"/>
      <c r="L52" s="2150"/>
      <c r="M52" s="1142"/>
      <c r="N52" s="1142"/>
      <c r="O52" s="1651" t="s">
        <v>1475</v>
      </c>
      <c r="P52" s="1337"/>
      <c r="Q52" s="1227"/>
      <c r="R52" s="1151"/>
      <c r="S52" s="1293"/>
      <c r="T52" s="1152"/>
      <c r="U52" s="1293"/>
      <c r="V52" s="1293"/>
      <c r="W52" s="1293"/>
      <c r="X52" s="1232"/>
      <c r="Y52" s="1295"/>
      <c r="Z52" s="1246"/>
      <c r="AA52" s="1232"/>
      <c r="AB52" s="1293"/>
      <c r="AC52" s="1249"/>
    </row>
    <row r="53" spans="1:29" ht="30" customHeight="1">
      <c r="A53" s="1067" t="s">
        <v>2392</v>
      </c>
      <c r="B53" s="2152" t="s">
        <v>1450</v>
      </c>
      <c r="C53" s="2109" t="s">
        <v>370</v>
      </c>
      <c r="D53" s="1210" t="s">
        <v>2031</v>
      </c>
      <c r="E53" s="1629">
        <v>0</v>
      </c>
      <c r="F53" s="1602"/>
      <c r="G53" s="1210">
        <f>IF(E53=0,0,IF(F53="Simple",U53,IF(F53="Standard",V53,IF(F53="Complex",W53,0))))</f>
        <v>0</v>
      </c>
      <c r="H53" s="1065">
        <v>0</v>
      </c>
      <c r="I53" s="1065">
        <v>0</v>
      </c>
      <c r="J53" s="1065">
        <v>0</v>
      </c>
      <c r="K53" s="1652"/>
      <c r="L53" s="2150"/>
      <c r="M53" s="1142"/>
      <c r="N53" s="1142"/>
      <c r="O53" s="2151" t="s">
        <v>1450</v>
      </c>
      <c r="P53" s="1337"/>
      <c r="Q53" s="1227"/>
      <c r="R53" s="1151"/>
      <c r="S53" s="1293"/>
      <c r="T53" s="1152"/>
      <c r="U53" s="1293">
        <v>8</v>
      </c>
      <c r="V53" s="1293">
        <v>40</v>
      </c>
      <c r="W53" s="1293">
        <v>80</v>
      </c>
      <c r="X53" s="1232"/>
      <c r="Y53" s="1295"/>
      <c r="Z53" s="1246"/>
      <c r="AA53" s="1232"/>
      <c r="AB53" s="1293"/>
      <c r="AC53" s="1249"/>
    </row>
    <row r="54" spans="1:29" ht="30" customHeight="1">
      <c r="A54" s="1067" t="s">
        <v>2394</v>
      </c>
      <c r="B54" s="2147"/>
      <c r="C54" s="2111"/>
      <c r="D54" s="1210" t="s">
        <v>889</v>
      </c>
      <c r="E54" s="1064">
        <v>0</v>
      </c>
      <c r="F54" s="1129"/>
      <c r="G54" s="1138">
        <f>IF(E54=0,0,E54*X54)</f>
        <v>0</v>
      </c>
      <c r="H54" s="1065">
        <v>0</v>
      </c>
      <c r="I54" s="1065">
        <v>0</v>
      </c>
      <c r="J54" s="1065">
        <v>0</v>
      </c>
      <c r="K54" s="1652"/>
      <c r="L54" s="2150"/>
      <c r="M54" s="1142"/>
      <c r="N54" s="1142"/>
      <c r="O54" s="2151"/>
      <c r="P54" s="1337"/>
      <c r="Q54" s="1227"/>
      <c r="R54" s="1151"/>
      <c r="S54" s="1293"/>
      <c r="T54" s="1152"/>
      <c r="U54" s="1293"/>
      <c r="V54" s="1293"/>
      <c r="W54" s="1293"/>
      <c r="X54" s="1232">
        <v>8</v>
      </c>
      <c r="Y54" s="1295"/>
      <c r="Z54" s="1246"/>
      <c r="AA54" s="1232"/>
      <c r="AB54" s="1293"/>
      <c r="AC54" s="1249"/>
    </row>
    <row r="55" spans="1:29" ht="30" customHeight="1">
      <c r="A55" s="1067" t="s">
        <v>2396</v>
      </c>
      <c r="B55" s="1126" t="s">
        <v>1476</v>
      </c>
      <c r="C55" s="1613" t="s">
        <v>2037</v>
      </c>
      <c r="D55" s="1210" t="s">
        <v>85</v>
      </c>
      <c r="E55" s="1193">
        <v>0</v>
      </c>
      <c r="F55" s="1602"/>
      <c r="G55" s="1210">
        <f>IF(E55=0,0,IF(F55="Simple",U55,(IF(F55="Standard",V55,(IF(F55="Complex",W55,0))))))</f>
        <v>0</v>
      </c>
      <c r="H55" s="1065">
        <v>0</v>
      </c>
      <c r="I55" s="1065">
        <v>0</v>
      </c>
      <c r="J55" s="1065">
        <v>0</v>
      </c>
      <c r="K55" s="1652"/>
      <c r="L55" s="2150"/>
      <c r="M55" s="1142"/>
      <c r="N55" s="1142"/>
      <c r="O55" s="1651" t="s">
        <v>1476</v>
      </c>
      <c r="P55" s="1337"/>
      <c r="Q55" s="1227"/>
      <c r="R55" s="1151"/>
      <c r="S55" s="1293"/>
      <c r="T55" s="1152"/>
      <c r="U55" s="1293">
        <v>20</v>
      </c>
      <c r="V55" s="1293">
        <v>30</v>
      </c>
      <c r="W55" s="1293">
        <v>40</v>
      </c>
      <c r="X55" s="1232"/>
      <c r="Y55" s="1295"/>
      <c r="Z55" s="1246"/>
      <c r="AA55" s="1232"/>
      <c r="AB55" s="1293"/>
      <c r="AC55" s="1249"/>
    </row>
    <row r="56" spans="1:29" ht="30" customHeight="1">
      <c r="A56" s="1067" t="s">
        <v>2397</v>
      </c>
      <c r="B56" s="2152" t="s">
        <v>1477</v>
      </c>
      <c r="C56" s="2109" t="s">
        <v>189</v>
      </c>
      <c r="D56" s="1210" t="s">
        <v>2235</v>
      </c>
      <c r="E56" s="1064">
        <v>0</v>
      </c>
      <c r="F56" s="1602"/>
      <c r="G56" s="1210">
        <f>IF(E56=0,0,E56*IF(F56="Simple",U56,IF(F56="Standard",V56,IF(F56="Complex",W56,0))))</f>
        <v>0</v>
      </c>
      <c r="H56" s="1193">
        <v>0</v>
      </c>
      <c r="I56" s="1193">
        <v>0</v>
      </c>
      <c r="J56" s="1193">
        <v>0</v>
      </c>
      <c r="K56" s="1652"/>
      <c r="L56" s="2150"/>
      <c r="M56" s="1142"/>
      <c r="N56" s="1142"/>
      <c r="O56" s="2151" t="s">
        <v>1477</v>
      </c>
      <c r="P56" s="1337"/>
      <c r="Q56" s="1227"/>
      <c r="R56" s="1151"/>
      <c r="S56" s="1293"/>
      <c r="T56" s="1152"/>
      <c r="U56" s="1293">
        <v>2</v>
      </c>
      <c r="V56" s="1293">
        <v>5</v>
      </c>
      <c r="W56" s="1293">
        <v>8</v>
      </c>
      <c r="X56" s="1232"/>
      <c r="Y56" s="1295"/>
      <c r="Z56" s="1246"/>
      <c r="AA56" s="1232"/>
      <c r="AB56" s="1293"/>
      <c r="AC56" s="1249"/>
    </row>
    <row r="57" spans="1:29" ht="30" customHeight="1">
      <c r="A57" s="1067" t="s">
        <v>2398</v>
      </c>
      <c r="B57" s="2147"/>
      <c r="C57" s="2111"/>
      <c r="D57" s="1210" t="s">
        <v>2237</v>
      </c>
      <c r="E57" s="1064">
        <v>0</v>
      </c>
      <c r="F57" s="1602"/>
      <c r="G57" s="1210">
        <f>IF(E57=0,0,E57*IF(F57="Simple",U57,IF(F57="Standard",V57,IF(F57="Complex",W57,0))))</f>
        <v>0</v>
      </c>
      <c r="H57" s="1193">
        <v>0</v>
      </c>
      <c r="I57" s="1193">
        <v>0</v>
      </c>
      <c r="J57" s="1193">
        <v>0</v>
      </c>
      <c r="K57" s="1796"/>
      <c r="L57" s="2150"/>
      <c r="M57" s="1142"/>
      <c r="N57" s="1142"/>
      <c r="O57" s="2151"/>
      <c r="P57" s="1337"/>
      <c r="Q57" s="1227"/>
      <c r="R57" s="1151"/>
      <c r="S57" s="1293"/>
      <c r="T57" s="1152"/>
      <c r="U57" s="1293">
        <v>2</v>
      </c>
      <c r="V57" s="1293">
        <v>4</v>
      </c>
      <c r="W57" s="1293">
        <v>6</v>
      </c>
      <c r="X57" s="1232"/>
      <c r="Y57" s="1295"/>
      <c r="Z57" s="1246"/>
      <c r="AA57" s="1232"/>
      <c r="AB57" s="1293"/>
      <c r="AC57" s="1249"/>
    </row>
    <row r="58" spans="1:29" ht="30" customHeight="1" thickBot="1">
      <c r="A58" s="1067" t="s">
        <v>2399</v>
      </c>
      <c r="B58" s="1797" t="s">
        <v>1478</v>
      </c>
      <c r="C58" s="1128" t="s">
        <v>2239</v>
      </c>
      <c r="D58" s="1071" t="s">
        <v>2240</v>
      </c>
      <c r="E58" s="1221">
        <v>0</v>
      </c>
      <c r="F58" s="1136"/>
      <c r="G58" s="1798">
        <f>IF(E58=0,0,E58*X58)</f>
        <v>0</v>
      </c>
      <c r="H58" s="1068">
        <v>0</v>
      </c>
      <c r="I58" s="1068">
        <v>0</v>
      </c>
      <c r="J58" s="1068">
        <v>0</v>
      </c>
      <c r="K58" s="1069"/>
      <c r="L58" s="2150"/>
      <c r="M58" s="1142"/>
      <c r="N58" s="1142"/>
      <c r="O58" s="1651" t="s">
        <v>1478</v>
      </c>
      <c r="P58" s="1337"/>
      <c r="Q58" s="1227"/>
      <c r="R58" s="1151"/>
      <c r="S58" s="1314"/>
      <c r="T58" s="1153"/>
      <c r="U58" s="1293"/>
      <c r="V58" s="1293"/>
      <c r="W58" s="1293"/>
      <c r="X58" s="1232">
        <v>6</v>
      </c>
      <c r="Y58" s="1293"/>
      <c r="Z58" s="1151"/>
      <c r="AA58" s="1232"/>
      <c r="AB58" s="1293"/>
      <c r="AC58" s="1152"/>
    </row>
    <row r="59" spans="1:29" ht="20.100000000000001" customHeight="1" thickBot="1">
      <c r="A59" s="1067"/>
      <c r="B59" s="2173" t="s">
        <v>84</v>
      </c>
      <c r="C59" s="2174"/>
      <c r="D59" s="2174"/>
      <c r="E59" s="2174"/>
      <c r="F59" s="2175"/>
      <c r="G59" s="1799">
        <f>SUM(G11:G58)</f>
        <v>0</v>
      </c>
      <c r="H59" s="1800">
        <f>SUM(H11:H58)</f>
        <v>0</v>
      </c>
      <c r="I59" s="1800">
        <f>SUM(I11:I58)</f>
        <v>0</v>
      </c>
      <c r="J59" s="1800">
        <f>SUM(J11:J58)</f>
        <v>0</v>
      </c>
      <c r="K59" s="1801"/>
      <c r="L59" s="2189"/>
      <c r="M59" s="1173"/>
      <c r="N59" s="1173"/>
      <c r="P59" s="1656"/>
      <c r="Q59" s="1177"/>
      <c r="R59" s="1656"/>
      <c r="S59" s="1656"/>
      <c r="T59" s="1656"/>
      <c r="U59" s="1656"/>
      <c r="V59" s="1656"/>
      <c r="W59" s="1656"/>
      <c r="X59" s="1656"/>
      <c r="Y59" s="1357"/>
      <c r="Z59" s="1656"/>
      <c r="AA59" s="1656"/>
      <c r="AB59" s="1656"/>
    </row>
    <row r="60" spans="1:29" ht="30" customHeight="1">
      <c r="A60" s="1067" t="s">
        <v>2400</v>
      </c>
      <c r="B60" s="1134" t="s">
        <v>1479</v>
      </c>
      <c r="C60" s="1125" t="s">
        <v>307</v>
      </c>
      <c r="D60" s="1070" t="s">
        <v>85</v>
      </c>
      <c r="E60" s="1212">
        <v>1</v>
      </c>
      <c r="F60" s="1347">
        <v>0.05</v>
      </c>
      <c r="G60" s="1657">
        <f>IF($E60=0,0,ROUNDUP($F60*G$59,0))</f>
        <v>0</v>
      </c>
      <c r="H60" s="1657">
        <f t="shared" ref="H60:J61" si="0">IF($E60=0,0,ROUNDUP($F60*H$59,0))</f>
        <v>0</v>
      </c>
      <c r="I60" s="1657">
        <f t="shared" si="0"/>
        <v>0</v>
      </c>
      <c r="J60" s="1900">
        <f t="shared" si="0"/>
        <v>0</v>
      </c>
      <c r="K60" s="1063"/>
      <c r="L60" s="2190"/>
      <c r="M60" s="1173"/>
      <c r="N60" s="1173"/>
      <c r="O60" s="1253" t="s">
        <v>1479</v>
      </c>
      <c r="P60" s="1337"/>
      <c r="Q60" s="1227"/>
      <c r="R60" s="1151"/>
      <c r="S60" s="1293"/>
      <c r="T60" s="1152"/>
      <c r="U60" s="1154"/>
      <c r="V60" s="1314"/>
      <c r="W60" s="1153"/>
      <c r="X60" s="1802"/>
      <c r="Y60" s="1206"/>
      <c r="Z60" s="1175"/>
      <c r="AA60" s="1307"/>
      <c r="AB60" s="1314"/>
      <c r="AC60" s="1153"/>
    </row>
    <row r="61" spans="1:29" ht="30" customHeight="1">
      <c r="A61" s="1067" t="s">
        <v>2401</v>
      </c>
      <c r="B61" s="1195" t="s">
        <v>1630</v>
      </c>
      <c r="C61" s="351" t="s">
        <v>169</v>
      </c>
      <c r="D61" s="1210" t="s">
        <v>85</v>
      </c>
      <c r="E61" s="1193">
        <v>1</v>
      </c>
      <c r="F61" s="1636">
        <v>0.05</v>
      </c>
      <c r="G61" s="1138">
        <f>IF($E61=0,0,ROUNDUP($F61*G$59,0))</f>
        <v>0</v>
      </c>
      <c r="H61" s="1138">
        <f t="shared" si="0"/>
        <v>0</v>
      </c>
      <c r="I61" s="1138">
        <f t="shared" si="0"/>
        <v>0</v>
      </c>
      <c r="J61" s="1065">
        <f t="shared" si="0"/>
        <v>0</v>
      </c>
      <c r="K61" s="1066"/>
      <c r="L61" s="2190"/>
      <c r="M61" s="1173"/>
      <c r="N61" s="1173"/>
      <c r="O61" s="1253" t="s">
        <v>1630</v>
      </c>
      <c r="P61" s="1337"/>
      <c r="Q61" s="1227"/>
      <c r="R61" s="1151"/>
      <c r="S61" s="1314"/>
      <c r="T61" s="1153"/>
      <c r="U61" s="1154"/>
      <c r="V61" s="1314"/>
      <c r="W61" s="1153"/>
      <c r="X61" s="1803"/>
      <c r="Y61" s="1206"/>
      <c r="Z61" s="1632"/>
      <c r="AA61" s="1631"/>
      <c r="AB61" s="1151"/>
      <c r="AC61" s="1612"/>
    </row>
    <row r="62" spans="1:29" ht="30" customHeight="1">
      <c r="A62" s="1067" t="s">
        <v>2402</v>
      </c>
      <c r="B62" s="2186" t="s">
        <v>1631</v>
      </c>
      <c r="C62" s="2109" t="s">
        <v>2405</v>
      </c>
      <c r="D62" s="1210" t="s">
        <v>2134</v>
      </c>
      <c r="E62" s="1210">
        <f>D81</f>
        <v>0</v>
      </c>
      <c r="F62" s="1129"/>
      <c r="G62" s="1138">
        <f>($E62*$X62)</f>
        <v>0</v>
      </c>
      <c r="H62" s="1065">
        <v>0</v>
      </c>
      <c r="I62" s="1065">
        <v>0</v>
      </c>
      <c r="J62" s="1065">
        <v>0</v>
      </c>
      <c r="K62" s="1066"/>
      <c r="L62" s="2190"/>
      <c r="M62" s="1173"/>
      <c r="N62" s="1173"/>
      <c r="O62" s="2264" t="s">
        <v>1631</v>
      </c>
      <c r="P62" s="1793"/>
      <c r="Q62" s="1151"/>
      <c r="R62" s="1151"/>
      <c r="S62" s="1293"/>
      <c r="T62" s="1152"/>
      <c r="U62" s="1793"/>
      <c r="V62" s="1804"/>
      <c r="W62" s="1805"/>
      <c r="X62" s="1806">
        <v>2</v>
      </c>
      <c r="Y62" s="1804"/>
      <c r="Z62" s="1805"/>
      <c r="AA62" s="1806"/>
      <c r="AB62" s="1151"/>
      <c r="AC62" s="1612"/>
    </row>
    <row r="63" spans="1:29" ht="30" customHeight="1">
      <c r="A63" s="1067" t="s">
        <v>2403</v>
      </c>
      <c r="B63" s="2187"/>
      <c r="C63" s="2111"/>
      <c r="D63" s="1215" t="s">
        <v>2249</v>
      </c>
      <c r="E63" s="1659"/>
      <c r="F63" s="1659"/>
      <c r="G63" s="1807">
        <f>E81</f>
        <v>0</v>
      </c>
      <c r="H63" s="1065">
        <v>0</v>
      </c>
      <c r="I63" s="1065">
        <v>0</v>
      </c>
      <c r="J63" s="1065">
        <v>0</v>
      </c>
      <c r="K63" s="1660"/>
      <c r="L63" s="2190"/>
      <c r="M63" s="1173"/>
      <c r="N63" s="1173"/>
      <c r="O63" s="2265"/>
      <c r="P63" s="1793"/>
      <c r="Q63" s="1151"/>
      <c r="R63" s="1151"/>
      <c r="S63" s="1293"/>
      <c r="T63" s="1152"/>
      <c r="U63" s="1793"/>
      <c r="V63" s="1804"/>
      <c r="W63" s="1805"/>
      <c r="X63" s="1806"/>
      <c r="Y63" s="1804"/>
      <c r="Z63" s="1805"/>
      <c r="AA63" s="1806"/>
      <c r="AB63" s="1151"/>
      <c r="AC63" s="1612"/>
    </row>
    <row r="64" spans="1:29" ht="30" customHeight="1" thickBot="1">
      <c r="A64" s="1067" t="s">
        <v>2404</v>
      </c>
      <c r="B64" s="1135" t="s">
        <v>1657</v>
      </c>
      <c r="C64" s="1128" t="s">
        <v>2251</v>
      </c>
      <c r="D64" s="1071" t="s">
        <v>85</v>
      </c>
      <c r="E64" s="1136"/>
      <c r="F64" s="1136"/>
      <c r="G64" s="1071">
        <f>G89</f>
        <v>0</v>
      </c>
      <c r="H64" s="1068">
        <v>0</v>
      </c>
      <c r="I64" s="1068">
        <v>0</v>
      </c>
      <c r="J64" s="1068">
        <v>0</v>
      </c>
      <c r="K64" s="1069"/>
      <c r="L64" s="2190"/>
      <c r="M64" s="1173"/>
      <c r="N64" s="1173"/>
      <c r="O64" s="1253" t="s">
        <v>1657</v>
      </c>
      <c r="P64" s="1806"/>
      <c r="Q64" s="1151"/>
      <c r="R64" s="1151"/>
      <c r="S64" s="1314"/>
      <c r="T64" s="1153"/>
      <c r="U64" s="1793"/>
      <c r="V64" s="1804"/>
      <c r="W64" s="1805"/>
      <c r="X64" s="1806"/>
      <c r="Y64" s="1804"/>
      <c r="Z64" s="1805"/>
      <c r="AA64" s="1806"/>
      <c r="AB64" s="1151"/>
      <c r="AC64" s="1261"/>
    </row>
    <row r="65" spans="1:29" ht="20.100000000000001" customHeight="1" thickBot="1">
      <c r="B65" s="2173" t="s">
        <v>2407</v>
      </c>
      <c r="C65" s="2174"/>
      <c r="D65" s="2174"/>
      <c r="E65" s="2174"/>
      <c r="F65" s="2174"/>
      <c r="G65" s="1800">
        <f>SUM(G60:G64)</f>
        <v>0</v>
      </c>
      <c r="H65" s="1800">
        <f t="shared" ref="H65:J65" si="1">SUM(H60:H64)</f>
        <v>0</v>
      </c>
      <c r="I65" s="1800">
        <f t="shared" si="1"/>
        <v>0</v>
      </c>
      <c r="J65" s="1800">
        <f t="shared" si="1"/>
        <v>0</v>
      </c>
      <c r="K65" s="1808"/>
      <c r="L65" s="2190"/>
      <c r="M65" s="1173"/>
      <c r="N65" s="1173"/>
      <c r="P65" s="1662"/>
      <c r="Q65" s="1663"/>
      <c r="R65" s="1662"/>
      <c r="S65" s="1662"/>
      <c r="T65" s="1662"/>
      <c r="U65" s="1662"/>
      <c r="V65" s="1656"/>
      <c r="W65" s="1656"/>
      <c r="X65" s="1656"/>
      <c r="Y65" s="1357"/>
      <c r="Z65" s="1656"/>
      <c r="AA65" s="1656"/>
      <c r="AB65" s="1664"/>
    </row>
    <row r="66" spans="1:29" ht="30" customHeight="1" thickBot="1">
      <c r="A66" s="1067" t="s">
        <v>2406</v>
      </c>
      <c r="B66" s="1665" t="s">
        <v>1813</v>
      </c>
      <c r="C66" s="1666" t="s">
        <v>78</v>
      </c>
      <c r="D66" s="1667" t="s">
        <v>878</v>
      </c>
      <c r="E66" s="1668">
        <v>1</v>
      </c>
      <c r="F66" s="1669">
        <v>0.03</v>
      </c>
      <c r="G66" s="1670">
        <f>IF($E66=0,0,ROUNDUP((G$59+G$65)*$F$66,0))</f>
        <v>0</v>
      </c>
      <c r="H66" s="1670">
        <f t="shared" ref="H66:J66" si="2">IF($E66=0,0,ROUNDUP((H$59+H$65)*$F$66,0))</f>
        <v>0</v>
      </c>
      <c r="I66" s="1670">
        <f t="shared" si="2"/>
        <v>0</v>
      </c>
      <c r="J66" s="1902">
        <f t="shared" si="2"/>
        <v>0</v>
      </c>
      <c r="K66" s="1671"/>
      <c r="L66" s="2190"/>
      <c r="M66" s="1173"/>
      <c r="N66" s="1173"/>
      <c r="O66" s="1253" t="s">
        <v>1813</v>
      </c>
      <c r="P66" s="1806"/>
      <c r="Q66" s="1809"/>
      <c r="R66" s="1810"/>
      <c r="S66" s="1804"/>
      <c r="T66" s="1805"/>
      <c r="U66" s="1806"/>
      <c r="V66" s="1804"/>
      <c r="W66" s="1805"/>
      <c r="X66" s="1811"/>
      <c r="Y66" s="1804"/>
      <c r="Z66" s="1805"/>
      <c r="AA66" s="1806"/>
      <c r="AB66" s="1804"/>
      <c r="AC66" s="1805"/>
    </row>
    <row r="67" spans="1:29" ht="20.100000000000001" customHeight="1" thickBot="1">
      <c r="B67" s="2246" t="s">
        <v>2408</v>
      </c>
      <c r="C67" s="2247"/>
      <c r="D67" s="2247"/>
      <c r="E67" s="2247"/>
      <c r="F67" s="2266"/>
      <c r="G67" s="1079">
        <f>G59+G65+G66</f>
        <v>0</v>
      </c>
      <c r="H67" s="1079">
        <f t="shared" ref="H67:J67" si="3">H59+H65+H66</f>
        <v>0</v>
      </c>
      <c r="I67" s="1079">
        <f t="shared" si="3"/>
        <v>0</v>
      </c>
      <c r="J67" s="1079">
        <f t="shared" si="3"/>
        <v>0</v>
      </c>
      <c r="K67" s="1673"/>
      <c r="L67" s="2191"/>
      <c r="M67" s="1173"/>
      <c r="N67" s="1173"/>
      <c r="P67" s="1178"/>
      <c r="Q67" s="1179"/>
      <c r="R67" s="1178"/>
      <c r="S67" s="1178"/>
      <c r="T67" s="1178"/>
      <c r="U67" s="1178"/>
      <c r="V67" s="1145"/>
      <c r="W67" s="1145"/>
      <c r="X67" s="1145"/>
      <c r="Y67" s="1142"/>
      <c r="Z67" s="1145"/>
      <c r="AA67" s="1145"/>
      <c r="AB67" s="348"/>
    </row>
    <row r="68" spans="1:29" ht="20.100000000000001" customHeight="1">
      <c r="B68" s="1812"/>
      <c r="C68" s="1812"/>
      <c r="D68" s="1812"/>
      <c r="E68" s="1812"/>
      <c r="F68" s="1812"/>
      <c r="G68" s="1147"/>
      <c r="H68" s="1147"/>
      <c r="I68" s="1147"/>
      <c r="J68" s="1674" t="s">
        <v>1858</v>
      </c>
      <c r="K68" s="1813"/>
      <c r="L68" s="1814"/>
      <c r="M68" s="1173"/>
      <c r="N68" s="1173"/>
      <c r="P68" s="1145"/>
      <c r="Q68" s="1207"/>
      <c r="R68" s="1145"/>
      <c r="S68" s="1145"/>
      <c r="T68" s="1145"/>
      <c r="U68" s="1145"/>
      <c r="V68" s="1145"/>
      <c r="W68" s="1145"/>
      <c r="X68" s="1145"/>
      <c r="Y68" s="1142"/>
      <c r="Z68" s="1145"/>
      <c r="AA68" s="1145"/>
      <c r="AB68" s="348"/>
    </row>
    <row r="69" spans="1:29" ht="19.8" customHeight="1" thickBot="1"/>
    <row r="70" spans="1:29" s="1061" customFormat="1" ht="36" customHeight="1" thickBot="1">
      <c r="B70" s="1675"/>
      <c r="C70" s="1677" t="s">
        <v>82</v>
      </c>
      <c r="D70" s="1678" t="s">
        <v>2139</v>
      </c>
      <c r="E70" s="1679" t="s">
        <v>2254</v>
      </c>
      <c r="F70" s="1678" t="s">
        <v>2140</v>
      </c>
      <c r="G70" s="2267" t="s">
        <v>1823</v>
      </c>
      <c r="H70" s="2268"/>
      <c r="I70" s="2268"/>
      <c r="J70" s="2269"/>
      <c r="K70" s="1637"/>
      <c r="O70" s="348"/>
    </row>
    <row r="71" spans="1:29" s="1061" customFormat="1" ht="20.100000000000001" customHeight="1">
      <c r="B71" s="1681"/>
      <c r="C71" s="1692" t="s">
        <v>230</v>
      </c>
      <c r="D71" s="1815">
        <v>0</v>
      </c>
      <c r="E71" s="1815">
        <v>0</v>
      </c>
      <c r="F71" s="1815">
        <v>0</v>
      </c>
      <c r="G71" s="2270"/>
      <c r="H71" s="2271"/>
      <c r="I71" s="2271"/>
      <c r="J71" s="2272"/>
      <c r="K71" s="1637"/>
      <c r="O71" s="348"/>
    </row>
    <row r="72" spans="1:29" s="1061" customFormat="1" ht="20.100000000000001" customHeight="1">
      <c r="B72" s="1681"/>
      <c r="C72" s="1683" t="s">
        <v>157</v>
      </c>
      <c r="D72" s="1684">
        <v>0</v>
      </c>
      <c r="E72" s="1684">
        <v>0</v>
      </c>
      <c r="F72" s="1684">
        <v>0</v>
      </c>
      <c r="G72" s="2261"/>
      <c r="H72" s="2262"/>
      <c r="I72" s="2262"/>
      <c r="J72" s="2263"/>
      <c r="K72" s="1637"/>
      <c r="O72" s="348"/>
    </row>
    <row r="73" spans="1:29" s="1061" customFormat="1" ht="20.100000000000001" customHeight="1">
      <c r="B73" s="1681"/>
      <c r="C73" s="1683" t="s">
        <v>158</v>
      </c>
      <c r="D73" s="1684">
        <v>0</v>
      </c>
      <c r="E73" s="1684">
        <v>0</v>
      </c>
      <c r="F73" s="1684">
        <v>0</v>
      </c>
      <c r="G73" s="2261"/>
      <c r="H73" s="2262"/>
      <c r="I73" s="2262"/>
      <c r="J73" s="2263"/>
      <c r="K73" s="1637"/>
      <c r="O73" s="348"/>
    </row>
    <row r="74" spans="1:29" s="1061" customFormat="1" ht="20.100000000000001" customHeight="1">
      <c r="B74" s="1681"/>
      <c r="C74" s="1683" t="s">
        <v>159</v>
      </c>
      <c r="D74" s="1684">
        <v>0</v>
      </c>
      <c r="E74" s="1684">
        <v>0</v>
      </c>
      <c r="F74" s="1684">
        <v>0</v>
      </c>
      <c r="G74" s="2261"/>
      <c r="H74" s="2262"/>
      <c r="I74" s="2262"/>
      <c r="J74" s="2263"/>
      <c r="K74" s="1637"/>
      <c r="O74" s="348"/>
    </row>
    <row r="75" spans="1:29" s="1061" customFormat="1" ht="20.100000000000001" customHeight="1">
      <c r="B75" s="1681"/>
      <c r="C75" s="1683" t="s">
        <v>844</v>
      </c>
      <c r="D75" s="1684">
        <v>0</v>
      </c>
      <c r="E75" s="1684">
        <v>0</v>
      </c>
      <c r="F75" s="1684">
        <v>0</v>
      </c>
      <c r="G75" s="2261"/>
      <c r="H75" s="2262"/>
      <c r="I75" s="2262"/>
      <c r="J75" s="2263"/>
      <c r="K75" s="1637"/>
      <c r="O75" s="348"/>
    </row>
    <row r="76" spans="1:29" s="1061" customFormat="1" ht="20.100000000000001" customHeight="1">
      <c r="B76" s="1681"/>
      <c r="C76" s="1683" t="s">
        <v>1319</v>
      </c>
      <c r="D76" s="1684">
        <v>0</v>
      </c>
      <c r="E76" s="1684">
        <v>0</v>
      </c>
      <c r="F76" s="1684">
        <v>0</v>
      </c>
      <c r="G76" s="2261"/>
      <c r="H76" s="2262"/>
      <c r="I76" s="2262"/>
      <c r="J76" s="2263"/>
      <c r="K76" s="1637"/>
      <c r="O76" s="348"/>
    </row>
    <row r="77" spans="1:29" s="1061" customFormat="1" ht="20.100000000000001" customHeight="1" thickBot="1">
      <c r="B77" s="1681"/>
      <c r="C77" s="1685" t="s">
        <v>231</v>
      </c>
      <c r="D77" s="1686">
        <v>0</v>
      </c>
      <c r="E77" s="1686">
        <v>0</v>
      </c>
      <c r="F77" s="1686">
        <v>0</v>
      </c>
      <c r="G77" s="2273"/>
      <c r="H77" s="2274"/>
      <c r="I77" s="2274"/>
      <c r="J77" s="2275"/>
      <c r="K77" s="1637"/>
      <c r="O77" s="348"/>
    </row>
    <row r="78" spans="1:29" s="1061" customFormat="1" ht="20.100000000000001" customHeight="1" thickBot="1">
      <c r="B78" s="1075"/>
      <c r="C78" s="1688" t="s">
        <v>238</v>
      </c>
      <c r="D78" s="1689">
        <f>SUM(D71:D77)</f>
        <v>0</v>
      </c>
      <c r="E78" s="1689">
        <f>SUM(E71:E77)</f>
        <v>0</v>
      </c>
      <c r="F78" s="1690">
        <f>SUM(F71:F77)</f>
        <v>0</v>
      </c>
      <c r="G78" s="1788"/>
      <c r="H78" s="1788"/>
      <c r="I78" s="1788"/>
      <c r="J78" s="1788"/>
      <c r="K78" s="1637"/>
      <c r="O78" s="348"/>
    </row>
    <row r="79" spans="1:29" s="1061" customFormat="1" ht="20.100000000000001" customHeight="1">
      <c r="B79" s="1681"/>
      <c r="C79" s="1692" t="s">
        <v>861</v>
      </c>
      <c r="D79" s="1912">
        <v>0</v>
      </c>
      <c r="E79" s="1693">
        <v>0</v>
      </c>
      <c r="F79" s="1817"/>
      <c r="G79" s="1788"/>
      <c r="H79" s="1788"/>
      <c r="I79" s="1788"/>
      <c r="J79" s="1788"/>
      <c r="K79" s="1637"/>
      <c r="O79" s="348"/>
    </row>
    <row r="80" spans="1:29" s="1061" customFormat="1" ht="20.100000000000001" customHeight="1" thickBot="1">
      <c r="B80" s="1681"/>
      <c r="C80" s="1695" t="s">
        <v>155</v>
      </c>
      <c r="D80" s="1913">
        <v>0</v>
      </c>
      <c r="E80" s="1914">
        <v>0</v>
      </c>
      <c r="F80" s="1817"/>
      <c r="G80" s="1788"/>
      <c r="H80" s="1788"/>
      <c r="I80" s="1788"/>
      <c r="J80" s="1788"/>
      <c r="O80" s="348"/>
    </row>
    <row r="81" spans="2:15" s="1694" customFormat="1" ht="20.100000000000001" customHeight="1" thickTop="1" thickBot="1">
      <c r="B81" s="1075"/>
      <c r="C81" s="1697" t="s">
        <v>2409</v>
      </c>
      <c r="D81" s="1915">
        <f>SUM(D78:D80)</f>
        <v>0</v>
      </c>
      <c r="E81" s="1698">
        <f>SUM(E78:E80)</f>
        <v>0</v>
      </c>
      <c r="F81" s="1700"/>
      <c r="G81" s="1700"/>
      <c r="H81" s="1087"/>
      <c r="I81" s="1087"/>
      <c r="J81" s="1077"/>
      <c r="O81" s="348"/>
    </row>
    <row r="82" spans="2:15" ht="14.4" thickBot="1"/>
    <row r="83" spans="2:15" ht="31.2" customHeight="1" thickBot="1">
      <c r="C83" s="1677" t="s">
        <v>133</v>
      </c>
      <c r="D83" s="1678" t="s">
        <v>2255</v>
      </c>
      <c r="E83" s="1678" t="s">
        <v>2256</v>
      </c>
      <c r="F83" s="1678" t="s">
        <v>2257</v>
      </c>
      <c r="G83" s="1680" t="s">
        <v>102</v>
      </c>
    </row>
    <row r="84" spans="2:15">
      <c r="C84" s="1683" t="s">
        <v>2258</v>
      </c>
      <c r="D84" s="1684">
        <v>0</v>
      </c>
      <c r="E84" s="1684">
        <v>0</v>
      </c>
      <c r="F84" s="1684">
        <v>0</v>
      </c>
      <c r="G84" s="1898">
        <f>D84*(E84+F84)</f>
        <v>0</v>
      </c>
    </row>
    <row r="85" spans="2:15">
      <c r="C85" s="1683" t="s">
        <v>2259</v>
      </c>
      <c r="D85" s="1684">
        <v>0</v>
      </c>
      <c r="E85" s="1684">
        <v>0</v>
      </c>
      <c r="F85" s="1684">
        <v>0</v>
      </c>
      <c r="G85" s="1898">
        <f>D85*(E85+F85)</f>
        <v>0</v>
      </c>
    </row>
    <row r="86" spans="2:15">
      <c r="C86" s="1683" t="s">
        <v>2260</v>
      </c>
      <c r="D86" s="1684">
        <v>0</v>
      </c>
      <c r="E86" s="1684">
        <v>0</v>
      </c>
      <c r="F86" s="1684">
        <v>0</v>
      </c>
      <c r="G86" s="1898">
        <f>D86*(E86+F86)</f>
        <v>0</v>
      </c>
    </row>
    <row r="87" spans="2:15">
      <c r="C87" s="1683" t="s">
        <v>2261</v>
      </c>
      <c r="D87" s="1684">
        <v>0</v>
      </c>
      <c r="E87" s="1684">
        <v>0</v>
      </c>
      <c r="F87" s="1684">
        <v>0</v>
      </c>
      <c r="G87" s="1898">
        <f>D87*(E87+F87)</f>
        <v>0</v>
      </c>
    </row>
    <row r="88" spans="2:15" ht="14.4" thickBot="1">
      <c r="C88" s="1683" t="s">
        <v>2262</v>
      </c>
      <c r="D88" s="1684">
        <v>0</v>
      </c>
      <c r="E88" s="1684">
        <v>0</v>
      </c>
      <c r="F88" s="1684">
        <v>0</v>
      </c>
      <c r="G88" s="1898">
        <f>D88*(E88+F88)</f>
        <v>0</v>
      </c>
    </row>
    <row r="89" spans="2:15" ht="16.2" thickBot="1">
      <c r="C89" s="2178" t="s">
        <v>2263</v>
      </c>
      <c r="D89" s="2179"/>
      <c r="E89" s="2179"/>
      <c r="F89" s="2180"/>
      <c r="G89" s="1818">
        <f>SUM(G84:G88)</f>
        <v>0</v>
      </c>
    </row>
    <row r="90" spans="2:15">
      <c r="C90" s="1819"/>
      <c r="D90" s="1817"/>
    </row>
    <row r="91" spans="2:15">
      <c r="C91" s="1819"/>
      <c r="D91" s="1817"/>
    </row>
    <row r="92" spans="2:15" ht="15.6">
      <c r="C92" s="1820"/>
      <c r="D92" s="1700"/>
    </row>
  </sheetData>
  <sheetProtection algorithmName="SHA-512" hashValue="beadHSyuFd2UXBIU7SGFjPn+nNLpQfGeYMl1XYKoccH9ChTrgUFt8Kz2iMIh5BvdgQmw0xjGw7CgW5ZUYfdGEA==" saltValue="dQTEcW8p6BKKvrIjyGuMtg==" spinCount="100000" sheet="1" formatCells="0" formatColumns="0" formatRows="0" insertColumns="0" insertRows="0"/>
  <mergeCells count="71">
    <mergeCell ref="G74:J74"/>
    <mergeCell ref="G75:J75"/>
    <mergeCell ref="G76:J76"/>
    <mergeCell ref="G77:J77"/>
    <mergeCell ref="C89:F89"/>
    <mergeCell ref="G73:J73"/>
    <mergeCell ref="B56:B57"/>
    <mergeCell ref="C56:C57"/>
    <mergeCell ref="O56:O57"/>
    <mergeCell ref="B59:F59"/>
    <mergeCell ref="B62:B63"/>
    <mergeCell ref="C62:C63"/>
    <mergeCell ref="O62:O63"/>
    <mergeCell ref="L59:L67"/>
    <mergeCell ref="B65:F65"/>
    <mergeCell ref="B67:F67"/>
    <mergeCell ref="G70:J70"/>
    <mergeCell ref="G71:J71"/>
    <mergeCell ref="G72:J72"/>
    <mergeCell ref="B53:B54"/>
    <mergeCell ref="C53:C54"/>
    <mergeCell ref="O53:O54"/>
    <mergeCell ref="B35:B38"/>
    <mergeCell ref="C35:C38"/>
    <mergeCell ref="D35:D37"/>
    <mergeCell ref="O35:O38"/>
    <mergeCell ref="B39:B42"/>
    <mergeCell ref="C39:C42"/>
    <mergeCell ref="D39:D41"/>
    <mergeCell ref="O39:O42"/>
    <mergeCell ref="B44:B45"/>
    <mergeCell ref="C44:C45"/>
    <mergeCell ref="O44:O45"/>
    <mergeCell ref="B48:B49"/>
    <mergeCell ref="O48:O49"/>
    <mergeCell ref="B21:B28"/>
    <mergeCell ref="O21:O28"/>
    <mergeCell ref="C22:C24"/>
    <mergeCell ref="C25:C27"/>
    <mergeCell ref="B29:B34"/>
    <mergeCell ref="C29:C31"/>
    <mergeCell ref="D29:D31"/>
    <mergeCell ref="O29:O34"/>
    <mergeCell ref="C32:C34"/>
    <mergeCell ref="D32:D34"/>
    <mergeCell ref="U9:W9"/>
    <mergeCell ref="X9:Z9"/>
    <mergeCell ref="AA9:AC9"/>
    <mergeCell ref="B11:B12"/>
    <mergeCell ref="C11:C12"/>
    <mergeCell ref="L11:L58"/>
    <mergeCell ref="O11:O12"/>
    <mergeCell ref="B18:B19"/>
    <mergeCell ref="C18:C19"/>
    <mergeCell ref="O18:O19"/>
    <mergeCell ref="B9:B10"/>
    <mergeCell ref="C9:C10"/>
    <mergeCell ref="D9:F9"/>
    <mergeCell ref="G9:J9"/>
    <mergeCell ref="O9:O10"/>
    <mergeCell ref="P9:T9"/>
    <mergeCell ref="B1:C3"/>
    <mergeCell ref="D1:J3"/>
    <mergeCell ref="L1:L3"/>
    <mergeCell ref="B4:C4"/>
    <mergeCell ref="D4:J4"/>
    <mergeCell ref="B5:C5"/>
    <mergeCell ref="D5:J5"/>
    <mergeCell ref="L5:L10"/>
    <mergeCell ref="B6:C6"/>
    <mergeCell ref="D6:J6"/>
  </mergeCells>
  <phoneticPr fontId="51" type="noConversion"/>
  <dataValidations xWindow="821" yWindow="792" count="32">
    <dataValidation type="decimal" operator="greaterThanOrEqual" allowBlank="1" showInputMessage="1" showErrorMessage="1" error="Enter a positive number with an accuravy of 2 decimal places." sqref="E35:E37 E51" xr:uid="{74C2CB1F-2C8F-4258-A0A9-51AF83484899}">
      <formula1>0</formula1>
    </dataValidation>
    <dataValidation type="whole" operator="greaterThanOrEqual" allowBlank="1" showInputMessage="1" showErrorMessage="1" error="Input a whole number greater than or equal to zero." sqref="E38:E50 E56:E58 E11 E21:E34 E18 E54" xr:uid="{EE786EE3-5CE5-4601-830A-3C7E71E226A6}">
      <formula1>0</formula1>
    </dataValidation>
    <dataValidation type="whole" allowBlank="1" showInputMessage="1" showErrorMessage="1" error="Enter 1 or 0._x000a_Yes=1_x000a_No=0" sqref="E60:E61 E53 E12:E15 E19:E20 E17 E55" xr:uid="{143167B6-6ACC-486D-AFF3-A489CCE121D4}">
      <formula1>0</formula1>
      <formula2>1</formula2>
    </dataValidation>
    <dataValidation type="whole" allowBlank="1" showInputMessage="1" showErrorMessage="1" error="Input 1 or 0." sqref="E66" xr:uid="{F71074C8-BB0D-484D-BBBB-3F95508061BE}">
      <formula1>0</formula1>
      <formula2>1</formula2>
    </dataValidation>
    <dataValidation type="list" allowBlank="1" showInputMessage="1" showErrorMessage="1" promptTitle="Task Complexity" prompt="Simple = Controlled canals, contiguous wetlands, lakes with historical data_x000a_Standard = Cross drains, flood plains_x000a_Complex = Lakes with no historical data, tidal flow" sqref="F11" xr:uid="{4CF19706-FF4C-45D3-9247-CA24807ED329}">
      <formula1>$U$10:$W$10</formula1>
    </dataValidation>
    <dataValidation type="whole" operator="greaterThanOrEqual" allowBlank="1" showInputMessage="1" showErrorMessage="1" sqref="D79:D80 D90:D91 D84:G88 F79:F80 D71:F77 G78:G80" xr:uid="{671DF7C4-5658-419E-8CBB-BCD3EE43A31C}">
      <formula1>0</formula1>
    </dataValidation>
    <dataValidation type="list" allowBlank="1" showInputMessage="1" showErrorMessage="1" promptTitle="Task Complexity" prompt="Simple = Total volume fill vs total volume excavated_x000a_Standard = Volumes compensated equally (cup for cup)_x000a_Complex = Remote compensation area, water surface profile computations" sqref="F43" xr:uid="{470A3DCE-64A9-434B-BA2A-44BDF30A818A}">
      <formula1>$U$10:$W$10</formula1>
    </dataValidation>
    <dataValidation type="list" allowBlank="1" showInputMessage="1" showErrorMessage="1" promptTitle="Task Complexity" prompt="Simple = Suburban area, minimal utilities, few offsite pipe connections, and minimal back of sidewalk inlets. Many structures._x000a__x000a_Complex = Urbanized area, many utilities, large offsite drainage areas, and many back of sidewalk inlets. Few structures." sqref="F44" xr:uid="{7FCDBCB7-C4CD-4616-A41B-D8297D8D69DF}">
      <formula1>$U$10:$W$10</formula1>
    </dataValidation>
    <dataValidation type="list" allowBlank="1" showInputMessage="1" showErrorMessage="1" promptTitle="Task Complexity" prompt="Simple = Basic pre vs post analysis_x000a_Standard = Includes stormwater model_x000a_Complex = Includes drainage wells" sqref="F49" xr:uid="{F470B8A5-4F09-4B37-802E-B7F30136BF64}">
      <formula1>$U$10:$W$10</formula1>
    </dataValidation>
    <dataValidation type="list" allowBlank="1" showInputMessage="1" showErrorMessage="1" promptTitle="Task Complexity" prompt="Simple = 1-3 typicals_x000a_Standard = multiple typicals, 1-3 critical locations_x000a_Complex = multiple typicals, multiple critical locations" sqref="F13" xr:uid="{199D3DC2-CD7D-4C55-8B05-15704E594590}">
      <formula1>$U$10:$W$10</formula1>
    </dataValidation>
    <dataValidation type="list" allowBlank="1" showInputMessage="1" showErrorMessage="1" promptTitle="Task Complexity" prompt="Simple = small project with swale treatment_x000a_Standard = mid-size project with stormwater facilities_x000a_Complex = large projects with complicated designs" sqref="F14" xr:uid="{55525F9D-BD63-495A-BF51-DBAD224AAC1B}">
      <formula1>$U$10:$W$10</formula1>
    </dataValidation>
    <dataValidation type="list" allowBlank="1" showInputMessage="1" showErrorMessage="1" promptTitle="Task Complexity" prompt="Simple = RRR or Bridge widening project_x000a_Standard = rural widening or reconstruction project_x000a_Complex = urban mutilane, interchange or complex TTC project" sqref="F17" xr:uid="{005F1BF8-CC1A-4552-9A83-3E6CA36E453D}">
      <formula1>$U$10:$W$10</formula1>
    </dataValidation>
    <dataValidation type="decimal" operator="greaterThanOrEqual" allowBlank="1" showInputMessage="1" showErrorMessage="1" error="Enter 1 or 0._x000a_Yes=1_x000a_No=0" sqref="E16" xr:uid="{8BA70A63-09F4-4155-9558-DB51749771A7}">
      <formula1>0</formula1>
    </dataValidation>
    <dataValidation type="list" allowBlank="1" showInputMessage="1" showErrorMessage="1" promptTitle="Task Complexity" prompt="Simple = No alternatives_x000a_Standard = Two Alternatives_x000a_Complex = Multiple Alternatives" sqref="F21" xr:uid="{7088A088-CBA2-4A66-85AF-9D5F5976253B}">
      <formula1>$U$10:$W$10</formula1>
    </dataValidation>
    <dataValidation type="list" allowBlank="1" showInputMessage="1" showErrorMessage="1" promptTitle="Task Complexity" prompt="Simple = Replacement in kind at gaged site_x000a_Standard = Single or dual with multiple alternatives_x000a_Complex = Single or dual with multiple alternatives at loaction with history of overtopping." sqref="F23" xr:uid="{8628A030-72DC-4BD6-B514-9D8718A6F004}">
      <formula1>$U$10:$W$10</formula1>
    </dataValidation>
    <dataValidation type="list" allowBlank="1" showInputMessage="1" showErrorMessage="1" promptTitle="Task Complexity" prompt="Simple = Single tributary_x000a_Standard = Several parallel tributaries_x000a_Complex = Several parallel tributaries at loaction with history of overtopping." sqref="F26" xr:uid="{AE4C4292-8625-4AA4-8E97-1842A5364F3A}">
      <formula1>$U$10:$W$10</formula1>
    </dataValidation>
    <dataValidation type="list" allowBlank="1" showInputMessage="1" showErrorMessage="1" promptTitle="Task Complexity" prompt="Simple = Many drainage pipes lying in areas with similar soil parameters._x000a__x000a_Complex = Individual drainage pipes in areas with varying soil parameters." sqref="F46" xr:uid="{B82951CD-00E0-4387-B4FE-80ACAD260D67}">
      <formula1>$U$10:$W$10</formula1>
    </dataValidation>
    <dataValidation type="list" allowBlank="1" showInputMessage="1" showErrorMessage="1" promptTitle="Task Complexity" sqref="F47 F55" xr:uid="{D3847400-95A8-4255-9B07-CEAC78BB2F5C}">
      <formula1>$U$10:$W$10</formula1>
    </dataValidation>
    <dataValidation type="list" allowBlank="1" showInputMessage="1" showErrorMessage="1" promptTitle="Task Complexity" prompt="Simple = Technical memo_x000a__x000a_Complex = Full length report (many locations, full reconstruion of roadway, new alignment)" sqref="F12" xr:uid="{03BE55FF-A413-4AEB-A7D6-B56AC48C2405}">
      <formula1>$U$10:$W$10</formula1>
    </dataValidation>
    <dataValidation type="list" allowBlank="1" showInputMessage="1" showErrorMessage="1" promptTitle="Task Complexity" prompt="Simple = side and cross drains_x000a_Standard = Closed drainage system &lt; 20 structures, minor utility involvement_x000a_Complex = Closed drainage system &gt; 20 structures, major utility involvement" sqref="F15" xr:uid="{EF91D508-5D2A-4AA5-BB28-D2EFBB028F12}">
      <formula1>$U$10:$W$10</formula1>
    </dataValidation>
    <dataValidation type="list" allowBlank="1" showInputMessage="1" showErrorMessage="1" promptTitle="Task Complexity" prompt="Simple = Employing empirical equations to develop wave conditions for protection design._x000a_Standard = Steady state two dimensional modeling, force calculation on 1-3 spans. _x000a_Complex = Coupled wave surge modeling, force calculation on &gt;3 spans." sqref="F28" xr:uid="{CCEBE879-76FD-4BC9-A04A-4858CE6BCF62}">
      <formula1>$U$10:$W$10</formula1>
    </dataValidation>
    <dataValidation type="list" allowBlank="1" showInputMessage="1" showErrorMessage="1" promptTitle="Task Complexity" prompt="Simple = Minimal area adjacent to R/W discharging; standard wall openings._x000a_Standard = Moderate area discharging toward noise barrier.   _x000a_Complex = Sheet flow or larger channelization at back of wall location requiring analysis of upstream stage effects." sqref="F16" xr:uid="{B7D9B515-C95A-4D7B-B03C-6B33F33F9F41}">
      <formula1>$U$10:$W$10</formula1>
    </dataValidation>
    <dataValidation type="list" allowBlank="1" showInputMessage="1" showErrorMessage="1" promptTitle="Task Complexity" prompt="Simple = R/W less than 50% developed._x000a_Standard = R/W 50-80% developed._x000a_Complex = R/W is 80%-100% developed." sqref="F18:F19" xr:uid="{108B31AC-19CA-4EFE-9276-063088203173}">
      <formula1>$U$10:$W$10</formula1>
    </dataValidation>
    <dataValidation type="list" allowBlank="1" showInputMessage="1" showErrorMessage="1" promptTitle="Task Complexity" prompt="Simple = Erosion control items in tabular format_x000a_Standard = Sediment and Erosion Controls drawn in CADD design file_x000a_Complex = Sediment and Erosion Controls and preservation areas CADD design file and Runoff Data Table_x000a_" sqref="F51" xr:uid="{67555739-06AC-4610-9B48-0692CCCDCF3F}">
      <formula1>$U$10:$W$10</formula1>
    </dataValidation>
    <dataValidation type="list" allowBlank="1" showInputMessage="1" showErrorMessage="1" promptTitle="Task Complexity" prompt="Simple = Resurfacing_x000a_Standard = Curbed roadways less than 1 mile or flush shoulder roadways_x000a_Complex = Curbed roadways longer tha 1 mile" sqref="F56:F57" xr:uid="{0F71D0F9-DAA2-466C-A652-483F2B0F4929}">
      <formula1>$U$10:$W$10</formula1>
    </dataValidation>
    <dataValidation type="whole" operator="greaterThanOrEqual" allowBlank="1" showInputMessage="1" showErrorMessage="1" error="Input a whole number zero or greater." sqref="E79:E80" xr:uid="{99548A4A-135D-41E1-99D9-C88CEDB5A15E}">
      <formula1>0</formula1>
    </dataValidation>
    <dataValidation type="list" allowBlank="1" showInputMessage="1" showErrorMessage="1" promptTitle="Task Complexity" prompt="Simple = short length of pipe, simple inspection report._x000a__x000a_Complex = long length of pipe, complex inspection report. " sqref="F20" xr:uid="{9F38FCC8-5EA1-473E-B36E-FA40BDDC3C4E}">
      <formula1>$U$10:$W$10</formula1>
    </dataValidation>
    <dataValidation type="list" allowBlank="1" showInputMessage="1" showErrorMessage="1" promptTitle="Task Complexity" prompt="Simple = Single independant cells not interconnected_x000a_Standard = Interconnected linear cells functioning as one facility_x000a_Complex = Multiple cells in series or multiple control structures" sqref="F42 F48" xr:uid="{82487B10-0EAF-48FA-B19C-8A6114562D92}">
      <formula1>$U$10:$W$10</formula1>
    </dataValidation>
    <dataValidation type="list" allowBlank="1" showInputMessage="1" showErrorMessage="1" promptTitle="Task Complexity" prompt="Complex = Low capacity of wells in the area, limited locations to place the wells, head availability, and many utilities." sqref="F50" xr:uid="{15869201-2B7D-4D8C-919A-C2A3626E82B3}">
      <formula1>$U$10:$W$10</formula1>
    </dataValidation>
    <dataValidation type="list" allowBlank="1" showInputMessage="1" showErrorMessage="1" promptTitle="Task Complexity" prompt="Simple = Mill and resurface, no permit documentation required. Technical memo._x000a_Standard = RRR with numerous culvert extensions, minimal permit documentation_x000a_Complex = Major construction, substantial permit documentation" sqref="F53" xr:uid="{C9D7FF7F-B124-40DE-AFCB-231C1E2F7EFD}">
      <formula1>$U$10:$W$10</formula1>
    </dataValidation>
    <dataValidation type="list" allowBlank="1" showInputMessage="1" showErrorMessage="1" promptTitle="Task Complexity" prompt="Simple = Replacement in kind at gaged site_x000a_Standard = Single or dual with multiple alternatives_x000a_Complex = Single or dual with multiple alternatives at location with history of overtopping." sqref="F22" xr:uid="{FB142352-2E4E-46B6-A23C-49A953710A38}">
      <formula1>$U$10:$W$10</formula1>
    </dataValidation>
    <dataValidation type="list" allowBlank="1" showInputMessage="1" showErrorMessage="1" promptTitle="Task Complexity" prompt="Simple = Single tributary_x000a_Standard = Several parallel tributaries_x000a_Complex = Several parallel tributaries at location with history of overtopping." sqref="F25" xr:uid="{798355C9-8756-4F76-BDCD-7AF23F177FBE}">
      <formula1>$U$10:$W$10</formula1>
    </dataValidation>
  </dataValidations>
  <hyperlinks>
    <hyperlink ref="L4" r:id="rId1" display="Video Tutorial - A short webinar for the Drainage Plans tab" xr:uid="{1C9A68D1-BB29-47A1-B743-9FCF9529283F}"/>
  </hyperlinks>
  <pageMargins left="0.7" right="0.7" top="0.75" bottom="0.75" header="0.3" footer="0.3"/>
  <pageSetup orientation="portrait"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59381-3396-4FD6-8444-C12A0C23AF27}">
  <sheetPr codeName="Sheet17"/>
  <dimension ref="A1:AC25"/>
  <sheetViews>
    <sheetView showGridLines="0" showRuler="0" topLeftCell="B1" zoomScale="85" zoomScaleNormal="85" zoomScaleSheetLayoutView="55" workbookViewId="0">
      <selection activeCell="B1" sqref="B1:C3"/>
    </sheetView>
  </sheetViews>
  <sheetFormatPr defaultColWidth="9.109375" defaultRowHeight="13.8"/>
  <cols>
    <col min="1" max="1" width="12.6640625" style="348" hidden="1" customWidth="1"/>
    <col min="2" max="2" width="6.77734375" style="348" customWidth="1"/>
    <col min="3" max="3" width="50.77734375" style="348" customWidth="1"/>
    <col min="4" max="4" width="14.6640625" style="348" customWidth="1"/>
    <col min="5" max="5" width="14.77734375" style="348" customWidth="1"/>
    <col min="6" max="6" width="14.6640625" style="348" customWidth="1"/>
    <col min="7" max="7" width="14.77734375" style="348" customWidth="1"/>
    <col min="8" max="8" width="14.6640625" style="348" customWidth="1"/>
    <col min="9" max="10" width="14.77734375" style="348" customWidth="1"/>
    <col min="11" max="11" width="100.77734375" style="348" customWidth="1"/>
    <col min="12" max="12" width="70.77734375" style="348" customWidth="1"/>
    <col min="13" max="13" width="8.6640625" style="348" customWidth="1"/>
    <col min="14" max="14" width="15.5546875" style="348" customWidth="1"/>
    <col min="15" max="15" width="8.6640625" style="348" hidden="1" customWidth="1"/>
    <col min="16" max="16" width="12.5546875" style="348" hidden="1" customWidth="1"/>
    <col min="17" max="22" width="12.6640625" style="1097" hidden="1" customWidth="1"/>
    <col min="23" max="25" width="12.6640625" style="1067" hidden="1" customWidth="1"/>
    <col min="26" max="26" width="12.6640625" style="348" hidden="1" customWidth="1"/>
    <col min="27" max="28" width="12.6640625" style="1067" hidden="1" customWidth="1"/>
    <col min="29" max="29" width="12.5546875" style="348" hidden="1" customWidth="1"/>
    <col min="30" max="16384" width="9.109375" style="348"/>
  </cols>
  <sheetData>
    <row r="1" spans="1:29" ht="15" customHeight="1">
      <c r="B1" s="2136" t="s">
        <v>592</v>
      </c>
      <c r="C1" s="2137"/>
      <c r="D1" s="2133" t="s">
        <v>1818</v>
      </c>
      <c r="E1" s="2133"/>
      <c r="F1" s="2133"/>
      <c r="G1" s="2133"/>
      <c r="H1" s="2133"/>
      <c r="I1" s="2133"/>
      <c r="J1" s="2133"/>
      <c r="K1" s="1055" t="str">
        <f>'Project Information'!B3</f>
        <v>Enter project name &amp; description</v>
      </c>
      <c r="L1" s="2120" t="s">
        <v>1819</v>
      </c>
      <c r="M1" s="1141"/>
      <c r="N1" s="1142"/>
      <c r="O1" s="1141"/>
      <c r="P1" s="1141"/>
      <c r="Q1" s="1143"/>
      <c r="R1" s="1143"/>
      <c r="S1" s="1143"/>
      <c r="T1" s="1143"/>
      <c r="U1" s="1144"/>
      <c r="V1" s="1144"/>
      <c r="W1" s="1145"/>
      <c r="X1" s="1145"/>
      <c r="Y1" s="1145"/>
      <c r="Z1" s="1142"/>
      <c r="AA1" s="1145"/>
      <c r="AB1" s="1145"/>
    </row>
    <row r="2" spans="1:29" ht="15" customHeight="1">
      <c r="B2" s="2138"/>
      <c r="C2" s="2139"/>
      <c r="D2" s="2134"/>
      <c r="E2" s="2134"/>
      <c r="F2" s="2134"/>
      <c r="G2" s="2134"/>
      <c r="H2" s="2134"/>
      <c r="I2" s="2134"/>
      <c r="J2" s="2134"/>
      <c r="K2" s="1056" t="str">
        <f>'Project Information'!B1</f>
        <v>999999-1-32-01</v>
      </c>
      <c r="L2" s="2121"/>
      <c r="M2" s="1141"/>
      <c r="N2" s="1142"/>
      <c r="O2" s="1141"/>
      <c r="P2" s="1141"/>
      <c r="Q2" s="1143"/>
      <c r="R2" s="1143"/>
      <c r="S2" s="1143"/>
      <c r="T2" s="1143"/>
      <c r="U2" s="1144"/>
      <c r="V2" s="1144"/>
      <c r="W2" s="1145"/>
      <c r="X2" s="1145"/>
      <c r="Y2" s="1145"/>
      <c r="Z2" s="1142"/>
      <c r="AA2" s="1145"/>
      <c r="AB2" s="1145"/>
    </row>
    <row r="3" spans="1:29" s="1058" customFormat="1" ht="15" customHeight="1" thickBot="1">
      <c r="B3" s="2140"/>
      <c r="C3" s="2141"/>
      <c r="D3" s="2135"/>
      <c r="E3" s="2135"/>
      <c r="F3" s="2135"/>
      <c r="G3" s="2135"/>
      <c r="H3" s="2135"/>
      <c r="I3" s="2135"/>
      <c r="J3" s="2135"/>
      <c r="K3" s="1057"/>
      <c r="L3" s="2122"/>
      <c r="M3" s="1141"/>
      <c r="N3" s="1146"/>
      <c r="O3" s="1141"/>
      <c r="P3" s="1141"/>
      <c r="Q3" s="1144"/>
      <c r="R3" s="1144"/>
      <c r="S3" s="1144"/>
      <c r="T3" s="1144"/>
      <c r="U3" s="1144"/>
      <c r="V3" s="1144"/>
      <c r="W3" s="1145"/>
      <c r="X3" s="1145"/>
      <c r="Y3" s="1145"/>
      <c r="Z3" s="1146"/>
      <c r="AA3" s="1145"/>
      <c r="AB3" s="1145"/>
    </row>
    <row r="4" spans="1:29" s="1058" customFormat="1" ht="30" customHeight="1" thickBot="1">
      <c r="B4" s="2198" t="s">
        <v>1396</v>
      </c>
      <c r="C4" s="2199"/>
      <c r="D4" s="2200" t="s">
        <v>1397</v>
      </c>
      <c r="E4" s="2200"/>
      <c r="F4" s="2200"/>
      <c r="G4" s="2200"/>
      <c r="H4" s="2200"/>
      <c r="I4" s="2200"/>
      <c r="J4" s="2200"/>
      <c r="K4" s="1111" t="s">
        <v>1398</v>
      </c>
      <c r="L4" s="1580" t="s">
        <v>2625</v>
      </c>
      <c r="M4" s="1147"/>
      <c r="N4" s="1146"/>
      <c r="O4" s="1147"/>
      <c r="P4" s="1147"/>
      <c r="Q4" s="1148"/>
      <c r="R4" s="1148"/>
      <c r="S4" s="1148"/>
      <c r="T4" s="1148"/>
      <c r="U4" s="1144"/>
      <c r="V4" s="1144"/>
      <c r="W4" s="1145"/>
      <c r="X4" s="1145"/>
      <c r="Y4" s="1145"/>
      <c r="Z4" s="1146"/>
      <c r="AA4" s="1145"/>
      <c r="AB4" s="1145"/>
    </row>
    <row r="5" spans="1:29" s="1058" customFormat="1" ht="30" customHeight="1">
      <c r="B5" s="2201" t="s">
        <v>1400</v>
      </c>
      <c r="C5" s="2202"/>
      <c r="D5" s="2203"/>
      <c r="E5" s="2203"/>
      <c r="F5" s="2203"/>
      <c r="G5" s="2203"/>
      <c r="H5" s="2203"/>
      <c r="I5" s="2203"/>
      <c r="J5" s="2203"/>
      <c r="K5" s="1059"/>
      <c r="L5" s="2253" t="s">
        <v>1820</v>
      </c>
      <c r="M5" s="1147"/>
      <c r="N5" s="1146"/>
      <c r="O5" s="1147"/>
      <c r="P5" s="1147"/>
      <c r="Q5" s="1148"/>
      <c r="R5" s="1148"/>
      <c r="S5" s="1148"/>
      <c r="T5" s="1148"/>
      <c r="U5" s="1144"/>
      <c r="V5" s="1144"/>
      <c r="W5" s="1145"/>
      <c r="X5" s="1145"/>
      <c r="Y5" s="1145"/>
      <c r="Z5" s="1146"/>
      <c r="AA5" s="1145"/>
      <c r="AB5" s="1145"/>
    </row>
    <row r="6" spans="1:29" s="1058" customFormat="1" ht="30" customHeight="1" thickBot="1">
      <c r="B6" s="2204" t="s">
        <v>1399</v>
      </c>
      <c r="C6" s="2205"/>
      <c r="D6" s="2206"/>
      <c r="E6" s="2206"/>
      <c r="F6" s="2206"/>
      <c r="G6" s="2206"/>
      <c r="H6" s="2206"/>
      <c r="I6" s="2206"/>
      <c r="J6" s="2206"/>
      <c r="K6" s="1060"/>
      <c r="L6" s="2254"/>
      <c r="M6" s="1147"/>
      <c r="N6" s="1146"/>
      <c r="O6" s="1147"/>
      <c r="P6" s="1147"/>
      <c r="Q6" s="1148"/>
      <c r="R6" s="1148"/>
      <c r="S6" s="1148"/>
      <c r="T6" s="1148"/>
      <c r="U6" s="1144"/>
      <c r="V6" s="1144"/>
      <c r="W6" s="1145"/>
      <c r="X6" s="1145"/>
      <c r="Y6" s="1145"/>
      <c r="Z6" s="1146"/>
      <c r="AA6" s="1145"/>
      <c r="AB6" s="1145"/>
    </row>
    <row r="7" spans="1:29" s="1058" customFormat="1" ht="15" customHeight="1">
      <c r="B7" s="1112" t="s">
        <v>1430</v>
      </c>
      <c r="C7" s="1113"/>
      <c r="D7" s="1114"/>
      <c r="E7" s="1114"/>
      <c r="F7" s="1114"/>
      <c r="G7" s="1114"/>
      <c r="H7" s="1114"/>
      <c r="I7" s="1114"/>
      <c r="J7" s="1114"/>
      <c r="K7" s="1115"/>
      <c r="L7" s="2254"/>
      <c r="M7" s="1147"/>
      <c r="N7" s="1146"/>
      <c r="O7" s="1147"/>
      <c r="P7" s="1147"/>
      <c r="Q7" s="1144"/>
      <c r="R7" s="1144"/>
      <c r="S7" s="1144"/>
      <c r="T7" s="1144"/>
      <c r="U7" s="1144"/>
      <c r="V7" s="1144"/>
      <c r="W7" s="1145"/>
      <c r="X7" s="1145"/>
      <c r="Y7" s="1145"/>
      <c r="Z7" s="1146"/>
      <c r="AA7" s="1145"/>
      <c r="AB7" s="1145"/>
    </row>
    <row r="8" spans="1:29" s="1058" customFormat="1" ht="15" customHeight="1" thickBot="1">
      <c r="B8" s="1116"/>
      <c r="C8" s="1117"/>
      <c r="D8" s="1118"/>
      <c r="E8" s="1118"/>
      <c r="F8" s="1118"/>
      <c r="G8" s="1118"/>
      <c r="H8" s="1118"/>
      <c r="I8" s="1118"/>
      <c r="J8" s="1118"/>
      <c r="K8" s="1119"/>
      <c r="L8" s="2254"/>
      <c r="M8" s="1147"/>
      <c r="N8" s="1146"/>
      <c r="O8" s="1147"/>
      <c r="P8" s="1147"/>
      <c r="Q8" s="1144"/>
      <c r="R8" s="1144"/>
      <c r="S8" s="1144"/>
      <c r="T8" s="1144"/>
      <c r="U8" s="1144"/>
      <c r="V8" s="1144"/>
      <c r="W8" s="1145"/>
      <c r="X8" s="1145"/>
      <c r="Y8" s="1145"/>
      <c r="Z8" s="1146"/>
      <c r="AA8" s="1145"/>
      <c r="AB8" s="1145"/>
    </row>
    <row r="9" spans="1:29" s="1061" customFormat="1" ht="30" customHeight="1">
      <c r="B9" s="2153" t="s">
        <v>79</v>
      </c>
      <c r="C9" s="2155" t="s">
        <v>190</v>
      </c>
      <c r="D9" s="2230" t="s">
        <v>1821</v>
      </c>
      <c r="E9" s="2230"/>
      <c r="F9" s="2230"/>
      <c r="G9" s="2157" t="s">
        <v>1822</v>
      </c>
      <c r="H9" s="2158"/>
      <c r="I9" s="2158"/>
      <c r="J9" s="2159"/>
      <c r="K9" s="1120" t="s">
        <v>1823</v>
      </c>
      <c r="L9" s="2254"/>
      <c r="M9" s="1147"/>
      <c r="N9" s="1854"/>
      <c r="O9" s="2170" t="s">
        <v>190</v>
      </c>
      <c r="P9" s="2214" t="s">
        <v>1869</v>
      </c>
      <c r="Q9" s="2213"/>
      <c r="R9" s="2213"/>
      <c r="S9" s="2213"/>
      <c r="T9" s="2215"/>
      <c r="U9" s="2214" t="s">
        <v>1914</v>
      </c>
      <c r="V9" s="2213"/>
      <c r="W9" s="2215"/>
      <c r="X9" s="2214" t="s">
        <v>1960</v>
      </c>
      <c r="Y9" s="2213"/>
      <c r="Z9" s="2215"/>
      <c r="AA9" s="2214" t="s">
        <v>1862</v>
      </c>
      <c r="AB9" s="2213"/>
      <c r="AC9" s="2215"/>
    </row>
    <row r="10" spans="1:29" s="1061" customFormat="1" ht="30" customHeight="1" thickBot="1">
      <c r="B10" s="2258"/>
      <c r="C10" s="2259"/>
      <c r="D10" s="1121" t="s">
        <v>1824</v>
      </c>
      <c r="E10" s="1122" t="s">
        <v>87</v>
      </c>
      <c r="F10" s="1121" t="s">
        <v>1825</v>
      </c>
      <c r="G10" s="1121" t="s">
        <v>1826</v>
      </c>
      <c r="H10" s="1121" t="s">
        <v>1827</v>
      </c>
      <c r="I10" s="1121" t="s">
        <v>1196</v>
      </c>
      <c r="J10" s="1121" t="s">
        <v>1828</v>
      </c>
      <c r="K10" s="1123" t="s">
        <v>1829</v>
      </c>
      <c r="L10" s="2281"/>
      <c r="M10" s="1147"/>
      <c r="N10" s="1854"/>
      <c r="O10" s="2282"/>
      <c r="P10" s="1259" t="s">
        <v>1926</v>
      </c>
      <c r="Q10" s="1213" t="s">
        <v>1859</v>
      </c>
      <c r="R10" s="1213" t="s">
        <v>1860</v>
      </c>
      <c r="S10" s="1213" t="s">
        <v>1861</v>
      </c>
      <c r="T10" s="1214" t="s">
        <v>1927</v>
      </c>
      <c r="U10" s="1213" t="s">
        <v>1883</v>
      </c>
      <c r="V10" s="1213" t="s">
        <v>1833</v>
      </c>
      <c r="W10" s="1214" t="s">
        <v>1834</v>
      </c>
      <c r="X10" s="1259" t="s">
        <v>1928</v>
      </c>
      <c r="Y10" s="1213" t="s">
        <v>1929</v>
      </c>
      <c r="Z10" s="1213" t="s">
        <v>1930</v>
      </c>
      <c r="AA10" s="1259" t="s">
        <v>1931</v>
      </c>
      <c r="AB10" s="1213" t="s">
        <v>1932</v>
      </c>
      <c r="AC10" s="1214" t="s">
        <v>1933</v>
      </c>
    </row>
    <row r="11" spans="1:29" ht="30" customHeight="1">
      <c r="A11" s="1067" t="s">
        <v>1934</v>
      </c>
      <c r="B11" s="1124" t="s">
        <v>1481</v>
      </c>
      <c r="C11" s="1125" t="s">
        <v>1173</v>
      </c>
      <c r="D11" s="1070" t="s">
        <v>2790</v>
      </c>
      <c r="E11" s="1064">
        <v>0</v>
      </c>
      <c r="F11" s="1181"/>
      <c r="G11" s="1137">
        <f>E11*(IF(F11="Simple",U11,(IF(F11="Standard",V11,(IF(F11="Complex",W11,0))))))</f>
        <v>0</v>
      </c>
      <c r="H11" s="1062">
        <v>0</v>
      </c>
      <c r="I11" s="1062">
        <v>0</v>
      </c>
      <c r="J11" s="1062">
        <v>0</v>
      </c>
      <c r="K11" s="1063"/>
      <c r="L11" s="2149" t="s">
        <v>1882</v>
      </c>
      <c r="M11" s="1142"/>
      <c r="N11" s="1207"/>
      <c r="O11" s="1149" t="s">
        <v>1481</v>
      </c>
      <c r="P11" s="1337"/>
      <c r="Q11" s="1227"/>
      <c r="R11" s="1151"/>
      <c r="S11" s="1293"/>
      <c r="T11" s="1152"/>
      <c r="U11" s="1816">
        <v>16</v>
      </c>
      <c r="V11" s="1151">
        <v>32</v>
      </c>
      <c r="W11" s="1152">
        <v>48</v>
      </c>
      <c r="X11" s="1232"/>
      <c r="Y11" s="1295"/>
      <c r="Z11" s="1246"/>
      <c r="AA11" s="1232"/>
      <c r="AB11" s="1151"/>
      <c r="AC11" s="1260"/>
    </row>
    <row r="12" spans="1:29" ht="30" customHeight="1">
      <c r="A12" s="1067" t="s">
        <v>1935</v>
      </c>
      <c r="B12" s="1126" t="s">
        <v>1482</v>
      </c>
      <c r="C12" s="351" t="s">
        <v>367</v>
      </c>
      <c r="D12" s="1210" t="s">
        <v>1863</v>
      </c>
      <c r="E12" s="1064">
        <v>0</v>
      </c>
      <c r="F12" s="1129"/>
      <c r="G12" s="1138">
        <f>E12*X12</f>
        <v>0</v>
      </c>
      <c r="H12" s="1065">
        <v>0</v>
      </c>
      <c r="I12" s="1065">
        <v>0</v>
      </c>
      <c r="J12" s="1065">
        <v>0</v>
      </c>
      <c r="K12" s="1066"/>
      <c r="L12" s="2150"/>
      <c r="M12" s="1142"/>
      <c r="N12" s="1207"/>
      <c r="O12" s="1149" t="s">
        <v>1482</v>
      </c>
      <c r="P12" s="1337"/>
      <c r="Q12" s="1227"/>
      <c r="R12" s="1151"/>
      <c r="S12" s="1314"/>
      <c r="T12" s="1153"/>
      <c r="U12" s="1296"/>
      <c r="V12" s="1206"/>
      <c r="W12" s="1153"/>
      <c r="X12" s="1232">
        <v>32</v>
      </c>
      <c r="Y12" s="1293"/>
      <c r="Z12" s="1151"/>
      <c r="AA12" s="1232"/>
      <c r="AB12" s="1151"/>
      <c r="AC12" s="1261"/>
    </row>
    <row r="13" spans="1:29" ht="30" customHeight="1">
      <c r="A13" s="1067" t="s">
        <v>1936</v>
      </c>
      <c r="B13" s="2152" t="s">
        <v>1483</v>
      </c>
      <c r="C13" s="2109" t="s">
        <v>1775</v>
      </c>
      <c r="D13" s="1210" t="s">
        <v>1775</v>
      </c>
      <c r="E13" s="1064">
        <v>0</v>
      </c>
      <c r="F13" s="1129"/>
      <c r="G13" s="1138">
        <f>IF(E13&gt;0,ROUNDUP(X13+(E13*AA13),0),0)</f>
        <v>0</v>
      </c>
      <c r="H13" s="1065">
        <v>0</v>
      </c>
      <c r="I13" s="1065">
        <v>0</v>
      </c>
      <c r="J13" s="1065">
        <v>0</v>
      </c>
      <c r="K13" s="1066"/>
      <c r="L13" s="2150"/>
      <c r="M13" s="1142"/>
      <c r="N13" s="1207"/>
      <c r="O13" s="2278" t="s">
        <v>1483</v>
      </c>
      <c r="P13" s="1338"/>
      <c r="Q13" s="1333"/>
      <c r="R13" s="1156"/>
      <c r="S13" s="1344"/>
      <c r="T13" s="1157"/>
      <c r="U13" s="1301"/>
      <c r="V13" s="1156"/>
      <c r="W13" s="1144"/>
      <c r="X13" s="1302">
        <v>16</v>
      </c>
      <c r="Y13" s="1309"/>
      <c r="Z13" s="1161"/>
      <c r="AA13" s="1302">
        <v>1.25</v>
      </c>
      <c r="AB13" s="1161"/>
      <c r="AC13" s="1316"/>
    </row>
    <row r="14" spans="1:29" ht="30" customHeight="1">
      <c r="A14" s="1067" t="s">
        <v>1937</v>
      </c>
      <c r="B14" s="2147"/>
      <c r="C14" s="2276"/>
      <c r="D14" s="1210" t="s">
        <v>617</v>
      </c>
      <c r="E14" s="1064">
        <v>0</v>
      </c>
      <c r="F14" s="1129"/>
      <c r="G14" s="1209">
        <f>E14*X14</f>
        <v>0</v>
      </c>
      <c r="H14" s="1065">
        <v>0</v>
      </c>
      <c r="I14" s="1065">
        <v>0</v>
      </c>
      <c r="J14" s="1065">
        <v>0</v>
      </c>
      <c r="K14" s="1066"/>
      <c r="L14" s="2150"/>
      <c r="M14" s="1142"/>
      <c r="N14" s="1207"/>
      <c r="O14" s="2280"/>
      <c r="P14" s="1340"/>
      <c r="Q14" s="1334"/>
      <c r="R14" s="1158"/>
      <c r="S14" s="1310"/>
      <c r="T14" s="1345"/>
      <c r="U14" s="1300"/>
      <c r="V14" s="1297"/>
      <c r="W14" s="1159"/>
      <c r="X14" s="1303">
        <v>3</v>
      </c>
      <c r="Y14" s="1310"/>
      <c r="Z14" s="1158"/>
      <c r="AA14" s="1303"/>
      <c r="AB14" s="1158"/>
      <c r="AC14" s="1317"/>
    </row>
    <row r="15" spans="1:29" ht="30" customHeight="1">
      <c r="A15" s="1067" t="s">
        <v>1938</v>
      </c>
      <c r="B15" s="2164" t="s">
        <v>1484</v>
      </c>
      <c r="C15" s="2109" t="s">
        <v>1864</v>
      </c>
      <c r="D15" s="2234" t="s">
        <v>1835</v>
      </c>
      <c r="E15" s="1064">
        <v>0</v>
      </c>
      <c r="F15" s="1138" t="s">
        <v>1833</v>
      </c>
      <c r="G15" s="1138">
        <f>E15*V15</f>
        <v>0</v>
      </c>
      <c r="H15" s="1065">
        <v>0</v>
      </c>
      <c r="I15" s="1065">
        <v>0</v>
      </c>
      <c r="J15" s="1065">
        <v>0</v>
      </c>
      <c r="K15" s="1066"/>
      <c r="L15" s="2150"/>
      <c r="M15" s="1142"/>
      <c r="N15" s="1207"/>
      <c r="O15" s="2278" t="s">
        <v>1484</v>
      </c>
      <c r="P15" s="1342"/>
      <c r="Q15" s="1335"/>
      <c r="R15" s="1161"/>
      <c r="S15" s="1309"/>
      <c r="T15" s="1162"/>
      <c r="U15" s="1301"/>
      <c r="V15" s="1161">
        <v>8</v>
      </c>
      <c r="W15" s="1163"/>
      <c r="X15" s="1304"/>
      <c r="Y15" s="1311"/>
      <c r="Z15" s="1322"/>
      <c r="AA15" s="1304"/>
      <c r="AB15" s="1322"/>
      <c r="AC15" s="1318"/>
    </row>
    <row r="16" spans="1:29" ht="30" customHeight="1">
      <c r="A16" s="1067" t="s">
        <v>1939</v>
      </c>
      <c r="B16" s="2165"/>
      <c r="C16" s="2110"/>
      <c r="D16" s="2277"/>
      <c r="E16" s="1064">
        <v>0</v>
      </c>
      <c r="F16" s="1138" t="s">
        <v>1834</v>
      </c>
      <c r="G16" s="1138">
        <f>E16*W16</f>
        <v>0</v>
      </c>
      <c r="H16" s="1065">
        <v>0</v>
      </c>
      <c r="I16" s="1065">
        <v>0</v>
      </c>
      <c r="J16" s="1065">
        <v>0</v>
      </c>
      <c r="K16" s="1066"/>
      <c r="L16" s="2150"/>
      <c r="M16" s="1142"/>
      <c r="N16" s="1207"/>
      <c r="O16" s="2279"/>
      <c r="P16" s="1341"/>
      <c r="Q16" s="1336"/>
      <c r="R16" s="1164"/>
      <c r="S16" s="1165"/>
      <c r="T16" s="1346"/>
      <c r="U16" s="1324"/>
      <c r="V16" s="1298"/>
      <c r="W16" s="1165">
        <v>12</v>
      </c>
      <c r="X16" s="1305"/>
      <c r="Y16" s="1312"/>
      <c r="Z16" s="1298"/>
      <c r="AA16" s="1305"/>
      <c r="AB16" s="1298"/>
      <c r="AC16" s="1319"/>
    </row>
    <row r="17" spans="1:29" ht="30" customHeight="1">
      <c r="A17" s="1067" t="s">
        <v>1940</v>
      </c>
      <c r="B17" s="2166"/>
      <c r="C17" s="2276"/>
      <c r="D17" s="1210" t="s">
        <v>1865</v>
      </c>
      <c r="E17" s="1064">
        <v>0</v>
      </c>
      <c r="F17" s="1129"/>
      <c r="G17" s="1138">
        <f>E17*X17</f>
        <v>0</v>
      </c>
      <c r="H17" s="1065">
        <v>0</v>
      </c>
      <c r="I17" s="1065">
        <v>0</v>
      </c>
      <c r="J17" s="1065">
        <v>0</v>
      </c>
      <c r="K17" s="1066"/>
      <c r="L17" s="2150"/>
      <c r="M17" s="1142"/>
      <c r="N17" s="1207"/>
      <c r="O17" s="2280"/>
      <c r="P17" s="1339"/>
      <c r="Q17" s="1226"/>
      <c r="R17" s="1167"/>
      <c r="S17" s="1313"/>
      <c r="T17" s="1249"/>
      <c r="U17" s="1300"/>
      <c r="V17" s="1299"/>
      <c r="W17" s="1170"/>
      <c r="X17" s="1306">
        <v>2</v>
      </c>
      <c r="Y17" s="1313"/>
      <c r="Z17" s="1167"/>
      <c r="AA17" s="1306"/>
      <c r="AB17" s="1167"/>
      <c r="AC17" s="1320"/>
    </row>
    <row r="18" spans="1:29" ht="30" customHeight="1">
      <c r="A18" s="1067" t="s">
        <v>1941</v>
      </c>
      <c r="B18" s="2164" t="s">
        <v>1485</v>
      </c>
      <c r="C18" s="2109" t="s">
        <v>1866</v>
      </c>
      <c r="D18" s="2234" t="s">
        <v>1867</v>
      </c>
      <c r="E18" s="1064">
        <v>0</v>
      </c>
      <c r="F18" s="1138" t="s">
        <v>1833</v>
      </c>
      <c r="G18" s="1138">
        <f>E18*V18</f>
        <v>0</v>
      </c>
      <c r="H18" s="1065">
        <v>0</v>
      </c>
      <c r="I18" s="1065">
        <v>0</v>
      </c>
      <c r="J18" s="1065">
        <v>0</v>
      </c>
      <c r="K18" s="1066"/>
      <c r="L18" s="2150"/>
      <c r="M18" s="1142"/>
      <c r="N18" s="1207"/>
      <c r="O18" s="2278" t="s">
        <v>1485</v>
      </c>
      <c r="P18" s="1342"/>
      <c r="Q18" s="1335"/>
      <c r="R18" s="1161"/>
      <c r="S18" s="1309"/>
      <c r="T18" s="1162"/>
      <c r="U18" s="1301"/>
      <c r="V18" s="1161">
        <v>24</v>
      </c>
      <c r="W18" s="1163"/>
      <c r="X18" s="1304"/>
      <c r="Y18" s="1311"/>
      <c r="Z18" s="1322"/>
      <c r="AA18" s="1304"/>
      <c r="AB18" s="1322"/>
      <c r="AC18" s="1318"/>
    </row>
    <row r="19" spans="1:29" ht="30" customHeight="1">
      <c r="A19" s="1067" t="s">
        <v>1942</v>
      </c>
      <c r="B19" s="2165"/>
      <c r="C19" s="2110"/>
      <c r="D19" s="2277"/>
      <c r="E19" s="1064">
        <v>0</v>
      </c>
      <c r="F19" s="1138" t="s">
        <v>1834</v>
      </c>
      <c r="G19" s="1138">
        <f>E19*W19</f>
        <v>0</v>
      </c>
      <c r="H19" s="1065">
        <v>0</v>
      </c>
      <c r="I19" s="1065">
        <v>0</v>
      </c>
      <c r="J19" s="1065">
        <v>0</v>
      </c>
      <c r="K19" s="1066"/>
      <c r="L19" s="2150"/>
      <c r="M19" s="1142"/>
      <c r="N19" s="1207"/>
      <c r="O19" s="2279"/>
      <c r="P19" s="1343"/>
      <c r="Q19" s="1336"/>
      <c r="R19" s="1164"/>
      <c r="S19" s="1165"/>
      <c r="T19" s="1346"/>
      <c r="U19" s="1324"/>
      <c r="V19" s="1298"/>
      <c r="W19" s="1165">
        <v>32</v>
      </c>
      <c r="X19" s="1305"/>
      <c r="Y19" s="1312"/>
      <c r="Z19" s="1298"/>
      <c r="AA19" s="1305"/>
      <c r="AB19" s="1298"/>
      <c r="AC19" s="1319"/>
    </row>
    <row r="20" spans="1:29" ht="30" customHeight="1" thickBot="1">
      <c r="A20" s="1067" t="s">
        <v>1943</v>
      </c>
      <c r="B20" s="2166"/>
      <c r="C20" s="2276"/>
      <c r="D20" s="1210" t="s">
        <v>1865</v>
      </c>
      <c r="E20" s="1064">
        <v>0</v>
      </c>
      <c r="F20" s="1129"/>
      <c r="G20" s="1138">
        <f>E20*X20</f>
        <v>0</v>
      </c>
      <c r="H20" s="1065">
        <v>0</v>
      </c>
      <c r="I20" s="1065">
        <v>0</v>
      </c>
      <c r="J20" s="1065">
        <v>0</v>
      </c>
      <c r="K20" s="1066"/>
      <c r="L20" s="2150"/>
      <c r="M20" s="1142"/>
      <c r="N20" s="1207"/>
      <c r="O20" s="2280"/>
      <c r="P20" s="1339"/>
      <c r="Q20" s="1226"/>
      <c r="R20" s="1167"/>
      <c r="S20" s="1313"/>
      <c r="T20" s="1249"/>
      <c r="U20" s="1300"/>
      <c r="V20" s="1299"/>
      <c r="W20" s="1170"/>
      <c r="X20" s="1306">
        <v>2</v>
      </c>
      <c r="Y20" s="1313"/>
      <c r="Z20" s="1167"/>
      <c r="AA20" s="1306"/>
      <c r="AB20" s="1167"/>
      <c r="AC20" s="1320"/>
    </row>
    <row r="21" spans="1:29" ht="20.100000000000001" customHeight="1" thickBot="1">
      <c r="A21" s="1067"/>
      <c r="B21" s="2183" t="s">
        <v>1406</v>
      </c>
      <c r="C21" s="2184"/>
      <c r="D21" s="2184"/>
      <c r="E21" s="2184"/>
      <c r="F21" s="2185"/>
      <c r="G21" s="1130">
        <f>SUM(G11:G20)</f>
        <v>0</v>
      </c>
      <c r="H21" s="1130">
        <f>SUM(H11:H20)</f>
        <v>0</v>
      </c>
      <c r="I21" s="1130">
        <f>SUM(I11:I20)</f>
        <v>0</v>
      </c>
      <c r="J21" s="1130">
        <f>SUM(J11:J20)</f>
        <v>0</v>
      </c>
      <c r="K21" s="1131"/>
      <c r="L21" s="2189"/>
      <c r="M21" s="1173"/>
      <c r="N21" s="1142"/>
      <c r="O21" s="1174"/>
      <c r="P21" s="1174"/>
      <c r="Q21" s="1175"/>
      <c r="R21" s="1176"/>
      <c r="S21" s="1175"/>
      <c r="T21" s="1175"/>
      <c r="U21" s="1175"/>
      <c r="V21" s="1175"/>
      <c r="W21" s="1145"/>
      <c r="X21" s="1145"/>
      <c r="Y21" s="1145"/>
      <c r="Z21" s="1142"/>
      <c r="AA21" s="1145"/>
      <c r="AB21" s="1145"/>
      <c r="AC21" s="1145"/>
    </row>
    <row r="22" spans="1:29" ht="30" customHeight="1">
      <c r="A22" s="1067" t="s">
        <v>1944</v>
      </c>
      <c r="B22" s="1134" t="s">
        <v>1486</v>
      </c>
      <c r="C22" s="1125" t="s">
        <v>307</v>
      </c>
      <c r="D22" s="1070" t="s">
        <v>878</v>
      </c>
      <c r="E22" s="1211">
        <v>1</v>
      </c>
      <c r="F22" s="1347">
        <v>0.05</v>
      </c>
      <c r="G22" s="1578">
        <f>IF($E22=0,0,ROUNDUP($F22*G21,0))</f>
        <v>0</v>
      </c>
      <c r="H22" s="1578">
        <f>IF($E22=0,0,ROUNDUP($F22*H21,0))</f>
        <v>0</v>
      </c>
      <c r="I22" s="1578">
        <f>IF($E22=0,0,ROUNDUP($F22*I21,0))</f>
        <v>0</v>
      </c>
      <c r="J22" s="1065">
        <f>IF($E22=0,0,ROUNDUP($F22*J21,0))</f>
        <v>0</v>
      </c>
      <c r="K22" s="1063"/>
      <c r="L22" s="2190"/>
      <c r="M22" s="1173"/>
      <c r="N22" s="1142"/>
      <c r="O22" s="1149" t="s">
        <v>1486</v>
      </c>
      <c r="P22" s="1337"/>
      <c r="Q22" s="1228"/>
      <c r="R22" s="1172"/>
      <c r="S22" s="1314"/>
      <c r="T22" s="1153"/>
      <c r="U22" s="1154"/>
      <c r="V22" s="1314"/>
      <c r="W22" s="1153"/>
      <c r="X22" s="1307"/>
      <c r="Y22" s="1206"/>
      <c r="Z22" s="1175"/>
      <c r="AA22" s="1307"/>
      <c r="AB22" s="1314"/>
      <c r="AC22" s="1153"/>
    </row>
    <row r="23" spans="1:29" ht="30" customHeight="1" thickBot="1">
      <c r="A23" s="1067" t="s">
        <v>1945</v>
      </c>
      <c r="B23" s="1135" t="s">
        <v>1487</v>
      </c>
      <c r="C23" s="1128" t="s">
        <v>169</v>
      </c>
      <c r="D23" s="1071" t="s">
        <v>878</v>
      </c>
      <c r="E23" s="1211">
        <v>1</v>
      </c>
      <c r="F23" s="1560">
        <v>0.05</v>
      </c>
      <c r="G23" s="1559">
        <f>IF($E23=0,0,ROUNDUP($F23*G21,0))</f>
        <v>0</v>
      </c>
      <c r="H23" s="1559">
        <f>IF($E23=0,0,ROUNDUP($F23*H21,0))</f>
        <v>0</v>
      </c>
      <c r="I23" s="1559">
        <f>IF($E23=0,0,ROUNDUP($F23*I21,0))</f>
        <v>0</v>
      </c>
      <c r="J23" s="1065">
        <f>IF($E23=0,0,ROUNDUP($F23*J21,0))</f>
        <v>0</v>
      </c>
      <c r="K23" s="1069"/>
      <c r="L23" s="2190"/>
      <c r="M23" s="1173"/>
      <c r="N23" s="1142"/>
      <c r="O23" s="1149" t="s">
        <v>1487</v>
      </c>
      <c r="P23" s="1337"/>
      <c r="Q23" s="1228"/>
      <c r="R23" s="1172"/>
      <c r="S23" s="1314"/>
      <c r="T23" s="1153"/>
      <c r="U23" s="1154"/>
      <c r="V23" s="1314"/>
      <c r="W23" s="1153"/>
      <c r="X23" s="1308"/>
      <c r="Y23" s="1206"/>
      <c r="Z23" s="1325"/>
      <c r="AA23" s="1308"/>
      <c r="AB23" s="1314"/>
      <c r="AC23" s="1153"/>
    </row>
    <row r="24" spans="1:29" ht="20.100000000000001" customHeight="1" thickBot="1">
      <c r="B24" s="2183" t="s">
        <v>2565</v>
      </c>
      <c r="C24" s="2184"/>
      <c r="D24" s="2184"/>
      <c r="E24" s="2184"/>
      <c r="F24" s="2185"/>
      <c r="G24" s="1132">
        <f>SUM(G21:G23)</f>
        <v>0</v>
      </c>
      <c r="H24" s="1132">
        <f>SUM(H21:H23)</f>
        <v>0</v>
      </c>
      <c r="I24" s="1132">
        <f>SUM(I21:I23)</f>
        <v>0</v>
      </c>
      <c r="J24" s="1132">
        <f>SUM(J21:J23)</f>
        <v>0</v>
      </c>
      <c r="K24" s="1133"/>
      <c r="L24" s="2191"/>
      <c r="M24" s="1173"/>
      <c r="N24" s="1142"/>
      <c r="O24" s="1177"/>
      <c r="P24" s="1177"/>
      <c r="Q24" s="1178"/>
      <c r="R24" s="1179"/>
      <c r="S24" s="1178"/>
      <c r="T24" s="1178"/>
      <c r="U24" s="1178"/>
      <c r="V24" s="1178"/>
      <c r="W24" s="1145"/>
      <c r="X24" s="1145"/>
      <c r="Y24" s="1145"/>
      <c r="Z24" s="1142"/>
      <c r="AA24" s="1145"/>
      <c r="AB24" s="1145"/>
    </row>
    <row r="25" spans="1:29" ht="15">
      <c r="J25" s="1140" t="s">
        <v>1858</v>
      </c>
      <c r="O25" s="1101"/>
      <c r="P25" s="1101"/>
    </row>
  </sheetData>
  <sheetProtection algorithmName="SHA-512" hashValue="cgD/ncJhVHLR0fJU5teugXPTH8MYnxyVxvrnfz9Gs6WAUGnLhP9LNZemHh46IUro1iqtWuDoNiKW8DvyMbyGpw==" saltValue="dmvPia2yl8F2JaKZbqZ8uA==" spinCount="100000" sheet="1" formatCells="0" formatColumns="0" formatRows="0" insertColumns="0" insertRows="0"/>
  <dataConsolidate link="1"/>
  <mergeCells count="34">
    <mergeCell ref="X9:Z9"/>
    <mergeCell ref="AA9:AC9"/>
    <mergeCell ref="D18:D19"/>
    <mergeCell ref="O18:O20"/>
    <mergeCell ref="O9:O10"/>
    <mergeCell ref="U9:W9"/>
    <mergeCell ref="P9:T9"/>
    <mergeCell ref="O13:O14"/>
    <mergeCell ref="L1:L3"/>
    <mergeCell ref="B4:C4"/>
    <mergeCell ref="D4:J4"/>
    <mergeCell ref="B5:C5"/>
    <mergeCell ref="D5:J5"/>
    <mergeCell ref="L5:L10"/>
    <mergeCell ref="B6:C6"/>
    <mergeCell ref="D6:J6"/>
    <mergeCell ref="B9:B10"/>
    <mergeCell ref="C9:C10"/>
    <mergeCell ref="D9:F9"/>
    <mergeCell ref="B1:C3"/>
    <mergeCell ref="D1:J3"/>
    <mergeCell ref="G9:J9"/>
    <mergeCell ref="B24:F24"/>
    <mergeCell ref="B15:B17"/>
    <mergeCell ref="C15:C17"/>
    <mergeCell ref="D15:D16"/>
    <mergeCell ref="O15:O17"/>
    <mergeCell ref="L11:L20"/>
    <mergeCell ref="B13:B14"/>
    <mergeCell ref="C13:C14"/>
    <mergeCell ref="B18:B20"/>
    <mergeCell ref="C18:C20"/>
    <mergeCell ref="B21:F21"/>
    <mergeCell ref="L21:L24"/>
  </mergeCells>
  <phoneticPr fontId="51" type="noConversion"/>
  <dataValidations xWindow="497" yWindow="462" count="3">
    <dataValidation type="whole" allowBlank="1" showInputMessage="1" showErrorMessage="1" error="Enter 1 or 0._x000a_Yes=1_x000a_No=0" sqref="E22:E23" xr:uid="{F24D063D-7D16-4C8C-B72A-6754F48DE9B7}">
      <formula1>0</formula1>
      <formula2>1</formula2>
    </dataValidation>
    <dataValidation type="list" allowBlank="1" showInputMessage="1" showErrorMessage="1" promptTitle="Estimated Complexity" prompt="Simple= rural project, low number of structures, lots of available date_x000a_Complex = Multilane urban, many structures, not much existing data available" sqref="F11" xr:uid="{F2C8AEDD-F62B-4E1C-A819-3C6F343AC501}">
      <formula1>$U$10:$W$10</formula1>
    </dataValidation>
    <dataValidation type="whole" operator="greaterThanOrEqual" allowBlank="1" showInputMessage="1" showErrorMessage="1" error="Input a whole number greater than or equal to zero." sqref="E11:E20" xr:uid="{8486E155-CB57-4944-B304-173E0923ECE3}">
      <formula1>0</formula1>
    </dataValidation>
  </dataValidations>
  <hyperlinks>
    <hyperlink ref="L4" r:id="rId1" display="Video Tutorial - A short webinar for the Drainage Plans tab" xr:uid="{A0298D7F-E23A-4811-B421-FBFA77F3ECD1}"/>
  </hyperlinks>
  <printOptions horizontalCentered="1"/>
  <pageMargins left="0.5" right="0.5" top="1" bottom="1" header="0.5" footer="0.5"/>
  <pageSetup scale="48" fitToHeight="3" orientation="landscape" horizontalDpi="4294967292" r:id="rId2"/>
  <headerFooter alignWithMargins="0">
    <oddHeader>&amp;C&amp;"Arial,Bold"&amp;14&amp;U&amp;A</oddHeader>
    <oddFooter>&amp;L&amp;F
&amp;A&amp;CPage &amp;P of &amp;N&amp;R&amp;D</oddFooter>
  </headerFooter>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45E19-A044-45BB-B1E2-9D35914FF206}">
  <sheetPr codeName="Sheet18"/>
  <dimension ref="A1:L48"/>
  <sheetViews>
    <sheetView showGridLines="0" zoomScale="115" zoomScaleNormal="115" workbookViewId="0">
      <pane ySplit="3" topLeftCell="A4" activePane="bottomLeft" state="frozen"/>
      <selection activeCell="A47" sqref="A47:A48"/>
      <selection pane="bottomLeft" sqref="A1:G1"/>
    </sheetView>
  </sheetViews>
  <sheetFormatPr defaultColWidth="8.88671875" defaultRowHeight="13.8"/>
  <cols>
    <col min="1" max="1" width="29.6640625" style="1581" customWidth="1"/>
    <col min="2" max="2" width="12.6640625" style="1581" customWidth="1"/>
    <col min="3" max="3" width="58.109375" style="1581" customWidth="1"/>
    <col min="4" max="5" width="13.88671875" style="1581" customWidth="1"/>
    <col min="6" max="6" width="36.6640625" style="1581" customWidth="1"/>
    <col min="7" max="7" width="17.33203125" style="1581" customWidth="1"/>
    <col min="8" max="8" width="8.88671875" style="1581"/>
    <col min="9" max="13" width="0" style="1581" hidden="1" customWidth="1"/>
    <col min="14" max="16384" width="8.88671875" style="1581"/>
  </cols>
  <sheetData>
    <row r="1" spans="1:12" ht="25.8" customHeight="1">
      <c r="A1" s="2318" t="s">
        <v>1607</v>
      </c>
      <c r="B1" s="2318"/>
      <c r="C1" s="2318"/>
      <c r="D1" s="2318"/>
      <c r="E1" s="2318"/>
      <c r="F1" s="2318"/>
      <c r="G1" s="2319"/>
    </row>
    <row r="2" spans="1:12" ht="33" customHeight="1" thickBot="1">
      <c r="A2" s="2320" t="s">
        <v>2591</v>
      </c>
      <c r="B2" s="2320"/>
      <c r="C2" s="2320"/>
      <c r="D2" s="2320"/>
      <c r="E2" s="2320"/>
      <c r="F2" s="2320"/>
      <c r="G2" s="2320"/>
    </row>
    <row r="3" spans="1:12" ht="20.25" customHeight="1" thickBot="1">
      <c r="A3" s="1583" t="s">
        <v>2047</v>
      </c>
      <c r="B3" s="2321" t="s">
        <v>2048</v>
      </c>
      <c r="C3" s="2321"/>
      <c r="D3" s="1584" t="s">
        <v>1825</v>
      </c>
      <c r="E3" s="1584" t="s">
        <v>2049</v>
      </c>
      <c r="F3" s="2322" t="s">
        <v>164</v>
      </c>
      <c r="G3" s="2323"/>
      <c r="I3" s="1581" t="s">
        <v>2050</v>
      </c>
      <c r="J3" s="1581" t="s">
        <v>1883</v>
      </c>
      <c r="K3" s="1581" t="s">
        <v>1833</v>
      </c>
      <c r="L3" s="1581" t="s">
        <v>1834</v>
      </c>
    </row>
    <row r="4" spans="1:12" ht="20.100000000000001" customHeight="1">
      <c r="A4" s="2314" t="s">
        <v>1608</v>
      </c>
      <c r="B4" s="1585" t="s">
        <v>2051</v>
      </c>
      <c r="C4" s="1586" t="s">
        <v>1609</v>
      </c>
      <c r="D4" s="2317"/>
      <c r="E4" s="2302">
        <f>IF(D4="N/A",0,IF(D4="Simple",1,IF(D4="Standard",2,IF(D4="Complex",3,0))))</f>
        <v>0</v>
      </c>
      <c r="F4" s="2307"/>
      <c r="G4" s="2308"/>
    </row>
    <row r="5" spans="1:12" ht="20.100000000000001" customHeight="1">
      <c r="A5" s="2315"/>
      <c r="B5" s="1585" t="s">
        <v>2052</v>
      </c>
      <c r="C5" s="1586" t="s">
        <v>1610</v>
      </c>
      <c r="D5" s="2287"/>
      <c r="E5" s="2303"/>
      <c r="F5" s="2307"/>
      <c r="G5" s="2308"/>
    </row>
    <row r="6" spans="1:12" ht="20.100000000000001" customHeight="1">
      <c r="A6" s="2315"/>
      <c r="B6" s="1585" t="s">
        <v>2053</v>
      </c>
      <c r="C6" s="1586" t="s">
        <v>2054</v>
      </c>
      <c r="D6" s="2287"/>
      <c r="E6" s="2303"/>
      <c r="F6" s="2307"/>
      <c r="G6" s="2308"/>
    </row>
    <row r="7" spans="1:12" ht="20.100000000000001" customHeight="1">
      <c r="A7" s="2316"/>
      <c r="B7" s="1585" t="s">
        <v>2055</v>
      </c>
      <c r="C7" s="1587" t="s">
        <v>2056</v>
      </c>
      <c r="D7" s="2288"/>
      <c r="E7" s="2304"/>
      <c r="F7" s="2309"/>
      <c r="G7" s="2310"/>
    </row>
    <row r="8" spans="1:12" ht="20.100000000000001" customHeight="1">
      <c r="A8" s="2311" t="s">
        <v>1313</v>
      </c>
      <c r="B8" s="1588" t="s">
        <v>2051</v>
      </c>
      <c r="C8" s="1589" t="s">
        <v>2057</v>
      </c>
      <c r="D8" s="2298"/>
      <c r="E8" s="2289">
        <f>IF(D8="N/A",0,IF(D8="Simple",1,IF(D8="Standard",2,IF(D8="Complex",3,0))))</f>
        <v>0</v>
      </c>
      <c r="F8" s="2291"/>
      <c r="G8" s="2292"/>
    </row>
    <row r="9" spans="1:12" ht="20.100000000000001" customHeight="1">
      <c r="A9" s="2312"/>
      <c r="B9" s="1588" t="s">
        <v>2052</v>
      </c>
      <c r="C9" s="1589" t="s">
        <v>1314</v>
      </c>
      <c r="D9" s="2287"/>
      <c r="E9" s="2289"/>
      <c r="F9" s="2293"/>
      <c r="G9" s="2294"/>
    </row>
    <row r="10" spans="1:12" ht="20.100000000000001" customHeight="1">
      <c r="A10" s="2312"/>
      <c r="B10" s="1588" t="s">
        <v>2053</v>
      </c>
      <c r="C10" s="1589" t="s">
        <v>1315</v>
      </c>
      <c r="D10" s="2287"/>
      <c r="E10" s="2289"/>
      <c r="F10" s="2293"/>
      <c r="G10" s="2294"/>
    </row>
    <row r="11" spans="1:12" ht="20.100000000000001" customHeight="1">
      <c r="A11" s="2313"/>
      <c r="B11" s="1588" t="s">
        <v>2055</v>
      </c>
      <c r="C11" s="1589" t="s">
        <v>1316</v>
      </c>
      <c r="D11" s="2288"/>
      <c r="E11" s="2290"/>
      <c r="F11" s="2295"/>
      <c r="G11" s="2296"/>
    </row>
    <row r="12" spans="1:12" ht="20.100000000000001" customHeight="1">
      <c r="A12" s="2299" t="s">
        <v>1317</v>
      </c>
      <c r="B12" s="1585" t="s">
        <v>2051</v>
      </c>
      <c r="C12" s="1586" t="s">
        <v>2058</v>
      </c>
      <c r="D12" s="2298"/>
      <c r="E12" s="2302">
        <f>IF(D12="N/A",0,IF(D12="Simple",1,IF(D12="Standard",2,IF(D12="Complex",3,0))))</f>
        <v>0</v>
      </c>
      <c r="F12" s="2305"/>
      <c r="G12" s="2306"/>
    </row>
    <row r="13" spans="1:12" ht="20.100000000000001" customHeight="1">
      <c r="A13" s="2300"/>
      <c r="B13" s="1585" t="s">
        <v>2052</v>
      </c>
      <c r="C13" s="1586" t="s">
        <v>1318</v>
      </c>
      <c r="D13" s="2287"/>
      <c r="E13" s="2303"/>
      <c r="F13" s="2307"/>
      <c r="G13" s="2308"/>
    </row>
    <row r="14" spans="1:12" ht="20.100000000000001" customHeight="1">
      <c r="A14" s="2300"/>
      <c r="B14" s="1585" t="s">
        <v>2053</v>
      </c>
      <c r="C14" s="1586" t="s">
        <v>1705</v>
      </c>
      <c r="D14" s="2287"/>
      <c r="E14" s="2303"/>
      <c r="F14" s="2307"/>
      <c r="G14" s="2308"/>
    </row>
    <row r="15" spans="1:12" ht="20.100000000000001" customHeight="1">
      <c r="A15" s="2301"/>
      <c r="B15" s="1585" t="s">
        <v>2055</v>
      </c>
      <c r="C15" s="1587" t="s">
        <v>1706</v>
      </c>
      <c r="D15" s="2288"/>
      <c r="E15" s="2304"/>
      <c r="F15" s="2309"/>
      <c r="G15" s="2310"/>
    </row>
    <row r="16" spans="1:12" ht="20.100000000000001" customHeight="1">
      <c r="A16" s="2285" t="s">
        <v>2059</v>
      </c>
      <c r="B16" s="1588" t="s">
        <v>2051</v>
      </c>
      <c r="C16" s="1589" t="s">
        <v>2060</v>
      </c>
      <c r="D16" s="2298"/>
      <c r="E16" s="2289">
        <f>IF(D16="N/A",0,IF(D16="Simple",1,IF(D16="Standard",2,IF(D16="Complex",3,0))))</f>
        <v>0</v>
      </c>
      <c r="F16" s="2291"/>
      <c r="G16" s="2292"/>
    </row>
    <row r="17" spans="1:7" ht="20.100000000000001" customHeight="1">
      <c r="A17" s="2286"/>
      <c r="B17" s="1588" t="s">
        <v>2052</v>
      </c>
      <c r="C17" s="1589" t="s">
        <v>2061</v>
      </c>
      <c r="D17" s="2287"/>
      <c r="E17" s="2289"/>
      <c r="F17" s="2293"/>
      <c r="G17" s="2294"/>
    </row>
    <row r="18" spans="1:7" ht="20.100000000000001" customHeight="1">
      <c r="A18" s="2286"/>
      <c r="B18" s="1588" t="s">
        <v>2053</v>
      </c>
      <c r="C18" s="1589" t="s">
        <v>2062</v>
      </c>
      <c r="D18" s="2287"/>
      <c r="E18" s="2289"/>
      <c r="F18" s="2293"/>
      <c r="G18" s="2294"/>
    </row>
    <row r="19" spans="1:7" ht="20.100000000000001" customHeight="1">
      <c r="A19" s="2297"/>
      <c r="B19" s="1588" t="s">
        <v>2055</v>
      </c>
      <c r="C19" s="1589" t="s">
        <v>2592</v>
      </c>
      <c r="D19" s="2288"/>
      <c r="E19" s="2290"/>
      <c r="F19" s="2295"/>
      <c r="G19" s="2296"/>
    </row>
    <row r="20" spans="1:7" ht="20.100000000000001" customHeight="1">
      <c r="A20" s="2299" t="s">
        <v>1614</v>
      </c>
      <c r="B20" s="1585" t="s">
        <v>2051</v>
      </c>
      <c r="C20" s="1586" t="s">
        <v>1618</v>
      </c>
      <c r="D20" s="2298"/>
      <c r="E20" s="2302">
        <f>IF(D20="N/A",0,IF(D20="Simple",1,IF(D20="Standard",2,IF(D20="Complex",3,0))))</f>
        <v>0</v>
      </c>
      <c r="F20" s="2305"/>
      <c r="G20" s="2306"/>
    </row>
    <row r="21" spans="1:7" ht="20.100000000000001" customHeight="1">
      <c r="A21" s="2300"/>
      <c r="B21" s="1585" t="s">
        <v>2052</v>
      </c>
      <c r="C21" s="1586" t="s">
        <v>2063</v>
      </c>
      <c r="D21" s="2287"/>
      <c r="E21" s="2303"/>
      <c r="F21" s="2307"/>
      <c r="G21" s="2308"/>
    </row>
    <row r="22" spans="1:7" ht="20.100000000000001" customHeight="1">
      <c r="A22" s="2300"/>
      <c r="B22" s="1585" t="s">
        <v>2053</v>
      </c>
      <c r="C22" s="1586" t="s">
        <v>2064</v>
      </c>
      <c r="D22" s="2287"/>
      <c r="E22" s="2303"/>
      <c r="F22" s="2307"/>
      <c r="G22" s="2308"/>
    </row>
    <row r="23" spans="1:7" ht="20.100000000000001" customHeight="1">
      <c r="A23" s="2301"/>
      <c r="B23" s="1585" t="s">
        <v>2055</v>
      </c>
      <c r="C23" s="1587" t="s">
        <v>2065</v>
      </c>
      <c r="D23" s="2288"/>
      <c r="E23" s="2304"/>
      <c r="F23" s="2309"/>
      <c r="G23" s="2310"/>
    </row>
    <row r="24" spans="1:7" ht="20.100000000000001" customHeight="1">
      <c r="A24" s="2285" t="s">
        <v>2593</v>
      </c>
      <c r="B24" s="1588" t="s">
        <v>2051</v>
      </c>
      <c r="C24" s="1589" t="s">
        <v>2066</v>
      </c>
      <c r="D24" s="2298"/>
      <c r="E24" s="2289">
        <f>IF(D24="N/A",0,IF(D24="Simple",1,IF(D24="Standard",2,IF(D24="Complex",3,0))))</f>
        <v>0</v>
      </c>
      <c r="F24" s="2291"/>
      <c r="G24" s="2292"/>
    </row>
    <row r="25" spans="1:7" ht="20.100000000000001" customHeight="1">
      <c r="A25" s="2286"/>
      <c r="B25" s="1588" t="s">
        <v>2052</v>
      </c>
      <c r="C25" s="1589" t="s">
        <v>2067</v>
      </c>
      <c r="D25" s="2287"/>
      <c r="E25" s="2289"/>
      <c r="F25" s="2293"/>
      <c r="G25" s="2294"/>
    </row>
    <row r="26" spans="1:7" ht="20.100000000000001" customHeight="1">
      <c r="A26" s="2286"/>
      <c r="B26" s="1588" t="s">
        <v>2053</v>
      </c>
      <c r="C26" s="1589" t="s">
        <v>1615</v>
      </c>
      <c r="D26" s="2287"/>
      <c r="E26" s="2289"/>
      <c r="F26" s="2293"/>
      <c r="G26" s="2294"/>
    </row>
    <row r="27" spans="1:7" ht="20.100000000000001" customHeight="1">
      <c r="A27" s="2297"/>
      <c r="B27" s="1588" t="s">
        <v>2055</v>
      </c>
      <c r="C27" s="1589" t="s">
        <v>1616</v>
      </c>
      <c r="D27" s="2288"/>
      <c r="E27" s="2290"/>
      <c r="F27" s="2295"/>
      <c r="G27" s="2296"/>
    </row>
    <row r="28" spans="1:7" ht="20.100000000000001" customHeight="1">
      <c r="A28" s="2299" t="s">
        <v>2068</v>
      </c>
      <c r="B28" s="1585" t="s">
        <v>2051</v>
      </c>
      <c r="C28" s="1586" t="s">
        <v>1618</v>
      </c>
      <c r="D28" s="2298"/>
      <c r="E28" s="2302">
        <f>IF(D28="N/A",0,IF(D28="Simple",1,IF(D28="Standard",2,IF(D28="Complex",3,0))))</f>
        <v>0</v>
      </c>
      <c r="F28" s="2305"/>
      <c r="G28" s="2306"/>
    </row>
    <row r="29" spans="1:7" ht="20.100000000000001" customHeight="1">
      <c r="A29" s="2300"/>
      <c r="B29" s="1585" t="s">
        <v>2052</v>
      </c>
      <c r="C29" s="1586" t="s">
        <v>2069</v>
      </c>
      <c r="D29" s="2287"/>
      <c r="E29" s="2303"/>
      <c r="F29" s="2307"/>
      <c r="G29" s="2308"/>
    </row>
    <row r="30" spans="1:7" ht="20.100000000000001" customHeight="1">
      <c r="A30" s="2300"/>
      <c r="B30" s="1585" t="s">
        <v>2053</v>
      </c>
      <c r="C30" s="1586" t="s">
        <v>2070</v>
      </c>
      <c r="D30" s="2287"/>
      <c r="E30" s="2303"/>
      <c r="F30" s="2307"/>
      <c r="G30" s="2308"/>
    </row>
    <row r="31" spans="1:7" ht="20.100000000000001" customHeight="1">
      <c r="A31" s="2301"/>
      <c r="B31" s="1585" t="s">
        <v>2055</v>
      </c>
      <c r="C31" s="1587" t="s">
        <v>2071</v>
      </c>
      <c r="D31" s="2288"/>
      <c r="E31" s="2304"/>
      <c r="F31" s="2309"/>
      <c r="G31" s="2310"/>
    </row>
    <row r="32" spans="1:7" ht="20.100000000000001" customHeight="1">
      <c r="A32" s="2285" t="s">
        <v>2072</v>
      </c>
      <c r="B32" s="1588" t="s">
        <v>2051</v>
      </c>
      <c r="C32" s="1589" t="s">
        <v>1618</v>
      </c>
      <c r="D32" s="2298"/>
      <c r="E32" s="2289">
        <f>IF(D32="N/A",0,IF(D32="Simple",1,IF(D32="Standard",2,IF(D32="Complex",3,0))))</f>
        <v>0</v>
      </c>
      <c r="F32" s="2291"/>
      <c r="G32" s="2292"/>
    </row>
    <row r="33" spans="1:7" ht="20.100000000000001" customHeight="1">
      <c r="A33" s="2286"/>
      <c r="B33" s="1588" t="s">
        <v>2052</v>
      </c>
      <c r="C33" s="1589" t="s">
        <v>2073</v>
      </c>
      <c r="D33" s="2287"/>
      <c r="E33" s="2289"/>
      <c r="F33" s="2293"/>
      <c r="G33" s="2294"/>
    </row>
    <row r="34" spans="1:7" ht="20.100000000000001" customHeight="1">
      <c r="A34" s="2286"/>
      <c r="B34" s="1588" t="s">
        <v>2053</v>
      </c>
      <c r="C34" s="1589" t="s">
        <v>2074</v>
      </c>
      <c r="D34" s="2287"/>
      <c r="E34" s="2289"/>
      <c r="F34" s="2293"/>
      <c r="G34" s="2294"/>
    </row>
    <row r="35" spans="1:7" ht="20.100000000000001" customHeight="1">
      <c r="A35" s="2297"/>
      <c r="B35" s="1588" t="s">
        <v>2055</v>
      </c>
      <c r="C35" s="1589" t="s">
        <v>2075</v>
      </c>
      <c r="D35" s="2288"/>
      <c r="E35" s="2290"/>
      <c r="F35" s="2295"/>
      <c r="G35" s="2296"/>
    </row>
    <row r="36" spans="1:7" ht="20.100000000000001" customHeight="1">
      <c r="A36" s="2299" t="s">
        <v>1617</v>
      </c>
      <c r="B36" s="1585" t="s">
        <v>2051</v>
      </c>
      <c r="C36" s="1586" t="s">
        <v>1618</v>
      </c>
      <c r="D36" s="2298"/>
      <c r="E36" s="2302">
        <f>IF(D36="N/A",0,IF(D36="Simple",1,IF(D36="Standard",2,IF(D36="Complex",3,0))))</f>
        <v>0</v>
      </c>
      <c r="F36" s="2305"/>
      <c r="G36" s="2306"/>
    </row>
    <row r="37" spans="1:7" ht="20.100000000000001" customHeight="1">
      <c r="A37" s="2300"/>
      <c r="B37" s="1585" t="s">
        <v>2052</v>
      </c>
      <c r="C37" s="1586" t="s">
        <v>2076</v>
      </c>
      <c r="D37" s="2287"/>
      <c r="E37" s="2303"/>
      <c r="F37" s="2307"/>
      <c r="G37" s="2308"/>
    </row>
    <row r="38" spans="1:7" ht="20.100000000000001" customHeight="1">
      <c r="A38" s="2300"/>
      <c r="B38" s="1585" t="s">
        <v>2053</v>
      </c>
      <c r="C38" s="1586" t="s">
        <v>2077</v>
      </c>
      <c r="D38" s="2287"/>
      <c r="E38" s="2303"/>
      <c r="F38" s="2307"/>
      <c r="G38" s="2308"/>
    </row>
    <row r="39" spans="1:7" ht="20.100000000000001" customHeight="1">
      <c r="A39" s="2301"/>
      <c r="B39" s="1585" t="s">
        <v>2055</v>
      </c>
      <c r="C39" s="1587" t="s">
        <v>2078</v>
      </c>
      <c r="D39" s="2288"/>
      <c r="E39" s="2304"/>
      <c r="F39" s="2309"/>
      <c r="G39" s="2310"/>
    </row>
    <row r="40" spans="1:7" ht="20.100000000000001" customHeight="1">
      <c r="A40" s="2285" t="s">
        <v>1672</v>
      </c>
      <c r="B40" s="1588" t="s">
        <v>2051</v>
      </c>
      <c r="C40" s="1589" t="s">
        <v>1618</v>
      </c>
      <c r="D40" s="2287"/>
      <c r="E40" s="2289">
        <f>IF(D40="N/A",0,IF(D40="Simple",1,IF(D40="Standard",2,IF(D40="Complex",3,0))))</f>
        <v>0</v>
      </c>
      <c r="F40" s="2291"/>
      <c r="G40" s="2292"/>
    </row>
    <row r="41" spans="1:7" ht="20.100000000000001" customHeight="1">
      <c r="A41" s="2286"/>
      <c r="B41" s="1588" t="s">
        <v>2052</v>
      </c>
      <c r="C41" s="1589" t="s">
        <v>1611</v>
      </c>
      <c r="D41" s="2287"/>
      <c r="E41" s="2289"/>
      <c r="F41" s="2293"/>
      <c r="G41" s="2294"/>
    </row>
    <row r="42" spans="1:7" ht="20.100000000000001" customHeight="1">
      <c r="A42" s="2286"/>
      <c r="B42" s="1588" t="s">
        <v>2053</v>
      </c>
      <c r="C42" s="1589" t="s">
        <v>1612</v>
      </c>
      <c r="D42" s="2287"/>
      <c r="E42" s="2289"/>
      <c r="F42" s="2293"/>
      <c r="G42" s="2294"/>
    </row>
    <row r="43" spans="1:7" ht="20.100000000000001" customHeight="1">
      <c r="A43" s="2286"/>
      <c r="B43" s="1588" t="s">
        <v>2055</v>
      </c>
      <c r="C43" s="1589" t="s">
        <v>1613</v>
      </c>
      <c r="D43" s="2288"/>
      <c r="E43" s="2290"/>
      <c r="F43" s="2295"/>
      <c r="G43" s="2296"/>
    </row>
    <row r="44" spans="1:7" ht="33.75" customHeight="1" thickBot="1">
      <c r="A44" s="2283" t="s">
        <v>2079</v>
      </c>
      <c r="B44" s="2284"/>
      <c r="C44" s="2284"/>
      <c r="D44" s="2284"/>
      <c r="E44" s="1591">
        <f>SUM(E4:E43)</f>
        <v>0</v>
      </c>
      <c r="F44" s="1590" t="s">
        <v>2080</v>
      </c>
      <c r="G44" s="1592" t="str">
        <f>IF(E44=0,"N/A",IF(E44&lt;10,"Simple",IF(E44&lt;21,"Standard","Complex")))</f>
        <v>N/A</v>
      </c>
    </row>
    <row r="45" spans="1:7">
      <c r="A45" s="1582"/>
      <c r="B45" s="1582"/>
      <c r="C45" s="1582"/>
      <c r="D45" s="1582"/>
      <c r="E45" s="1582"/>
      <c r="F45" s="1582"/>
      <c r="G45" s="1582"/>
    </row>
    <row r="46" spans="1:7">
      <c r="A46" s="1582"/>
      <c r="B46" s="1582"/>
      <c r="C46" s="1582"/>
      <c r="D46" s="1582"/>
      <c r="E46" s="1582"/>
      <c r="F46" s="1644" t="s">
        <v>2595</v>
      </c>
      <c r="G46" s="1919" t="s">
        <v>1883</v>
      </c>
    </row>
    <row r="47" spans="1:7">
      <c r="A47" s="1582"/>
      <c r="B47" s="1582"/>
      <c r="C47" s="1582"/>
      <c r="D47" s="1582"/>
      <c r="E47" s="1582"/>
      <c r="F47" s="1645" t="s">
        <v>2594</v>
      </c>
      <c r="G47" s="1920" t="s">
        <v>1833</v>
      </c>
    </row>
    <row r="48" spans="1:7">
      <c r="A48" s="1582"/>
      <c r="B48" s="1582"/>
      <c r="C48" s="1582"/>
      <c r="D48" s="1582"/>
      <c r="E48" s="1582"/>
      <c r="F48" s="1646" t="s">
        <v>2081</v>
      </c>
      <c r="G48" s="1921" t="s">
        <v>1834</v>
      </c>
    </row>
  </sheetData>
  <mergeCells count="45">
    <mergeCell ref="A4:A7"/>
    <mergeCell ref="D4:D7"/>
    <mergeCell ref="E4:E7"/>
    <mergeCell ref="F4:G7"/>
    <mergeCell ref="A1:G1"/>
    <mergeCell ref="A2:G2"/>
    <mergeCell ref="B3:C3"/>
    <mergeCell ref="F3:G3"/>
    <mergeCell ref="A8:A11"/>
    <mergeCell ref="D8:D11"/>
    <mergeCell ref="E8:E11"/>
    <mergeCell ref="F8:G11"/>
    <mergeCell ref="A12:A15"/>
    <mergeCell ref="D12:D15"/>
    <mergeCell ref="E12:E15"/>
    <mergeCell ref="F12:G15"/>
    <mergeCell ref="A16:A19"/>
    <mergeCell ref="D16:D19"/>
    <mergeCell ref="E16:E19"/>
    <mergeCell ref="F16:G19"/>
    <mergeCell ref="A20:A23"/>
    <mergeCell ref="D20:D23"/>
    <mergeCell ref="E20:E23"/>
    <mergeCell ref="F20:G23"/>
    <mergeCell ref="A24:A27"/>
    <mergeCell ref="D24:D27"/>
    <mergeCell ref="E24:E27"/>
    <mergeCell ref="F24:G27"/>
    <mergeCell ref="A28:A31"/>
    <mergeCell ref="D28:D31"/>
    <mergeCell ref="E28:E31"/>
    <mergeCell ref="F28:G31"/>
    <mergeCell ref="A32:A35"/>
    <mergeCell ref="D32:D35"/>
    <mergeCell ref="E32:E35"/>
    <mergeCell ref="F32:G35"/>
    <mergeCell ref="A36:A39"/>
    <mergeCell ref="D36:D39"/>
    <mergeCell ref="E36:E39"/>
    <mergeCell ref="F36:G39"/>
    <mergeCell ref="A44:D44"/>
    <mergeCell ref="A40:A43"/>
    <mergeCell ref="D40:D43"/>
    <mergeCell ref="E40:E43"/>
    <mergeCell ref="F40:G43"/>
  </mergeCells>
  <dataValidations count="1">
    <dataValidation type="list" allowBlank="1" showInputMessage="1" showErrorMessage="1" sqref="D4:D5 D8:D43" xr:uid="{2A69336B-1F39-4EDF-8FB8-BBA9E1C8D638}">
      <formula1>$I$3:$L$3</formula1>
    </dataValidation>
  </dataValidation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ACB2C-1ACA-43F9-83A8-65E38B36ACBB}">
  <sheetPr codeName="Sheet19"/>
  <dimension ref="A1:AF48"/>
  <sheetViews>
    <sheetView showGridLines="0" topLeftCell="B1" zoomScale="85" zoomScaleNormal="85" workbookViewId="0">
      <selection activeCell="B1" sqref="B1:C3"/>
    </sheetView>
  </sheetViews>
  <sheetFormatPr defaultColWidth="9.109375" defaultRowHeight="13.8"/>
  <cols>
    <col min="1" max="1" width="12.6640625" style="348" hidden="1" customWidth="1"/>
    <col min="2" max="2" width="6.6640625" style="348" customWidth="1"/>
    <col min="3" max="3" width="50.6640625" style="348" customWidth="1"/>
    <col min="4" max="10" width="14.6640625" style="348" customWidth="1"/>
    <col min="11" max="11" width="100.6640625" style="348" customWidth="1"/>
    <col min="12" max="12" width="70.6640625" style="348" customWidth="1"/>
    <col min="13" max="13" width="8.6640625" style="348" customWidth="1"/>
    <col min="14" max="14" width="15.5546875" style="348" customWidth="1"/>
    <col min="15" max="15" width="8.6640625" style="348" hidden="1" customWidth="1"/>
    <col min="16" max="16" width="12.5546875" style="348" hidden="1" customWidth="1"/>
    <col min="17" max="22" width="12.6640625" style="1097" hidden="1" customWidth="1"/>
    <col min="23" max="25" width="12.6640625" style="1067" hidden="1" customWidth="1"/>
    <col min="26" max="26" width="12.6640625" style="348" hidden="1" customWidth="1"/>
    <col min="27" max="28" width="12.6640625" style="1067" hidden="1" customWidth="1"/>
    <col min="29" max="29" width="12.5546875" style="348" hidden="1" customWidth="1"/>
    <col min="30" max="16384" width="9.109375" style="348"/>
  </cols>
  <sheetData>
    <row r="1" spans="1:32" ht="15" customHeight="1">
      <c r="B1" s="2136" t="s">
        <v>592</v>
      </c>
      <c r="C1" s="2137"/>
      <c r="D1" s="2133" t="s">
        <v>2112</v>
      </c>
      <c r="E1" s="2133"/>
      <c r="F1" s="2133"/>
      <c r="G1" s="2133"/>
      <c r="H1" s="2133"/>
      <c r="I1" s="2133"/>
      <c r="J1" s="2133"/>
      <c r="K1" s="1055" t="str">
        <f>'Project Information'!B3</f>
        <v>Enter project name &amp; description</v>
      </c>
      <c r="L1" s="2120" t="s">
        <v>1819</v>
      </c>
      <c r="M1" s="1141"/>
      <c r="N1" s="1142"/>
      <c r="O1" s="1141"/>
      <c r="P1" s="1141"/>
      <c r="Q1" s="1143"/>
      <c r="R1" s="1143"/>
      <c r="S1" s="1143"/>
      <c r="T1" s="1143"/>
      <c r="U1" s="1144"/>
      <c r="V1" s="1144"/>
      <c r="W1" s="1145"/>
      <c r="X1" s="1145"/>
      <c r="Y1" s="1145"/>
      <c r="Z1" s="1142"/>
      <c r="AA1" s="1145"/>
      <c r="AB1" s="1145"/>
    </row>
    <row r="2" spans="1:32" ht="15" customHeight="1">
      <c r="B2" s="2138"/>
      <c r="C2" s="2139"/>
      <c r="D2" s="2134"/>
      <c r="E2" s="2134"/>
      <c r="F2" s="2134"/>
      <c r="G2" s="2134"/>
      <c r="H2" s="2134"/>
      <c r="I2" s="2134"/>
      <c r="J2" s="2134"/>
      <c r="K2" s="1056" t="str">
        <f>'Project Information'!B1</f>
        <v>999999-1-32-01</v>
      </c>
      <c r="L2" s="2121"/>
      <c r="M2" s="1141"/>
      <c r="N2" s="1142"/>
      <c r="O2" s="1141"/>
      <c r="P2" s="1141"/>
      <c r="Q2" s="1143"/>
      <c r="R2" s="1143"/>
      <c r="S2" s="1143"/>
      <c r="T2" s="1143"/>
      <c r="U2" s="1144"/>
      <c r="V2" s="1144"/>
      <c r="W2" s="1145"/>
      <c r="X2" s="1145"/>
      <c r="Y2" s="1145"/>
      <c r="Z2" s="1142"/>
      <c r="AA2" s="1145"/>
      <c r="AB2" s="1145"/>
    </row>
    <row r="3" spans="1:32" s="1058" customFormat="1" ht="15" customHeight="1" thickBot="1">
      <c r="B3" s="2140"/>
      <c r="C3" s="2141"/>
      <c r="D3" s="2135"/>
      <c r="E3" s="2135"/>
      <c r="F3" s="2135"/>
      <c r="G3" s="2135"/>
      <c r="H3" s="2135"/>
      <c r="I3" s="2135"/>
      <c r="J3" s="2135"/>
      <c r="K3" s="1057"/>
      <c r="L3" s="2122"/>
      <c r="M3" s="1141"/>
      <c r="N3" s="1146"/>
      <c r="O3" s="1141"/>
      <c r="P3" s="1141"/>
      <c r="Q3" s="1144"/>
      <c r="R3" s="1144"/>
      <c r="S3" s="1144"/>
      <c r="T3" s="1144"/>
      <c r="U3" s="1144"/>
      <c r="V3" s="1144"/>
      <c r="W3" s="1145"/>
      <c r="X3" s="1145"/>
      <c r="Y3" s="1145"/>
      <c r="Z3" s="1146"/>
      <c r="AA3" s="1145"/>
      <c r="AB3" s="1145"/>
    </row>
    <row r="4" spans="1:32" s="1058" customFormat="1" ht="30" customHeight="1" thickBot="1">
      <c r="B4" s="2198" t="s">
        <v>1396</v>
      </c>
      <c r="C4" s="2199"/>
      <c r="D4" s="2200" t="s">
        <v>1397</v>
      </c>
      <c r="E4" s="2200"/>
      <c r="F4" s="2200"/>
      <c r="G4" s="2200"/>
      <c r="H4" s="2200"/>
      <c r="I4" s="2200"/>
      <c r="J4" s="2200"/>
      <c r="K4" s="1111" t="s">
        <v>1398</v>
      </c>
      <c r="L4" s="1580" t="s">
        <v>2625</v>
      </c>
      <c r="M4" s="1147"/>
      <c r="N4" s="1146"/>
      <c r="O4" s="1147"/>
      <c r="P4" s="1147"/>
      <c r="Q4" s="1148"/>
      <c r="R4" s="1148"/>
      <c r="S4" s="1148"/>
      <c r="T4" s="1148"/>
      <c r="U4" s="1144"/>
      <c r="V4" s="1144"/>
      <c r="W4" s="1145"/>
      <c r="X4" s="1145"/>
      <c r="Y4" s="1145"/>
      <c r="Z4" s="1146"/>
      <c r="AA4" s="1145"/>
      <c r="AB4" s="1145"/>
    </row>
    <row r="5" spans="1:32" s="1058" customFormat="1" ht="30" customHeight="1">
      <c r="B5" s="2201" t="s">
        <v>1400</v>
      </c>
      <c r="C5" s="2202"/>
      <c r="D5" s="2203"/>
      <c r="E5" s="2203"/>
      <c r="F5" s="2203"/>
      <c r="G5" s="2203"/>
      <c r="H5" s="2203"/>
      <c r="I5" s="2203"/>
      <c r="J5" s="2130"/>
      <c r="K5" s="1059"/>
      <c r="L5" s="2195" t="s">
        <v>1820</v>
      </c>
      <c r="M5" s="1147"/>
      <c r="N5" s="1146"/>
      <c r="O5" s="1147"/>
      <c r="P5" s="1147"/>
      <c r="Q5" s="1148"/>
      <c r="R5" s="1148"/>
      <c r="S5" s="1148"/>
      <c r="T5" s="1148"/>
      <c r="U5" s="1144"/>
      <c r="V5" s="1144"/>
      <c r="W5" s="1145"/>
      <c r="X5" s="1145"/>
      <c r="Y5" s="1145"/>
      <c r="Z5" s="1146"/>
      <c r="AA5" s="1145"/>
      <c r="AB5" s="1145"/>
    </row>
    <row r="6" spans="1:32" s="1058" customFormat="1" ht="30" customHeight="1" thickBot="1">
      <c r="B6" s="2204" t="s">
        <v>1399</v>
      </c>
      <c r="C6" s="2205"/>
      <c r="D6" s="2206"/>
      <c r="E6" s="2206"/>
      <c r="F6" s="2206"/>
      <c r="G6" s="2206"/>
      <c r="H6" s="2206"/>
      <c r="I6" s="2206"/>
      <c r="J6" s="2114"/>
      <c r="K6" s="1060"/>
      <c r="L6" s="2196"/>
      <c r="M6" s="1147"/>
      <c r="N6" s="1146"/>
      <c r="O6" s="1147"/>
      <c r="P6" s="1147"/>
      <c r="Q6" s="1148"/>
      <c r="R6" s="1148"/>
      <c r="S6" s="1148"/>
      <c r="T6" s="1148"/>
      <c r="U6" s="1144"/>
      <c r="V6" s="1144"/>
      <c r="W6" s="1145"/>
      <c r="X6" s="1145"/>
      <c r="Y6" s="1145"/>
      <c r="Z6" s="1146"/>
      <c r="AA6" s="1145"/>
      <c r="AB6" s="1145"/>
    </row>
    <row r="7" spans="1:32" s="1058" customFormat="1" ht="15" customHeight="1">
      <c r="B7" s="1112" t="s">
        <v>1430</v>
      </c>
      <c r="C7" s="1113"/>
      <c r="D7" s="1114"/>
      <c r="E7" s="1114"/>
      <c r="F7" s="1114"/>
      <c r="G7" s="1114"/>
      <c r="H7" s="1114"/>
      <c r="I7" s="1114"/>
      <c r="J7" s="1114"/>
      <c r="K7" s="1821"/>
      <c r="L7" s="2196"/>
      <c r="M7" s="1147"/>
      <c r="N7" s="1146"/>
      <c r="O7" s="1147"/>
      <c r="P7" s="1147"/>
      <c r="Q7" s="1144"/>
      <c r="R7" s="1144"/>
      <c r="S7" s="1144"/>
      <c r="T7" s="1144"/>
      <c r="U7" s="1144"/>
      <c r="V7" s="1144"/>
      <c r="W7" s="1145"/>
      <c r="X7" s="1145"/>
      <c r="Y7" s="1145"/>
      <c r="Z7" s="1146"/>
      <c r="AA7" s="1145"/>
      <c r="AB7" s="1145"/>
    </row>
    <row r="8" spans="1:32" s="1058" customFormat="1" ht="15" customHeight="1" thickBot="1">
      <c r="B8" s="1116"/>
      <c r="C8" s="1117"/>
      <c r="D8" s="1118"/>
      <c r="E8" s="1118"/>
      <c r="F8" s="1118"/>
      <c r="G8" s="1118"/>
      <c r="H8" s="1118"/>
      <c r="I8" s="1118"/>
      <c r="J8" s="1118"/>
      <c r="K8" s="1822"/>
      <c r="L8" s="2196"/>
      <c r="M8" s="1147"/>
      <c r="N8" s="1146"/>
      <c r="O8" s="1147"/>
      <c r="P8" s="1147"/>
      <c r="Q8" s="1144"/>
      <c r="R8" s="1144"/>
      <c r="S8" s="1144"/>
      <c r="T8" s="1144"/>
      <c r="U8" s="1144"/>
      <c r="V8" s="1144"/>
      <c r="W8" s="1145"/>
      <c r="X8" s="1145"/>
      <c r="Y8" s="1145"/>
      <c r="Z8" s="1146"/>
      <c r="AA8" s="1145"/>
      <c r="AB8" s="1145"/>
    </row>
    <row r="9" spans="1:32" s="1061" customFormat="1" ht="30" customHeight="1">
      <c r="B9" s="2153" t="s">
        <v>79</v>
      </c>
      <c r="C9" s="2155" t="s">
        <v>190</v>
      </c>
      <c r="D9" s="2230" t="s">
        <v>1821</v>
      </c>
      <c r="E9" s="2230"/>
      <c r="F9" s="2230"/>
      <c r="G9" s="2157" t="s">
        <v>1822</v>
      </c>
      <c r="H9" s="2158"/>
      <c r="I9" s="2158"/>
      <c r="J9" s="2158"/>
      <c r="K9" s="1120" t="s">
        <v>1823</v>
      </c>
      <c r="L9" s="2196"/>
      <c r="M9" s="1147"/>
      <c r="N9" s="2324"/>
      <c r="O9" s="2167" t="s">
        <v>190</v>
      </c>
      <c r="P9" s="2214" t="s">
        <v>1869</v>
      </c>
      <c r="Q9" s="2213"/>
      <c r="R9" s="2213"/>
      <c r="S9" s="2213"/>
      <c r="T9" s="2215"/>
      <c r="U9" s="2214" t="s">
        <v>1914</v>
      </c>
      <c r="V9" s="2213"/>
      <c r="W9" s="2215"/>
      <c r="X9" s="2214" t="s">
        <v>1960</v>
      </c>
      <c r="Y9" s="2213"/>
      <c r="Z9" s="2215"/>
      <c r="AA9" s="2214" t="s">
        <v>1862</v>
      </c>
      <c r="AB9" s="2213"/>
      <c r="AC9" s="2215"/>
    </row>
    <row r="10" spans="1:32" s="1061" customFormat="1" ht="30" customHeight="1">
      <c r="B10" s="2154"/>
      <c r="C10" s="2156"/>
      <c r="D10" s="1879" t="s">
        <v>1824</v>
      </c>
      <c r="E10" s="1879" t="s">
        <v>87</v>
      </c>
      <c r="F10" s="1879" t="s">
        <v>1825</v>
      </c>
      <c r="G10" s="2177" t="s">
        <v>1826</v>
      </c>
      <c r="H10" s="2177" t="s">
        <v>1827</v>
      </c>
      <c r="I10" s="2177" t="s">
        <v>1196</v>
      </c>
      <c r="J10" s="2177" t="s">
        <v>1828</v>
      </c>
      <c r="K10" s="2207" t="s">
        <v>1829</v>
      </c>
      <c r="L10" s="2196"/>
      <c r="M10" s="1147"/>
      <c r="N10" s="2324"/>
      <c r="O10" s="2167"/>
      <c r="P10" s="1606" t="s">
        <v>1926</v>
      </c>
      <c r="Q10" s="1607" t="s">
        <v>1859</v>
      </c>
      <c r="R10" s="1607" t="s">
        <v>1860</v>
      </c>
      <c r="S10" s="1607" t="s">
        <v>1861</v>
      </c>
      <c r="T10" s="1608" t="s">
        <v>1927</v>
      </c>
      <c r="U10" s="1607" t="s">
        <v>1883</v>
      </c>
      <c r="V10" s="1607" t="s">
        <v>1833</v>
      </c>
      <c r="W10" s="1608" t="s">
        <v>1834</v>
      </c>
      <c r="X10" s="1606" t="s">
        <v>1928</v>
      </c>
      <c r="Y10" s="1607" t="s">
        <v>1929</v>
      </c>
      <c r="Z10" s="1607" t="s">
        <v>1930</v>
      </c>
      <c r="AA10" s="1606" t="s">
        <v>1931</v>
      </c>
      <c r="AB10" s="1607" t="s">
        <v>1932</v>
      </c>
      <c r="AC10" s="1608" t="s">
        <v>1933</v>
      </c>
    </row>
    <row r="11" spans="1:32" s="1061" customFormat="1" ht="30" customHeight="1" thickBot="1">
      <c r="B11" s="2246" t="s">
        <v>2559</v>
      </c>
      <c r="C11" s="2247"/>
      <c r="D11" s="2247"/>
      <c r="E11" s="2266"/>
      <c r="F11" s="1887"/>
      <c r="G11" s="2209"/>
      <c r="H11" s="2209"/>
      <c r="I11" s="2209"/>
      <c r="J11" s="2209"/>
      <c r="K11" s="2208"/>
      <c r="L11" s="2197"/>
      <c r="M11" s="1147"/>
      <c r="N11" s="1201"/>
      <c r="O11" s="1647"/>
      <c r="P11" s="1882"/>
      <c r="Q11" s="1883"/>
      <c r="R11" s="1883"/>
      <c r="S11" s="1883"/>
      <c r="T11" s="1884"/>
      <c r="U11" s="1883"/>
      <c r="V11" s="1883"/>
      <c r="W11" s="1884"/>
      <c r="X11" s="1882"/>
      <c r="Y11" s="1883"/>
      <c r="Z11" s="1883"/>
      <c r="AA11" s="1882"/>
      <c r="AB11" s="1883"/>
      <c r="AC11" s="1884"/>
    </row>
    <row r="12" spans="1:32" ht="30" customHeight="1">
      <c r="A12" s="1067" t="s">
        <v>2113</v>
      </c>
      <c r="B12" s="2146" t="s">
        <v>2114</v>
      </c>
      <c r="C12" s="2110" t="s">
        <v>2575</v>
      </c>
      <c r="D12" s="1615" t="s">
        <v>2115</v>
      </c>
      <c r="E12" s="1616">
        <v>0</v>
      </c>
      <c r="F12" s="1993" t="str">
        <f>IF($F$11=0,"",$F$11)</f>
        <v/>
      </c>
      <c r="G12" s="1611">
        <f>ROUNDUP(ROUND(E12,2)*(IF(F12="Simple",U12,(IF(F12="Standard",V12,(IF(F12="Complex",W12,0)))))),0)</f>
        <v>0</v>
      </c>
      <c r="H12" s="1617">
        <v>0</v>
      </c>
      <c r="I12" s="1617">
        <v>0</v>
      </c>
      <c r="J12" s="1827">
        <v>0</v>
      </c>
      <c r="K12" s="1652"/>
      <c r="L12" s="2149" t="s">
        <v>1882</v>
      </c>
      <c r="M12" s="1142"/>
      <c r="N12" s="1207"/>
      <c r="O12" s="2151" t="s">
        <v>2114</v>
      </c>
      <c r="P12" s="1342"/>
      <c r="Q12" s="1335"/>
      <c r="R12" s="1161"/>
      <c r="S12" s="1309"/>
      <c r="T12" s="1162"/>
      <c r="U12" s="1824">
        <v>8</v>
      </c>
      <c r="V12" s="1311">
        <v>12</v>
      </c>
      <c r="W12" s="1713">
        <v>16</v>
      </c>
      <c r="X12" s="1302"/>
      <c r="Y12" s="1309"/>
      <c r="Z12" s="1161"/>
      <c r="AA12" s="1302"/>
      <c r="AB12" s="1161"/>
      <c r="AC12" s="1316"/>
    </row>
    <row r="13" spans="1:32" ht="30" customHeight="1">
      <c r="A13" s="1067" t="s">
        <v>2116</v>
      </c>
      <c r="B13" s="2147"/>
      <c r="C13" s="2111"/>
      <c r="D13" s="1210" t="s">
        <v>2028</v>
      </c>
      <c r="E13" s="1064">
        <v>0</v>
      </c>
      <c r="F13" s="1993" t="str">
        <f>IF($F$11=0,"",$F$11)</f>
        <v/>
      </c>
      <c r="G13" s="1611">
        <f>E13*(IF(F13="Simple",U13,(IF(F13="Standard",V13,(IF(F13="Complex",W13,0))))))</f>
        <v>0</v>
      </c>
      <c r="H13" s="1065">
        <v>0</v>
      </c>
      <c r="I13" s="1065">
        <v>0</v>
      </c>
      <c r="J13" s="1825">
        <v>0</v>
      </c>
      <c r="K13" s="1652"/>
      <c r="L13" s="2150"/>
      <c r="M13" s="1142"/>
      <c r="N13" s="1207"/>
      <c r="O13" s="2151"/>
      <c r="P13" s="1339"/>
      <c r="Q13" s="1248"/>
      <c r="R13" s="1246"/>
      <c r="S13" s="1295"/>
      <c r="T13" s="1249"/>
      <c r="U13" s="1290">
        <v>4</v>
      </c>
      <c r="V13" s="1315">
        <v>6</v>
      </c>
      <c r="W13" s="1739">
        <v>8</v>
      </c>
      <c r="X13" s="1826"/>
      <c r="Y13" s="1295"/>
      <c r="Z13" s="1246"/>
      <c r="AA13" s="1826"/>
      <c r="AB13" s="1246"/>
      <c r="AC13" s="1612"/>
    </row>
    <row r="14" spans="1:32" ht="30" customHeight="1">
      <c r="A14" s="1067" t="s">
        <v>2117</v>
      </c>
      <c r="B14" s="1126" t="s">
        <v>2118</v>
      </c>
      <c r="C14" s="351" t="s">
        <v>2596</v>
      </c>
      <c r="D14" s="1614"/>
      <c r="E14" s="1193">
        <v>0</v>
      </c>
      <c r="F14" s="1993" t="str">
        <f>IF($F$11=0,"",$F$11)</f>
        <v/>
      </c>
      <c r="G14" s="1611">
        <f>E14*(IF(F14="Simple",U14,(IF(F14="Standard",V14,(IF(F14="Complex",W14,0))))))</f>
        <v>0</v>
      </c>
      <c r="H14" s="1065">
        <v>0</v>
      </c>
      <c r="I14" s="1065">
        <v>0</v>
      </c>
      <c r="J14" s="1825">
        <v>0</v>
      </c>
      <c r="K14" s="1066"/>
      <c r="L14" s="2150"/>
      <c r="M14" s="1142"/>
      <c r="N14" s="1207"/>
      <c r="O14" s="1651" t="s">
        <v>2118</v>
      </c>
      <c r="P14" s="1337"/>
      <c r="Q14" s="1227"/>
      <c r="R14" s="1151"/>
      <c r="S14" s="1314"/>
      <c r="T14" s="1153"/>
      <c r="U14" s="1154">
        <v>16</v>
      </c>
      <c r="V14" s="1206">
        <v>24</v>
      </c>
      <c r="W14" s="1153">
        <v>32</v>
      </c>
      <c r="X14" s="1232"/>
      <c r="Y14" s="1293"/>
      <c r="Z14" s="1151"/>
      <c r="AA14" s="1232"/>
      <c r="AB14" s="1151"/>
      <c r="AC14" s="1261"/>
    </row>
    <row r="15" spans="1:32" ht="30" customHeight="1">
      <c r="A15" s="1067" t="s">
        <v>2119</v>
      </c>
      <c r="B15" s="1600" t="s">
        <v>2120</v>
      </c>
      <c r="C15" s="1426" t="s">
        <v>2121</v>
      </c>
      <c r="D15" s="1210" t="s">
        <v>2031</v>
      </c>
      <c r="E15" s="1064">
        <v>0</v>
      </c>
      <c r="F15" s="1129"/>
      <c r="G15" s="1138">
        <f>IF(E15=0,0,X15)</f>
        <v>0</v>
      </c>
      <c r="H15" s="1065">
        <v>0</v>
      </c>
      <c r="I15" s="1065">
        <v>0</v>
      </c>
      <c r="J15" s="1825">
        <v>0</v>
      </c>
      <c r="K15" s="1066"/>
      <c r="L15" s="2150"/>
      <c r="M15" s="1142"/>
      <c r="N15" s="1207"/>
      <c r="O15" s="1651" t="s">
        <v>2120</v>
      </c>
      <c r="P15" s="1338"/>
      <c r="Q15" s="1333"/>
      <c r="R15" s="1156"/>
      <c r="S15" s="1333"/>
      <c r="T15" s="1157"/>
      <c r="U15" s="1301"/>
      <c r="V15" s="1156"/>
      <c r="W15" s="1144"/>
      <c r="X15" s="1302">
        <v>12</v>
      </c>
      <c r="Y15" s="1309"/>
      <c r="Z15" s="1161"/>
      <c r="AA15" s="1302"/>
      <c r="AB15" s="1161"/>
      <c r="AC15" s="1316"/>
    </row>
    <row r="16" spans="1:32" s="1077" customFormat="1" ht="30" customHeight="1">
      <c r="A16" s="1067" t="s">
        <v>2122</v>
      </c>
      <c r="B16" s="2248" t="s">
        <v>2123</v>
      </c>
      <c r="C16" s="2109" t="s">
        <v>2580</v>
      </c>
      <c r="D16" s="1615" t="s">
        <v>2115</v>
      </c>
      <c r="E16" s="1616">
        <v>0</v>
      </c>
      <c r="F16" s="1993" t="str">
        <f>IF($F$11=0,"",$F$11)</f>
        <v/>
      </c>
      <c r="G16" s="1611">
        <f>ROUNDUP(ROUND(E16,2)*(IF(F16="Simple",U16,(IF(F16="Standard",V16,(IF(F16="Complex",W16,0)))))),0)</f>
        <v>0</v>
      </c>
      <c r="H16" s="1617">
        <v>0</v>
      </c>
      <c r="I16" s="1617">
        <v>0</v>
      </c>
      <c r="J16" s="1827">
        <v>0</v>
      </c>
      <c r="K16" s="1217"/>
      <c r="L16" s="2150"/>
      <c r="M16" s="348"/>
      <c r="N16" s="1767"/>
      <c r="O16" s="2251" t="s">
        <v>2123</v>
      </c>
      <c r="P16" s="1751"/>
      <c r="Q16" s="1747"/>
      <c r="R16" s="1747"/>
      <c r="S16" s="1747"/>
      <c r="T16" s="1750"/>
      <c r="U16" s="1724">
        <v>8</v>
      </c>
      <c r="V16" s="1828">
        <v>10</v>
      </c>
      <c r="W16" s="1388">
        <v>12</v>
      </c>
      <c r="X16" s="1382"/>
      <c r="Y16" s="1623"/>
      <c r="Z16" s="1622"/>
      <c r="AA16" s="1382"/>
      <c r="AB16" s="1623"/>
      <c r="AC16" s="1829"/>
      <c r="AD16" s="1076"/>
      <c r="AE16" s="1076"/>
      <c r="AF16" s="1076"/>
    </row>
    <row r="17" spans="1:32" s="1077" customFormat="1" ht="30" customHeight="1">
      <c r="A17" s="1067" t="s">
        <v>2124</v>
      </c>
      <c r="B17" s="2249"/>
      <c r="C17" s="2110"/>
      <c r="D17" s="1210" t="s">
        <v>2028</v>
      </c>
      <c r="E17" s="1064">
        <v>0</v>
      </c>
      <c r="F17" s="1993" t="str">
        <f>IF($F$11=0,"",$F$11)</f>
        <v/>
      </c>
      <c r="G17" s="1611">
        <f>E17*(IF(F17="Simple",U17,(IF(F17="Standard",V17,(IF(F17="Complex",W17,0))))))</f>
        <v>0</v>
      </c>
      <c r="H17" s="1065">
        <v>0</v>
      </c>
      <c r="I17" s="1065">
        <v>0</v>
      </c>
      <c r="J17" s="1825">
        <v>0</v>
      </c>
      <c r="K17" s="1217"/>
      <c r="L17" s="2150"/>
      <c r="M17" s="348"/>
      <c r="N17" s="1767"/>
      <c r="O17" s="2251"/>
      <c r="P17" s="1733"/>
      <c r="Q17" s="1730"/>
      <c r="R17" s="1730"/>
      <c r="S17" s="1730"/>
      <c r="T17" s="1775"/>
      <c r="U17" s="1409">
        <v>4</v>
      </c>
      <c r="V17" s="1312">
        <v>6</v>
      </c>
      <c r="W17" s="1732">
        <v>8</v>
      </c>
      <c r="X17" s="1389"/>
      <c r="Y17" s="1830"/>
      <c r="Z17" s="1831"/>
      <c r="AA17" s="1389"/>
      <c r="AB17" s="1830"/>
      <c r="AC17" s="1832"/>
      <c r="AD17" s="1076"/>
      <c r="AE17" s="1076"/>
      <c r="AF17" s="1076"/>
    </row>
    <row r="18" spans="1:32" s="1077" customFormat="1" ht="30" customHeight="1">
      <c r="A18" s="1067" t="s">
        <v>2125</v>
      </c>
      <c r="B18" s="2250"/>
      <c r="C18" s="2111"/>
      <c r="D18" s="1210" t="s">
        <v>617</v>
      </c>
      <c r="E18" s="1064">
        <v>0</v>
      </c>
      <c r="F18" s="1129"/>
      <c r="G18" s="1620">
        <f>IF(E18=0,0,E18*X18)</f>
        <v>0</v>
      </c>
      <c r="H18" s="1065">
        <v>0</v>
      </c>
      <c r="I18" s="1065">
        <v>0</v>
      </c>
      <c r="J18" s="1825">
        <v>0</v>
      </c>
      <c r="K18" s="1217"/>
      <c r="L18" s="2150"/>
      <c r="M18" s="348"/>
      <c r="N18" s="1767"/>
      <c r="O18" s="2251"/>
      <c r="P18" s="1740"/>
      <c r="Q18" s="1737"/>
      <c r="R18" s="1737"/>
      <c r="S18" s="1737"/>
      <c r="T18" s="1762"/>
      <c r="U18" s="1290"/>
      <c r="V18" s="1315"/>
      <c r="W18" s="1833"/>
      <c r="X18" s="1245">
        <v>4</v>
      </c>
      <c r="Y18" s="1406"/>
      <c r="Z18" s="1407"/>
      <c r="AA18" s="1245"/>
      <c r="AB18" s="1406"/>
      <c r="AC18" s="1408"/>
      <c r="AD18" s="1076"/>
      <c r="AE18" s="1076"/>
      <c r="AF18" s="1076"/>
    </row>
    <row r="19" spans="1:32" ht="30" customHeight="1">
      <c r="A19" s="1067" t="s">
        <v>2127</v>
      </c>
      <c r="B19" s="1126" t="s">
        <v>2126</v>
      </c>
      <c r="C19" s="1190" t="s">
        <v>2612</v>
      </c>
      <c r="D19" s="1614"/>
      <c r="E19" s="1193">
        <v>0</v>
      </c>
      <c r="F19" s="1993" t="str">
        <f>IF($F$11=0,"",$F$11)</f>
        <v/>
      </c>
      <c r="G19" s="1611">
        <f>E19*(IF(F19="Simple",U19,(IF(F19="Standard",V19,(IF(F19="Complex",W19,0))))))</f>
        <v>0</v>
      </c>
      <c r="H19" s="1065">
        <v>0</v>
      </c>
      <c r="I19" s="1065">
        <v>0</v>
      </c>
      <c r="J19" s="1825">
        <v>0</v>
      </c>
      <c r="K19" s="1066"/>
      <c r="L19" s="2150"/>
      <c r="M19" s="1142"/>
      <c r="N19" s="1207"/>
      <c r="O19" s="1651" t="s">
        <v>2126</v>
      </c>
      <c r="P19" s="1337"/>
      <c r="Q19" s="1227"/>
      <c r="R19" s="1151"/>
      <c r="S19" s="1227"/>
      <c r="T19" s="1153"/>
      <c r="U19" s="1154">
        <v>8</v>
      </c>
      <c r="V19" s="1314">
        <v>12</v>
      </c>
      <c r="W19" s="1354">
        <v>16</v>
      </c>
      <c r="X19" s="1232"/>
      <c r="Y19" s="1293"/>
      <c r="Z19" s="1151"/>
      <c r="AA19" s="1232"/>
      <c r="AB19" s="1151"/>
      <c r="AC19" s="1261"/>
    </row>
    <row r="20" spans="1:32" ht="30" customHeight="1" thickBot="1">
      <c r="A20" s="1067" t="s">
        <v>2129</v>
      </c>
      <c r="B20" s="1624" t="s">
        <v>2128</v>
      </c>
      <c r="C20" s="1625" t="s">
        <v>189</v>
      </c>
      <c r="D20" s="1614"/>
      <c r="E20" s="1193">
        <v>0</v>
      </c>
      <c r="F20" s="1993" t="str">
        <f>IF($F$11=0,"",$F$11)</f>
        <v/>
      </c>
      <c r="G20" s="1611">
        <f>E20*(IF(F20="Simple",U20,(IF(F20="Standard",V20,(IF(F20="Complex",W20,0))))))</f>
        <v>0</v>
      </c>
      <c r="H20" s="1065">
        <v>0</v>
      </c>
      <c r="I20" s="1065">
        <v>0</v>
      </c>
      <c r="J20" s="1825">
        <v>0</v>
      </c>
      <c r="K20" s="1069"/>
      <c r="L20" s="2150"/>
      <c r="M20" s="1142"/>
      <c r="N20" s="1207"/>
      <c r="O20" s="1651" t="s">
        <v>2128</v>
      </c>
      <c r="P20" s="1338"/>
      <c r="Q20" s="1333"/>
      <c r="R20" s="1156"/>
      <c r="S20" s="1333"/>
      <c r="T20" s="1157"/>
      <c r="U20" s="1154">
        <v>3</v>
      </c>
      <c r="V20" s="1314">
        <v>6</v>
      </c>
      <c r="W20" s="1354">
        <v>9</v>
      </c>
      <c r="X20" s="1232"/>
      <c r="Y20" s="1293"/>
      <c r="Z20" s="1151"/>
      <c r="AA20" s="1232"/>
      <c r="AB20" s="1151"/>
      <c r="AC20" s="1261"/>
    </row>
    <row r="21" spans="1:32" ht="20.100000000000001" customHeight="1" thickBot="1">
      <c r="A21" s="1067"/>
      <c r="B21" s="2183" t="s">
        <v>2576</v>
      </c>
      <c r="C21" s="2184"/>
      <c r="D21" s="2184"/>
      <c r="E21" s="2184"/>
      <c r="F21" s="2185"/>
      <c r="G21" s="1626">
        <f>SUM(G12:G20)</f>
        <v>0</v>
      </c>
      <c r="H21" s="1130">
        <f>SUM(H12:H20)</f>
        <v>0</v>
      </c>
      <c r="I21" s="1130">
        <f>SUM(I12:I20)</f>
        <v>0</v>
      </c>
      <c r="J21" s="1834">
        <f>SUM(J12:J20)</f>
        <v>0</v>
      </c>
      <c r="K21" s="1131"/>
      <c r="L21" s="2189"/>
      <c r="M21" s="1173"/>
      <c r="N21" s="1142"/>
      <c r="O21" s="1627"/>
      <c r="P21" s="1174"/>
      <c r="Q21" s="1175"/>
      <c r="R21" s="1176"/>
      <c r="S21" s="1175"/>
      <c r="T21" s="1175"/>
      <c r="U21" s="1175"/>
      <c r="V21" s="1175"/>
      <c r="W21" s="1145"/>
      <c r="X21" s="1145"/>
      <c r="Y21" s="1145"/>
      <c r="Z21" s="1142"/>
      <c r="AA21" s="1145"/>
      <c r="AB21" s="1145"/>
      <c r="AC21" s="1145"/>
    </row>
    <row r="22" spans="1:32" ht="30" customHeight="1">
      <c r="A22" s="1067" t="s">
        <v>2130</v>
      </c>
      <c r="B22" s="1628" t="s">
        <v>2131</v>
      </c>
      <c r="C22" s="1125" t="s">
        <v>307</v>
      </c>
      <c r="D22" s="1070" t="s">
        <v>878</v>
      </c>
      <c r="E22" s="1212">
        <v>1</v>
      </c>
      <c r="F22" s="1347">
        <v>0.05</v>
      </c>
      <c r="G22" s="1578">
        <f t="shared" ref="G22:I23" si="0">IF($E22=0,0,ROUNDUP($F22*G$21,0))</f>
        <v>0</v>
      </c>
      <c r="H22" s="1578">
        <f t="shared" si="0"/>
        <v>0</v>
      </c>
      <c r="I22" s="1578">
        <f t="shared" si="0"/>
        <v>0</v>
      </c>
      <c r="J22" s="1062">
        <f>IF($E22=0,0,ROUNDUP($F22*J$21,0))</f>
        <v>0</v>
      </c>
      <c r="K22" s="1063"/>
      <c r="L22" s="2190"/>
      <c r="M22" s="1173"/>
      <c r="N22" s="1142"/>
      <c r="O22" s="1630" t="s">
        <v>2131</v>
      </c>
      <c r="P22" s="1337"/>
      <c r="Q22" s="1228"/>
      <c r="R22" s="1172"/>
      <c r="S22" s="1314"/>
      <c r="T22" s="1153"/>
      <c r="U22" s="1154"/>
      <c r="V22" s="1314"/>
      <c r="W22" s="1153"/>
      <c r="X22" s="1307"/>
      <c r="Y22" s="1206"/>
      <c r="Z22" s="1175"/>
      <c r="AA22" s="1307"/>
      <c r="AB22" s="1314"/>
      <c r="AC22" s="1153"/>
    </row>
    <row r="23" spans="1:32" ht="30" customHeight="1">
      <c r="A23" s="1067" t="s">
        <v>2132</v>
      </c>
      <c r="B23" s="1127" t="s">
        <v>2133</v>
      </c>
      <c r="C23" s="351" t="s">
        <v>169</v>
      </c>
      <c r="D23" s="1210" t="s">
        <v>878</v>
      </c>
      <c r="E23" s="1629">
        <v>1</v>
      </c>
      <c r="F23" s="1636">
        <v>0.05</v>
      </c>
      <c r="G23" s="1620">
        <f t="shared" si="0"/>
        <v>0</v>
      </c>
      <c r="H23" s="1620">
        <f t="shared" si="0"/>
        <v>0</v>
      </c>
      <c r="I23" s="1620">
        <f t="shared" si="0"/>
        <v>0</v>
      </c>
      <c r="J23" s="1617">
        <f>IF($E23=0,0,ROUNDUP($F23*J$21,0))</f>
        <v>0</v>
      </c>
      <c r="K23" s="1066"/>
      <c r="L23" s="2190"/>
      <c r="M23" s="1173"/>
      <c r="N23" s="1142"/>
      <c r="O23" s="1630" t="s">
        <v>2133</v>
      </c>
      <c r="P23" s="1337"/>
      <c r="Q23" s="1228"/>
      <c r="R23" s="1172"/>
      <c r="S23" s="1314"/>
      <c r="T23" s="1153"/>
      <c r="U23" s="1154"/>
      <c r="V23" s="1314"/>
      <c r="W23" s="1153"/>
      <c r="X23" s="1631"/>
      <c r="Y23" s="1206"/>
      <c r="Z23" s="1632"/>
      <c r="AA23" s="1631"/>
      <c r="AB23" s="1314"/>
      <c r="AC23" s="1153"/>
    </row>
    <row r="24" spans="1:32" ht="30" customHeight="1">
      <c r="A24" s="1067" t="s">
        <v>2135</v>
      </c>
      <c r="B24" s="2325" t="s">
        <v>2136</v>
      </c>
      <c r="C24" s="2255" t="s">
        <v>2577</v>
      </c>
      <c r="D24" s="1210" t="s">
        <v>2134</v>
      </c>
      <c r="E24" s="1901">
        <f>D40</f>
        <v>0</v>
      </c>
      <c r="F24" s="1129"/>
      <c r="G24" s="1138">
        <f>$E24*$X24</f>
        <v>0</v>
      </c>
      <c r="H24" s="1065">
        <v>0</v>
      </c>
      <c r="I24" s="1065">
        <v>0</v>
      </c>
      <c r="J24" s="1825">
        <v>0</v>
      </c>
      <c r="K24" s="1066"/>
      <c r="L24" s="2190"/>
      <c r="M24" s="1173"/>
      <c r="N24" s="1142"/>
      <c r="O24" s="2256" t="s">
        <v>2136</v>
      </c>
      <c r="P24" s="1337"/>
      <c r="Q24" s="1228"/>
      <c r="R24" s="1172"/>
      <c r="S24" s="1314"/>
      <c r="T24" s="1153"/>
      <c r="U24" s="1154"/>
      <c r="V24" s="1314"/>
      <c r="W24" s="1153"/>
      <c r="X24" s="1631">
        <v>2</v>
      </c>
      <c r="Y24" s="1206"/>
      <c r="Z24" s="1632"/>
      <c r="AA24" s="1631"/>
      <c r="AB24" s="1314"/>
      <c r="AC24" s="1153"/>
    </row>
    <row r="25" spans="1:32" ht="30" customHeight="1">
      <c r="A25" s="1067" t="s">
        <v>2137</v>
      </c>
      <c r="B25" s="2325"/>
      <c r="C25" s="2255"/>
      <c r="D25" s="1210" t="s">
        <v>2249</v>
      </c>
      <c r="E25" s="1129"/>
      <c r="F25" s="1129"/>
      <c r="G25" s="1620">
        <f>E40</f>
        <v>0</v>
      </c>
      <c r="H25" s="1065">
        <v>0</v>
      </c>
      <c r="I25" s="1065">
        <v>0</v>
      </c>
      <c r="J25" s="1825">
        <v>0</v>
      </c>
      <c r="K25" s="1066"/>
      <c r="L25" s="2190"/>
      <c r="M25" s="1173"/>
      <c r="N25" s="1142"/>
      <c r="O25" s="2257"/>
      <c r="P25" s="1337"/>
      <c r="Q25" s="1228"/>
      <c r="R25" s="1172"/>
      <c r="S25" s="1314"/>
      <c r="T25" s="1153"/>
      <c r="U25" s="1154"/>
      <c r="V25" s="1314"/>
      <c r="W25" s="1153"/>
      <c r="X25" s="1631"/>
      <c r="Y25" s="1206"/>
      <c r="Z25" s="1632"/>
      <c r="AA25" s="1631"/>
      <c r="AB25" s="1314"/>
      <c r="AC25" s="1153"/>
    </row>
    <row r="26" spans="1:32" ht="30" customHeight="1" thickBot="1">
      <c r="A26" s="1067" t="s">
        <v>2410</v>
      </c>
      <c r="B26" s="1633" t="s">
        <v>2138</v>
      </c>
      <c r="C26" s="1634" t="s">
        <v>2251</v>
      </c>
      <c r="D26" s="1071" t="s">
        <v>85</v>
      </c>
      <c r="E26" s="1136"/>
      <c r="F26" s="1136"/>
      <c r="G26" s="1661">
        <f>G48</f>
        <v>0</v>
      </c>
      <c r="H26" s="1068">
        <v>0</v>
      </c>
      <c r="I26" s="1068">
        <v>0</v>
      </c>
      <c r="J26" s="1835">
        <v>0</v>
      </c>
      <c r="K26" s="1836"/>
      <c r="L26" s="2190"/>
      <c r="M26" s="1173"/>
      <c r="N26" s="1142"/>
      <c r="O26" s="1630" t="s">
        <v>2138</v>
      </c>
      <c r="P26" s="1337"/>
      <c r="Q26" s="1228"/>
      <c r="R26" s="1172"/>
      <c r="S26" s="1314"/>
      <c r="T26" s="1153"/>
      <c r="U26" s="1154"/>
      <c r="V26" s="1314"/>
      <c r="W26" s="1153"/>
      <c r="X26" s="1631"/>
      <c r="Y26" s="1206"/>
      <c r="Z26" s="1632"/>
      <c r="AA26" s="1631"/>
      <c r="AB26" s="1314"/>
      <c r="AC26" s="1153"/>
    </row>
    <row r="27" spans="1:32" ht="20.100000000000001" customHeight="1" thickBot="1">
      <c r="A27" s="1067"/>
      <c r="B27" s="2183" t="s">
        <v>2578</v>
      </c>
      <c r="C27" s="2184"/>
      <c r="D27" s="2184"/>
      <c r="E27" s="2184"/>
      <c r="F27" s="2185"/>
      <c r="G27" s="1865">
        <f>SUM(G22:G26)</f>
        <v>0</v>
      </c>
      <c r="H27" s="1865">
        <f t="shared" ref="H27:J27" si="1">SUM(H22:H26)</f>
        <v>0</v>
      </c>
      <c r="I27" s="1865">
        <f t="shared" si="1"/>
        <v>0</v>
      </c>
      <c r="J27" s="1865">
        <f t="shared" si="1"/>
        <v>0</v>
      </c>
      <c r="K27" s="1131"/>
      <c r="L27" s="2190"/>
      <c r="M27" s="1173"/>
      <c r="N27" s="1142"/>
      <c r="O27" s="1635"/>
      <c r="P27" s="1174"/>
      <c r="Q27" s="1175"/>
      <c r="R27" s="1176"/>
      <c r="S27" s="1175"/>
      <c r="T27" s="1175"/>
      <c r="U27" s="1175"/>
      <c r="V27" s="1175"/>
      <c r="W27" s="1145"/>
      <c r="X27" s="1145"/>
      <c r="Y27" s="1145"/>
      <c r="Z27" s="1142"/>
      <c r="AA27" s="1145"/>
      <c r="AB27" s="1145"/>
      <c r="AC27" s="1145"/>
    </row>
    <row r="28" spans="1:32" ht="30" customHeight="1" thickBot="1">
      <c r="A28" s="1067" t="s">
        <v>2411</v>
      </c>
      <c r="B28" s="1633" t="s">
        <v>2412</v>
      </c>
      <c r="C28" s="1634" t="s">
        <v>78</v>
      </c>
      <c r="D28" s="1210" t="s">
        <v>878</v>
      </c>
      <c r="E28" s="1629">
        <v>1</v>
      </c>
      <c r="F28" s="1636">
        <v>0.03</v>
      </c>
      <c r="G28" s="1670">
        <f>IF($E28=0,0,ROUNDUP((G$21+G$27)*$F$28,0))</f>
        <v>0</v>
      </c>
      <c r="H28" s="1670">
        <f t="shared" ref="H28:J28" si="2">IF($E28=0,0,ROUNDUP((H$21+H$27)*$F$28,0))</f>
        <v>0</v>
      </c>
      <c r="I28" s="1670">
        <f t="shared" si="2"/>
        <v>0</v>
      </c>
      <c r="J28" s="1902">
        <f t="shared" si="2"/>
        <v>0</v>
      </c>
      <c r="K28" s="1836"/>
      <c r="L28" s="2190"/>
      <c r="M28" s="1173"/>
      <c r="N28" s="1142"/>
      <c r="O28" s="1630" t="s">
        <v>2412</v>
      </c>
      <c r="P28" s="1337"/>
      <c r="Q28" s="1228"/>
      <c r="R28" s="1172"/>
      <c r="S28" s="1314"/>
      <c r="T28" s="1153"/>
      <c r="U28" s="1154"/>
      <c r="V28" s="1314"/>
      <c r="W28" s="1153"/>
      <c r="X28" s="1307"/>
      <c r="Y28" s="1206"/>
      <c r="Z28" s="1321"/>
      <c r="AA28" s="1154"/>
      <c r="AB28" s="1314"/>
      <c r="AC28" s="1153"/>
    </row>
    <row r="29" spans="1:32" ht="20.100000000000001" customHeight="1" thickBot="1">
      <c r="B29" s="2183" t="s">
        <v>2579</v>
      </c>
      <c r="C29" s="2184"/>
      <c r="D29" s="2184"/>
      <c r="E29" s="2184"/>
      <c r="F29" s="2185"/>
      <c r="G29" s="1866">
        <f>G21+G27+G28</f>
        <v>0</v>
      </c>
      <c r="H29" s="1866">
        <f t="shared" ref="H29:J29" si="3">H21+H27+H28</f>
        <v>0</v>
      </c>
      <c r="I29" s="1866">
        <f t="shared" si="3"/>
        <v>0</v>
      </c>
      <c r="J29" s="1866">
        <f t="shared" si="3"/>
        <v>0</v>
      </c>
      <c r="K29" s="1133"/>
      <c r="L29" s="2191"/>
      <c r="M29" s="1173"/>
      <c r="N29" s="1142"/>
      <c r="O29" s="1177"/>
      <c r="P29" s="1177"/>
      <c r="Q29" s="1178"/>
      <c r="R29" s="1179"/>
      <c r="S29" s="1178"/>
      <c r="T29" s="1178"/>
      <c r="U29" s="1178"/>
      <c r="V29" s="1178"/>
      <c r="W29" s="1145"/>
      <c r="X29" s="1145"/>
      <c r="Y29" s="1145"/>
      <c r="Z29" s="1142"/>
      <c r="AA29" s="1145"/>
      <c r="AB29" s="1145"/>
    </row>
    <row r="30" spans="1:32">
      <c r="J30" s="1674" t="s">
        <v>1858</v>
      </c>
    </row>
    <row r="31" spans="1:32" ht="14.4" thickBot="1">
      <c r="J31" s="1674"/>
    </row>
    <row r="32" spans="1:32" s="1061" customFormat="1" ht="36" customHeight="1" thickBot="1">
      <c r="A32" s="1675"/>
      <c r="B32" s="1675"/>
      <c r="C32" s="1677" t="s">
        <v>82</v>
      </c>
      <c r="D32" s="1678" t="s">
        <v>2139</v>
      </c>
      <c r="E32" s="1679" t="s">
        <v>2254</v>
      </c>
      <c r="F32" s="1678" t="s">
        <v>2140</v>
      </c>
      <c r="G32" s="2267" t="s">
        <v>1823</v>
      </c>
      <c r="H32" s="2268"/>
      <c r="I32" s="2268"/>
      <c r="J32" s="2269"/>
    </row>
    <row r="33" spans="1:10" s="1061" customFormat="1" ht="20.100000000000001" customHeight="1">
      <c r="A33" s="1681"/>
      <c r="B33" s="1681"/>
      <c r="C33" s="1683" t="s">
        <v>148</v>
      </c>
      <c r="D33" s="1684">
        <v>0</v>
      </c>
      <c r="E33" s="1684">
        <v>0</v>
      </c>
      <c r="F33" s="1815">
        <v>0</v>
      </c>
      <c r="G33" s="2270"/>
      <c r="H33" s="2271"/>
      <c r="I33" s="2271"/>
      <c r="J33" s="2272"/>
    </row>
    <row r="34" spans="1:10" s="1061" customFormat="1" ht="20.100000000000001" customHeight="1">
      <c r="A34" s="1681"/>
      <c r="B34" s="1681"/>
      <c r="C34" s="1683" t="s">
        <v>236</v>
      </c>
      <c r="D34" s="1684">
        <v>0</v>
      </c>
      <c r="E34" s="1684">
        <v>0</v>
      </c>
      <c r="F34" s="1684">
        <v>0</v>
      </c>
      <c r="G34" s="2261"/>
      <c r="H34" s="2262"/>
      <c r="I34" s="2262"/>
      <c r="J34" s="2263"/>
    </row>
    <row r="35" spans="1:10" s="1061" customFormat="1" ht="20.100000000000001" customHeight="1">
      <c r="A35" s="1681"/>
      <c r="B35" s="1681"/>
      <c r="C35" s="1683" t="s">
        <v>1319</v>
      </c>
      <c r="D35" s="1684">
        <v>0</v>
      </c>
      <c r="E35" s="1684">
        <v>0</v>
      </c>
      <c r="F35" s="1684">
        <v>0</v>
      </c>
      <c r="G35" s="2261"/>
      <c r="H35" s="2262"/>
      <c r="I35" s="2262"/>
      <c r="J35" s="2263"/>
    </row>
    <row r="36" spans="1:10" s="1061" customFormat="1" ht="20.100000000000001" customHeight="1" thickBot="1">
      <c r="A36" s="1681"/>
      <c r="B36" s="1681"/>
      <c r="C36" s="1685" t="s">
        <v>231</v>
      </c>
      <c r="D36" s="1686">
        <v>0</v>
      </c>
      <c r="E36" s="1686">
        <v>0</v>
      </c>
      <c r="F36" s="1686">
        <v>0</v>
      </c>
      <c r="G36" s="2273"/>
      <c r="H36" s="2274"/>
      <c r="I36" s="2274"/>
      <c r="J36" s="2275"/>
    </row>
    <row r="37" spans="1:10" s="1061" customFormat="1" ht="20.100000000000001" customHeight="1" thickBot="1">
      <c r="A37" s="1075"/>
      <c r="B37" s="1075"/>
      <c r="C37" s="1688" t="s">
        <v>238</v>
      </c>
      <c r="D37" s="1689">
        <f>SUM(D33:D36)</f>
        <v>0</v>
      </c>
      <c r="E37" s="1869">
        <f>SUM(E33:E36)</f>
        <v>0</v>
      </c>
      <c r="F37" s="1690">
        <f>SUM(F33:F36)</f>
        <v>0</v>
      </c>
      <c r="G37" s="2326"/>
      <c r="H37" s="2326"/>
      <c r="I37" s="2326"/>
      <c r="J37" s="2326"/>
    </row>
    <row r="38" spans="1:10" s="1061" customFormat="1" ht="20.100000000000001" customHeight="1">
      <c r="A38" s="1681"/>
      <c r="B38" s="1681"/>
      <c r="C38" s="1683" t="s">
        <v>861</v>
      </c>
      <c r="D38" s="1913">
        <v>0</v>
      </c>
      <c r="E38" s="1693">
        <v>0</v>
      </c>
      <c r="F38" s="1700"/>
      <c r="G38" s="2326"/>
      <c r="H38" s="2326"/>
      <c r="I38" s="2326"/>
      <c r="J38" s="2326"/>
    </row>
    <row r="39" spans="1:10" s="1061" customFormat="1" ht="20.100000000000001" customHeight="1" thickBot="1">
      <c r="A39" s="1681"/>
      <c r="B39" s="1681"/>
      <c r="C39" s="1695" t="s">
        <v>155</v>
      </c>
      <c r="D39" s="1913">
        <v>0</v>
      </c>
      <c r="E39" s="1696">
        <v>0</v>
      </c>
      <c r="F39" s="1817"/>
      <c r="G39" s="2326"/>
      <c r="H39" s="2326"/>
      <c r="I39" s="2326"/>
      <c r="J39" s="2326"/>
    </row>
    <row r="40" spans="1:10" s="1694" customFormat="1" ht="20.100000000000001" customHeight="1" thickTop="1" thickBot="1">
      <c r="A40" s="1075"/>
      <c r="B40" s="1075"/>
      <c r="C40" s="1697" t="s">
        <v>156</v>
      </c>
      <c r="D40" s="1915">
        <f>SUM(D37:D39)</f>
        <v>0</v>
      </c>
      <c r="E40" s="1698">
        <f>SUM(E37:E39)</f>
        <v>0</v>
      </c>
      <c r="F40" s="1700"/>
      <c r="G40" s="1788"/>
      <c r="H40" s="1788"/>
      <c r="I40" s="1788"/>
      <c r="J40" s="1788"/>
    </row>
    <row r="41" spans="1:10" ht="14.4" thickBot="1"/>
    <row r="42" spans="1:10" ht="31.8" thickBot="1">
      <c r="C42" s="1677" t="s">
        <v>133</v>
      </c>
      <c r="D42" s="1678" t="s">
        <v>2255</v>
      </c>
      <c r="E42" s="1678" t="s">
        <v>2256</v>
      </c>
      <c r="F42" s="1678" t="s">
        <v>2257</v>
      </c>
      <c r="G42" s="1680" t="s">
        <v>102</v>
      </c>
    </row>
    <row r="43" spans="1:10">
      <c r="C43" s="1683" t="s">
        <v>2258</v>
      </c>
      <c r="D43" s="1684">
        <v>0</v>
      </c>
      <c r="E43" s="1684">
        <v>0</v>
      </c>
      <c r="F43" s="1684">
        <v>0</v>
      </c>
      <c r="G43" s="1898">
        <f>D43*(E43+F43)</f>
        <v>0</v>
      </c>
    </row>
    <row r="44" spans="1:10">
      <c r="C44" s="1683" t="s">
        <v>2259</v>
      </c>
      <c r="D44" s="1684">
        <v>0</v>
      </c>
      <c r="E44" s="1684">
        <v>0</v>
      </c>
      <c r="F44" s="1684">
        <v>0</v>
      </c>
      <c r="G44" s="1898">
        <f t="shared" ref="G44:G47" si="4">D44*(E44+F44)</f>
        <v>0</v>
      </c>
    </row>
    <row r="45" spans="1:10">
      <c r="C45" s="1683" t="s">
        <v>2260</v>
      </c>
      <c r="D45" s="1684">
        <v>0</v>
      </c>
      <c r="E45" s="1684">
        <v>0</v>
      </c>
      <c r="F45" s="1684">
        <v>0</v>
      </c>
      <c r="G45" s="1898">
        <f t="shared" si="4"/>
        <v>0</v>
      </c>
    </row>
    <row r="46" spans="1:10">
      <c r="C46" s="1683" t="s">
        <v>2261</v>
      </c>
      <c r="D46" s="1684">
        <v>0</v>
      </c>
      <c r="E46" s="1684">
        <v>0</v>
      </c>
      <c r="F46" s="1684">
        <v>0</v>
      </c>
      <c r="G46" s="1898">
        <f t="shared" si="4"/>
        <v>0</v>
      </c>
    </row>
    <row r="47" spans="1:10" ht="14.4" thickBot="1">
      <c r="C47" s="1683" t="s">
        <v>2262</v>
      </c>
      <c r="D47" s="1684">
        <v>0</v>
      </c>
      <c r="E47" s="1684">
        <v>0</v>
      </c>
      <c r="F47" s="1684">
        <v>0</v>
      </c>
      <c r="G47" s="1898">
        <f t="shared" si="4"/>
        <v>0</v>
      </c>
    </row>
    <row r="48" spans="1:10" ht="16.2" thickBot="1">
      <c r="C48" s="2178" t="s">
        <v>2263</v>
      </c>
      <c r="D48" s="2179"/>
      <c r="E48" s="2179"/>
      <c r="F48" s="2180"/>
      <c r="G48" s="1680">
        <f>SUM(G43:G47)</f>
        <v>0</v>
      </c>
    </row>
  </sheetData>
  <sheetProtection algorithmName="SHA-512" hashValue="U58PmwFZu7REdgxOQ4++TfUdfZPnxkz4Rebmnvenc27j59ERWl3cYrVZnWHbSE0pVLgil8hDHpkpHrA//WanGQ==" saltValue="P2UWs9+E/3P7avPY9Jr+tQ==" spinCount="100000" sheet="1" formatCells="0" formatColumns="0" formatRows="0" insertColumns="0" insertRows="0"/>
  <mergeCells count="49">
    <mergeCell ref="C48:F48"/>
    <mergeCell ref="G32:J32"/>
    <mergeCell ref="G33:J33"/>
    <mergeCell ref="G34:J34"/>
    <mergeCell ref="G35:J35"/>
    <mergeCell ref="G36:J36"/>
    <mergeCell ref="G37:J37"/>
    <mergeCell ref="B29:F29"/>
    <mergeCell ref="L12:L20"/>
    <mergeCell ref="L21:L29"/>
    <mergeCell ref="G38:J38"/>
    <mergeCell ref="G39:J39"/>
    <mergeCell ref="O16:O18"/>
    <mergeCell ref="B21:F21"/>
    <mergeCell ref="B24:B25"/>
    <mergeCell ref="C24:C25"/>
    <mergeCell ref="B27:F27"/>
    <mergeCell ref="B16:B18"/>
    <mergeCell ref="C16:C18"/>
    <mergeCell ref="O24:O25"/>
    <mergeCell ref="B9:B10"/>
    <mergeCell ref="C9:C10"/>
    <mergeCell ref="D9:F9"/>
    <mergeCell ref="P9:T9"/>
    <mergeCell ref="U9:W9"/>
    <mergeCell ref="H10:H11"/>
    <mergeCell ref="I10:I11"/>
    <mergeCell ref="J10:J11"/>
    <mergeCell ref="X9:Z9"/>
    <mergeCell ref="AA9:AC9"/>
    <mergeCell ref="B12:B13"/>
    <mergeCell ref="C12:C13"/>
    <mergeCell ref="O12:O13"/>
    <mergeCell ref="G9:J9"/>
    <mergeCell ref="N9:N10"/>
    <mergeCell ref="O9:O10"/>
    <mergeCell ref="L5:L11"/>
    <mergeCell ref="B5:C5"/>
    <mergeCell ref="D5:J5"/>
    <mergeCell ref="B6:C6"/>
    <mergeCell ref="D6:J6"/>
    <mergeCell ref="K10:K11"/>
    <mergeCell ref="B11:E11"/>
    <mergeCell ref="G10:G11"/>
    <mergeCell ref="B1:C3"/>
    <mergeCell ref="D1:J3"/>
    <mergeCell ref="L1:L3"/>
    <mergeCell ref="B4:C4"/>
    <mergeCell ref="D4:J4"/>
  </mergeCells>
  <dataValidations count="7">
    <dataValidation type="whole" operator="greaterThanOrEqual" allowBlank="1" showInputMessage="1" showErrorMessage="1" sqref="D38:E39 D43:G47 D33:F36 F39 G37:G40" xr:uid="{262F30CB-5F84-402C-8ABC-483BF3C902F7}">
      <formula1>0</formula1>
    </dataValidation>
    <dataValidation type="whole" operator="greaterThanOrEqual" allowBlank="1" showInputMessage="1" showErrorMessage="1" error="Input a whole number greater or equal to zero." sqref="E18" xr:uid="{877B0F44-6395-481B-9242-BEDCA23AB509}">
      <formula1>0</formula1>
    </dataValidation>
    <dataValidation type="whole" allowBlank="1" showInputMessage="1" showErrorMessage="1" error="Enter 1 or 0._x000a_Yes=1_x000a_No=0" sqref="E14 E19:E20 E28 E22:E23" xr:uid="{6E815ADE-90DA-4601-AF8E-922C8572D780}">
      <formula1>0</formula1>
      <formula2>1</formula2>
    </dataValidation>
    <dataValidation type="whole" operator="greaterThanOrEqual" allowBlank="1" showInputMessage="1" showErrorMessage="1" error="Input a whole number greater than or equal to zero." sqref="E13 E15 E17 E24" xr:uid="{3BF93C7B-3BC5-4749-A7D8-EC754045E9A3}">
      <formula1>0</formula1>
    </dataValidation>
    <dataValidation type="decimal" operator="greaterThanOrEqual" allowBlank="1" showInputMessage="1" showErrorMessage="1" error="Enter a positive number with an accuravy of 2 decimal places." sqref="E12 E16" xr:uid="{80856659-D4B2-49F9-BA86-FA0767248769}">
      <formula1>0</formula1>
    </dataValidation>
    <dataValidation type="list" allowBlank="1" showInputMessage="1" showErrorMessage="1" prompt="What is the estimated complexity of the selective C&amp;G? (See Selective C&amp;G Guidelines)" sqref="F11" xr:uid="{F96D195D-3447-4CEA-BD6D-FFAEFF2BAC8C}">
      <formula1>$U$10:$W$10</formula1>
    </dataValidation>
    <dataValidation type="list" allowBlank="1" showInputMessage="1" showErrorMessage="1" sqref="F16:F17 F12:F14 F19:F20" xr:uid="{FE3A5F03-1B30-46AC-8BBF-0686F50A981E}">
      <formula1>$U$10:$W$10</formula1>
    </dataValidation>
  </dataValidations>
  <hyperlinks>
    <hyperlink ref="L4" r:id="rId1" display="Video Tutorial - A short webinar for the Drainage Plans tab" xr:uid="{3C42C819-8706-43E0-8A86-75AA0CB4471F}"/>
  </hyperlinks>
  <pageMargins left="0.7" right="0.7" top="0.75" bottom="0.75" header="0.3" footer="0.3"/>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A1:N42"/>
  <sheetViews>
    <sheetView showGridLines="0" zoomScaleNormal="100" zoomScaleSheetLayoutView="100" workbookViewId="0"/>
  </sheetViews>
  <sheetFormatPr defaultColWidth="9.109375" defaultRowHeight="13.2"/>
  <cols>
    <col min="1" max="1" width="118.33203125" style="228" customWidth="1"/>
    <col min="2" max="16384" width="9.109375" style="227"/>
  </cols>
  <sheetData>
    <row r="1" spans="1:14">
      <c r="A1" s="559" t="s">
        <v>1209</v>
      </c>
    </row>
    <row r="2" spans="1:14">
      <c r="N2" s="227" t="s">
        <v>400</v>
      </c>
    </row>
    <row r="3" spans="1:14" ht="79.2">
      <c r="A3" s="228" t="s">
        <v>1210</v>
      </c>
    </row>
    <row r="4" spans="1:14">
      <c r="A4" s="228" t="s">
        <v>1211</v>
      </c>
    </row>
    <row r="6" spans="1:14" ht="39.6">
      <c r="A6" s="228" t="s">
        <v>1212</v>
      </c>
    </row>
    <row r="8" spans="1:14">
      <c r="A8" s="560" t="s">
        <v>1213</v>
      </c>
    </row>
    <row r="9" spans="1:14">
      <c r="A9" s="229"/>
    </row>
    <row r="10" spans="1:14">
      <c r="A10" s="185" t="s">
        <v>1214</v>
      </c>
    </row>
    <row r="11" spans="1:14">
      <c r="A11" s="185" t="s">
        <v>1215</v>
      </c>
    </row>
    <row r="12" spans="1:14">
      <c r="A12" s="185" t="s">
        <v>1216</v>
      </c>
    </row>
    <row r="13" spans="1:14">
      <c r="A13" s="185" t="s">
        <v>1217</v>
      </c>
    </row>
    <row r="14" spans="1:14">
      <c r="A14" s="185" t="s">
        <v>1218</v>
      </c>
    </row>
    <row r="15" spans="1:14">
      <c r="A15" s="185" t="s">
        <v>1219</v>
      </c>
    </row>
    <row r="16" spans="1:14">
      <c r="A16" s="185" t="s">
        <v>1220</v>
      </c>
    </row>
    <row r="17" spans="1:1">
      <c r="A17" s="185" t="s">
        <v>1221</v>
      </c>
    </row>
    <row r="19" spans="1:1">
      <c r="A19" s="560" t="s">
        <v>1188</v>
      </c>
    </row>
    <row r="20" spans="1:1">
      <c r="A20" s="229"/>
    </row>
    <row r="21" spans="1:1">
      <c r="A21" s="185" t="s">
        <v>1222</v>
      </c>
    </row>
    <row r="22" spans="1:1">
      <c r="A22" s="185" t="s">
        <v>1223</v>
      </c>
    </row>
    <row r="23" spans="1:1">
      <c r="A23" s="185" t="s">
        <v>1224</v>
      </c>
    </row>
    <row r="24" spans="1:1">
      <c r="A24" s="185" t="s">
        <v>1225</v>
      </c>
    </row>
    <row r="25" spans="1:1">
      <c r="A25" s="185" t="s">
        <v>1226</v>
      </c>
    </row>
    <row r="26" spans="1:1">
      <c r="A26" s="185" t="s">
        <v>1227</v>
      </c>
    </row>
    <row r="28" spans="1:1">
      <c r="A28" s="560" t="s">
        <v>1189</v>
      </c>
    </row>
    <row r="30" spans="1:1">
      <c r="A30" s="185" t="s">
        <v>1228</v>
      </c>
    </row>
    <row r="31" spans="1:1">
      <c r="A31" s="185" t="s">
        <v>1229</v>
      </c>
    </row>
    <row r="32" spans="1:1">
      <c r="A32" s="185" t="s">
        <v>1230</v>
      </c>
    </row>
    <row r="33" spans="1:1">
      <c r="A33" s="185" t="s">
        <v>1231</v>
      </c>
    </row>
    <row r="34" spans="1:1">
      <c r="A34" s="185" t="s">
        <v>1232</v>
      </c>
    </row>
    <row r="35" spans="1:1">
      <c r="A35" s="185" t="s">
        <v>1233</v>
      </c>
    </row>
    <row r="36" spans="1:1">
      <c r="A36" s="185" t="s">
        <v>1234</v>
      </c>
    </row>
    <row r="37" spans="1:1">
      <c r="A37" s="185" t="s">
        <v>1235</v>
      </c>
    </row>
    <row r="38" spans="1:1">
      <c r="A38" s="185" t="s">
        <v>1236</v>
      </c>
    </row>
    <row r="39" spans="1:1">
      <c r="A39" s="185" t="s">
        <v>1237</v>
      </c>
    </row>
    <row r="40" spans="1:1">
      <c r="A40" s="185" t="s">
        <v>1238</v>
      </c>
    </row>
    <row r="41" spans="1:1">
      <c r="A41" s="186" t="s">
        <v>1239</v>
      </c>
    </row>
    <row r="42" spans="1:1">
      <c r="A42" s="185" t="s">
        <v>1240</v>
      </c>
    </row>
  </sheetData>
  <pageMargins left="0.75" right="0.75" top="1" bottom="1" header="0.5" footer="0.5"/>
  <pageSetup orientation="landscape" r:id="rId1"/>
  <headerFooter alignWithMargins="0">
    <oddFooter>&amp;CPage &amp;P of &amp;N</oddFooter>
  </headerFooter>
  <rowBreaks count="2" manualBreakCount="2">
    <brk id="27" max="16383" man="1"/>
    <brk id="6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fitToPage="1"/>
  </sheetPr>
  <dimension ref="A1:A2"/>
  <sheetViews>
    <sheetView showGridLines="0" showRuler="0" zoomScaleNormal="100" zoomScaleSheetLayoutView="100" workbookViewId="0"/>
  </sheetViews>
  <sheetFormatPr defaultRowHeight="13.2"/>
  <cols>
    <col min="1" max="1" width="118.6640625" customWidth="1"/>
  </cols>
  <sheetData>
    <row r="1" spans="1:1" ht="15.6">
      <c r="A1" s="901" t="s">
        <v>134</v>
      </c>
    </row>
    <row r="2" spans="1:1" ht="76.8" thickBot="1">
      <c r="A2" s="902" t="s">
        <v>1429</v>
      </c>
    </row>
  </sheetData>
  <phoneticPr fontId="0" type="noConversion"/>
  <printOptions horizontalCentered="1"/>
  <pageMargins left="0.5" right="0.5" top="1" bottom="1" header="0.5" footer="0.5"/>
  <pageSetup orientation="landscape" horizontalDpi="4294967292" r:id="rId1"/>
  <headerFooter alignWithMargins="0">
    <oddHeader>&amp;C&amp;"Arial,Bold"&amp;12&amp;UDisclaimer</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pageSetUpPr autoPageBreaks="0" fitToPage="1"/>
  </sheetPr>
  <dimension ref="A1:P37"/>
  <sheetViews>
    <sheetView showGridLines="0" showRuler="0" zoomScale="85" zoomScaleNormal="85" zoomScaleSheetLayoutView="100" workbookViewId="0"/>
  </sheetViews>
  <sheetFormatPr defaultColWidth="9.109375" defaultRowHeight="15.6"/>
  <cols>
    <col min="1" max="1" width="6.33203125" style="357" customWidth="1"/>
    <col min="2" max="2" width="50.6640625" style="358" customWidth="1"/>
    <col min="3" max="6" width="12.6640625" style="353" customWidth="1"/>
    <col min="7" max="7" width="53.33203125" style="353" customWidth="1"/>
    <col min="8" max="8" width="22.33203125" style="354" customWidth="1"/>
    <col min="9" max="9" width="12.6640625" style="353" customWidth="1"/>
    <col min="10" max="10" width="19.109375" style="353" customWidth="1"/>
    <col min="11" max="15" width="9.109375" style="353"/>
    <col min="16" max="16" width="0" style="353" hidden="1" customWidth="1"/>
    <col min="17" max="16384" width="9.109375" style="353"/>
  </cols>
  <sheetData>
    <row r="1" spans="1:9">
      <c r="A1" s="362" t="s">
        <v>592</v>
      </c>
      <c r="B1" s="352"/>
      <c r="H1" s="353"/>
      <c r="I1" s="897" t="str">
        <f>'Project Information'!$B$3</f>
        <v>Enter project name &amp; description</v>
      </c>
    </row>
    <row r="2" spans="1:9">
      <c r="A2" s="269"/>
      <c r="B2" s="352"/>
      <c r="H2" s="353"/>
      <c r="I2" s="897" t="str">
        <f>'Project Information'!$B$1</f>
        <v>999999-1-32-01</v>
      </c>
    </row>
    <row r="3" spans="1:9" s="225" customFormat="1" ht="14.4" thickBot="1">
      <c r="A3" s="311"/>
      <c r="B3" s="312"/>
      <c r="C3" s="313"/>
      <c r="D3" s="313"/>
      <c r="E3" s="313"/>
      <c r="F3" s="313"/>
      <c r="G3" s="313"/>
      <c r="H3" s="313"/>
      <c r="I3" s="313"/>
    </row>
    <row r="4" spans="1:9" s="225" customFormat="1" ht="28.5" customHeight="1" thickBot="1">
      <c r="A4" s="2086" t="s">
        <v>1396</v>
      </c>
      <c r="B4" s="2087"/>
      <c r="C4" s="2088" t="s">
        <v>1397</v>
      </c>
      <c r="D4" s="2088"/>
      <c r="E4" s="2088"/>
      <c r="F4" s="2088"/>
      <c r="G4" s="2339" t="s">
        <v>1398</v>
      </c>
      <c r="H4" s="2340"/>
      <c r="I4" s="2341"/>
    </row>
    <row r="5" spans="1:9" s="225" customFormat="1" ht="28.5" customHeight="1">
      <c r="A5" s="2089" t="s">
        <v>1400</v>
      </c>
      <c r="B5" s="2090"/>
      <c r="C5" s="2091"/>
      <c r="D5" s="2091"/>
      <c r="E5" s="2091"/>
      <c r="F5" s="2091"/>
      <c r="G5" s="2342"/>
      <c r="H5" s="2343"/>
      <c r="I5" s="2344"/>
    </row>
    <row r="6" spans="1:9" s="225" customFormat="1" ht="28.5" customHeight="1" thickBot="1">
      <c r="A6" s="2083" t="s">
        <v>1399</v>
      </c>
      <c r="B6" s="2084"/>
      <c r="C6" s="2085"/>
      <c r="D6" s="2085"/>
      <c r="E6" s="2085"/>
      <c r="F6" s="2085"/>
      <c r="G6" s="2329"/>
      <c r="H6" s="2330"/>
      <c r="I6" s="2331"/>
    </row>
    <row r="7" spans="1:9" s="225" customFormat="1">
      <c r="A7" s="898" t="s">
        <v>1430</v>
      </c>
      <c r="B7" s="270"/>
    </row>
    <row r="8" spans="1:9" s="225" customFormat="1" ht="15" customHeight="1" thickBot="1">
      <c r="A8" s="898"/>
      <c r="B8" s="270"/>
    </row>
    <row r="9" spans="1:9" ht="48" customHeight="1">
      <c r="A9" s="359" t="s">
        <v>79</v>
      </c>
      <c r="B9" s="266" t="s">
        <v>190</v>
      </c>
      <c r="C9" s="266" t="s">
        <v>87</v>
      </c>
      <c r="D9" s="266" t="s">
        <v>101</v>
      </c>
      <c r="E9" s="266" t="s">
        <v>706</v>
      </c>
      <c r="F9" s="266" t="s">
        <v>102</v>
      </c>
      <c r="G9" s="297"/>
      <c r="H9" s="2337" t="s">
        <v>164</v>
      </c>
      <c r="I9" s="2338"/>
    </row>
    <row r="10" spans="1:9" ht="30" customHeight="1">
      <c r="A10" s="240">
        <v>7.1</v>
      </c>
      <c r="B10" s="265" t="s">
        <v>1488</v>
      </c>
      <c r="C10" s="363" t="s">
        <v>85</v>
      </c>
      <c r="D10" s="364" t="s">
        <v>616</v>
      </c>
      <c r="E10" s="654">
        <f>F30</f>
        <v>0</v>
      </c>
      <c r="F10" s="222">
        <f>ROUND(D10*E10,0)</f>
        <v>0</v>
      </c>
      <c r="G10" s="2332" t="s">
        <v>1456</v>
      </c>
      <c r="H10" s="2333"/>
      <c r="I10" s="2334"/>
    </row>
    <row r="11" spans="1:9" ht="30" customHeight="1">
      <c r="A11" s="365">
        <v>7.2</v>
      </c>
      <c r="B11" s="302" t="s">
        <v>1659</v>
      </c>
      <c r="C11" s="363" t="s">
        <v>85</v>
      </c>
      <c r="D11" s="364" t="s">
        <v>616</v>
      </c>
      <c r="E11" s="969">
        <v>0</v>
      </c>
      <c r="F11" s="222">
        <f t="shared" ref="F11:F25" si="0">ROUND(D11*E11,0)</f>
        <v>0</v>
      </c>
      <c r="G11" s="2332"/>
      <c r="H11" s="2335"/>
      <c r="I11" s="2336"/>
    </row>
    <row r="12" spans="1:9" ht="30" customHeight="1">
      <c r="A12" s="240">
        <v>7.3</v>
      </c>
      <c r="B12" s="265" t="s">
        <v>612</v>
      </c>
      <c r="C12" s="363" t="s">
        <v>85</v>
      </c>
      <c r="D12" s="364" t="s">
        <v>616</v>
      </c>
      <c r="E12" s="969">
        <v>0</v>
      </c>
      <c r="F12" s="222">
        <f t="shared" si="0"/>
        <v>0</v>
      </c>
      <c r="G12" s="2332"/>
      <c r="H12" s="2335"/>
      <c r="I12" s="2336"/>
    </row>
    <row r="13" spans="1:9" ht="30" customHeight="1">
      <c r="A13" s="365">
        <v>7.4</v>
      </c>
      <c r="B13" s="265" t="s">
        <v>1174</v>
      </c>
      <c r="C13" s="363" t="s">
        <v>85</v>
      </c>
      <c r="D13" s="364" t="s">
        <v>616</v>
      </c>
      <c r="E13" s="969">
        <v>0</v>
      </c>
      <c r="F13" s="222">
        <f t="shared" si="0"/>
        <v>0</v>
      </c>
      <c r="G13" s="2332"/>
      <c r="H13" s="2335"/>
      <c r="I13" s="2336"/>
    </row>
    <row r="14" spans="1:9" ht="30" customHeight="1">
      <c r="A14" s="240">
        <v>7.5</v>
      </c>
      <c r="B14" s="265" t="s">
        <v>199</v>
      </c>
      <c r="C14" s="363" t="s">
        <v>85</v>
      </c>
      <c r="D14" s="364" t="s">
        <v>616</v>
      </c>
      <c r="E14" s="654">
        <f>F31</f>
        <v>0</v>
      </c>
      <c r="F14" s="222">
        <f t="shared" si="0"/>
        <v>0</v>
      </c>
      <c r="G14" s="2332" t="s">
        <v>1456</v>
      </c>
      <c r="H14" s="2333"/>
      <c r="I14" s="2334"/>
    </row>
    <row r="15" spans="1:9" ht="30" customHeight="1">
      <c r="A15" s="365">
        <v>7.6</v>
      </c>
      <c r="B15" s="265" t="s">
        <v>200</v>
      </c>
      <c r="C15" s="363" t="s">
        <v>85</v>
      </c>
      <c r="D15" s="364" t="s">
        <v>616</v>
      </c>
      <c r="E15" s="654">
        <f>SUM(F32:F33)</f>
        <v>0</v>
      </c>
      <c r="F15" s="222">
        <f t="shared" si="0"/>
        <v>0</v>
      </c>
      <c r="G15" s="2332" t="s">
        <v>578</v>
      </c>
      <c r="H15" s="2333"/>
      <c r="I15" s="2334"/>
    </row>
    <row r="16" spans="1:9" ht="30" customHeight="1">
      <c r="A16" s="240">
        <v>7.7</v>
      </c>
      <c r="B16" s="265" t="s">
        <v>197</v>
      </c>
      <c r="C16" s="363" t="s">
        <v>85</v>
      </c>
      <c r="D16" s="364" t="s">
        <v>616</v>
      </c>
      <c r="E16" s="969">
        <v>0</v>
      </c>
      <c r="F16" s="222">
        <f t="shared" si="0"/>
        <v>0</v>
      </c>
      <c r="G16" s="2332"/>
      <c r="H16" s="2335"/>
      <c r="I16" s="2336"/>
    </row>
    <row r="17" spans="1:9" ht="30" customHeight="1">
      <c r="A17" s="365">
        <v>7.8</v>
      </c>
      <c r="B17" s="265" t="s">
        <v>202</v>
      </c>
      <c r="C17" s="363" t="s">
        <v>85</v>
      </c>
      <c r="D17" s="364" t="s">
        <v>616</v>
      </c>
      <c r="E17" s="969">
        <v>0</v>
      </c>
      <c r="F17" s="222">
        <f t="shared" si="0"/>
        <v>0</v>
      </c>
      <c r="G17" s="2332"/>
      <c r="H17" s="2335"/>
      <c r="I17" s="2336"/>
    </row>
    <row r="18" spans="1:9" ht="30" customHeight="1">
      <c r="A18" s="240">
        <v>7.9</v>
      </c>
      <c r="B18" s="265" t="s">
        <v>201</v>
      </c>
      <c r="C18" s="363" t="s">
        <v>85</v>
      </c>
      <c r="D18" s="364" t="s">
        <v>616</v>
      </c>
      <c r="E18" s="654">
        <f>F34</f>
        <v>0</v>
      </c>
      <c r="F18" s="222">
        <f t="shared" si="0"/>
        <v>0</v>
      </c>
      <c r="G18" s="2332" t="s">
        <v>1456</v>
      </c>
      <c r="H18" s="2333"/>
      <c r="I18" s="2334"/>
    </row>
    <row r="19" spans="1:9" s="355" customFormat="1" ht="30" customHeight="1">
      <c r="A19" s="366">
        <v>7.1</v>
      </c>
      <c r="B19" s="265" t="s">
        <v>1160</v>
      </c>
      <c r="C19" s="363" t="s">
        <v>85</v>
      </c>
      <c r="D19" s="364" t="s">
        <v>616</v>
      </c>
      <c r="E19" s="969">
        <v>0</v>
      </c>
      <c r="F19" s="222">
        <f t="shared" si="0"/>
        <v>0</v>
      </c>
      <c r="G19" s="2332"/>
      <c r="H19" s="2335"/>
      <c r="I19" s="2336"/>
    </row>
    <row r="20" spans="1:9" ht="30" customHeight="1">
      <c r="A20" s="367">
        <v>7.11</v>
      </c>
      <c r="B20" s="265" t="s">
        <v>239</v>
      </c>
      <c r="C20" s="363" t="s">
        <v>85</v>
      </c>
      <c r="D20" s="364" t="s">
        <v>616</v>
      </c>
      <c r="E20" s="969">
        <v>0</v>
      </c>
      <c r="F20" s="222">
        <f t="shared" si="0"/>
        <v>0</v>
      </c>
      <c r="G20" s="2332"/>
      <c r="H20" s="2335"/>
      <c r="I20" s="2336"/>
    </row>
    <row r="21" spans="1:9" ht="30" customHeight="1">
      <c r="A21" s="368">
        <v>7.12</v>
      </c>
      <c r="B21" s="265" t="s">
        <v>198</v>
      </c>
      <c r="C21" s="363" t="s">
        <v>85</v>
      </c>
      <c r="D21" s="364" t="s">
        <v>616</v>
      </c>
      <c r="E21" s="969">
        <v>0</v>
      </c>
      <c r="F21" s="222">
        <f t="shared" si="0"/>
        <v>0</v>
      </c>
      <c r="G21" s="2332"/>
      <c r="H21" s="2335"/>
      <c r="I21" s="2336"/>
    </row>
    <row r="22" spans="1:9" ht="30" customHeight="1">
      <c r="A22" s="367">
        <v>7.13</v>
      </c>
      <c r="B22" s="265" t="s">
        <v>203</v>
      </c>
      <c r="C22" s="363" t="s">
        <v>85</v>
      </c>
      <c r="D22" s="364" t="s">
        <v>616</v>
      </c>
      <c r="E22" s="969">
        <v>0</v>
      </c>
      <c r="F22" s="222">
        <f t="shared" si="0"/>
        <v>0</v>
      </c>
      <c r="G22" s="2332"/>
      <c r="H22" s="2335"/>
      <c r="I22" s="2336"/>
    </row>
    <row r="23" spans="1:9" ht="30" customHeight="1">
      <c r="A23" s="368">
        <v>7.14</v>
      </c>
      <c r="B23" s="265" t="s">
        <v>614</v>
      </c>
      <c r="C23" s="363" t="s">
        <v>85</v>
      </c>
      <c r="D23" s="369" t="s">
        <v>616</v>
      </c>
      <c r="E23" s="969">
        <v>0</v>
      </c>
      <c r="F23" s="222">
        <f>ROUND(D23*E23,0)</f>
        <v>0</v>
      </c>
      <c r="G23" s="2332"/>
      <c r="H23" s="2335"/>
      <c r="I23" s="2336"/>
    </row>
    <row r="24" spans="1:9" ht="30" customHeight="1">
      <c r="A24" s="367">
        <v>7.15</v>
      </c>
      <c r="B24" s="265" t="s">
        <v>615</v>
      </c>
      <c r="C24" s="363" t="s">
        <v>85</v>
      </c>
      <c r="D24" s="364" t="s">
        <v>616</v>
      </c>
      <c r="E24" s="969">
        <v>0</v>
      </c>
      <c r="F24" s="222">
        <f t="shared" si="0"/>
        <v>0</v>
      </c>
      <c r="G24" s="2332"/>
      <c r="H24" s="2335"/>
      <c r="I24" s="2336"/>
    </row>
    <row r="25" spans="1:9" ht="30" customHeight="1">
      <c r="A25" s="368">
        <v>7.16</v>
      </c>
      <c r="B25" s="265" t="s">
        <v>240</v>
      </c>
      <c r="C25" s="363" t="s">
        <v>85</v>
      </c>
      <c r="D25" s="364" t="s">
        <v>616</v>
      </c>
      <c r="E25" s="969">
        <v>0</v>
      </c>
      <c r="F25" s="222">
        <f t="shared" si="0"/>
        <v>0</v>
      </c>
      <c r="G25" s="2332"/>
      <c r="H25" s="2335"/>
      <c r="I25" s="2336"/>
    </row>
    <row r="26" spans="1:9" ht="30" customHeight="1">
      <c r="A26" s="368">
        <v>7.17</v>
      </c>
      <c r="B26" s="265" t="s">
        <v>223</v>
      </c>
      <c r="C26" s="363" t="s">
        <v>85</v>
      </c>
      <c r="D26" s="364" t="s">
        <v>616</v>
      </c>
      <c r="E26" s="969">
        <v>0</v>
      </c>
      <c r="F26" s="222">
        <f>ROUND(D26*E26,0)</f>
        <v>0</v>
      </c>
      <c r="G26" s="2332"/>
      <c r="H26" s="2335"/>
      <c r="I26" s="2336"/>
    </row>
    <row r="27" spans="1:9" ht="20.100000000000001" customHeight="1" thickBot="1">
      <c r="A27" s="2327" t="s">
        <v>374</v>
      </c>
      <c r="B27" s="2328"/>
      <c r="C27" s="2328"/>
      <c r="D27" s="2328"/>
      <c r="E27" s="2328"/>
      <c r="F27" s="248">
        <f>SUM(F10:F26,F35)</f>
        <v>0</v>
      </c>
      <c r="G27" s="2355"/>
      <c r="H27" s="2356"/>
      <c r="I27" s="2357"/>
    </row>
    <row r="28" spans="1:9" ht="16.2" thickBot="1">
      <c r="A28" s="353"/>
      <c r="B28" s="353"/>
      <c r="E28" s="354"/>
      <c r="H28" s="353"/>
    </row>
    <row r="29" spans="1:9" s="268" customFormat="1" ht="51.6" customHeight="1" thickBot="1">
      <c r="A29" s="2351" t="s">
        <v>82</v>
      </c>
      <c r="B29" s="2352"/>
      <c r="C29" s="1984" t="s">
        <v>87</v>
      </c>
      <c r="D29" s="1984" t="s">
        <v>101</v>
      </c>
      <c r="E29" s="1984" t="s">
        <v>706</v>
      </c>
      <c r="F29" s="1984" t="s">
        <v>102</v>
      </c>
      <c r="G29" s="1984" t="s">
        <v>164</v>
      </c>
      <c r="H29" s="1984" t="s">
        <v>575</v>
      </c>
      <c r="I29" s="1006" t="s">
        <v>576</v>
      </c>
    </row>
    <row r="30" spans="1:9" s="334" customFormat="1" ht="19.5" customHeight="1">
      <c r="A30" s="2353" t="s">
        <v>1407</v>
      </c>
      <c r="B30" s="2354"/>
      <c r="C30" s="612" t="s">
        <v>141</v>
      </c>
      <c r="D30" s="982">
        <v>0</v>
      </c>
      <c r="E30" s="982">
        <v>0</v>
      </c>
      <c r="F30" s="612">
        <f t="shared" ref="F30:F35" si="1">E30*D30</f>
        <v>0</v>
      </c>
      <c r="G30" s="612"/>
      <c r="H30" s="1986"/>
      <c r="I30" s="1987">
        <f>IF(H30="Yes",D30,0)</f>
        <v>0</v>
      </c>
    </row>
    <row r="31" spans="1:9" s="334" customFormat="1" ht="19.5" customHeight="1">
      <c r="A31" s="2347" t="s">
        <v>1408</v>
      </c>
      <c r="B31" s="2348"/>
      <c r="C31" s="219" t="s">
        <v>141</v>
      </c>
      <c r="D31" s="962">
        <v>0</v>
      </c>
      <c r="E31" s="962">
        <v>0</v>
      </c>
      <c r="F31" s="219">
        <f t="shared" si="1"/>
        <v>0</v>
      </c>
      <c r="G31" s="219"/>
      <c r="H31" s="1985"/>
      <c r="I31" s="967">
        <f t="shared" ref="I31:I35" si="2">IF(H31="Yes",D31,0)</f>
        <v>0</v>
      </c>
    </row>
    <row r="32" spans="1:9" s="334" customFormat="1" ht="19.5" customHeight="1">
      <c r="A32" s="2347" t="s">
        <v>1409</v>
      </c>
      <c r="B32" s="2348"/>
      <c r="C32" s="219" t="s">
        <v>141</v>
      </c>
      <c r="D32" s="962">
        <v>0</v>
      </c>
      <c r="E32" s="962">
        <v>0</v>
      </c>
      <c r="F32" s="219">
        <f t="shared" si="1"/>
        <v>0</v>
      </c>
      <c r="G32" s="219"/>
      <c r="H32" s="1985"/>
      <c r="I32" s="967">
        <f t="shared" si="2"/>
        <v>0</v>
      </c>
    </row>
    <row r="33" spans="1:16" s="334" customFormat="1" ht="19.5" customHeight="1">
      <c r="A33" s="2347" t="s">
        <v>1410</v>
      </c>
      <c r="B33" s="2348"/>
      <c r="C33" s="219" t="s">
        <v>141</v>
      </c>
      <c r="D33" s="962">
        <v>0</v>
      </c>
      <c r="E33" s="962">
        <v>0</v>
      </c>
      <c r="F33" s="219">
        <f t="shared" si="1"/>
        <v>0</v>
      </c>
      <c r="G33" s="219"/>
      <c r="H33" s="1985"/>
      <c r="I33" s="967">
        <f t="shared" si="2"/>
        <v>0</v>
      </c>
      <c r="J33" s="341"/>
      <c r="K33" s="3"/>
      <c r="P33" s="1983" t="s">
        <v>1840</v>
      </c>
    </row>
    <row r="34" spans="1:16" s="334" customFormat="1" ht="19.5" customHeight="1">
      <c r="A34" s="2347" t="s">
        <v>1411</v>
      </c>
      <c r="B34" s="2348"/>
      <c r="C34" s="219" t="s">
        <v>141</v>
      </c>
      <c r="D34" s="962">
        <v>0</v>
      </c>
      <c r="E34" s="962">
        <v>0</v>
      </c>
      <c r="F34" s="219">
        <f t="shared" si="1"/>
        <v>0</v>
      </c>
      <c r="G34" s="219"/>
      <c r="H34" s="1985"/>
      <c r="I34" s="967">
        <f t="shared" si="2"/>
        <v>0</v>
      </c>
      <c r="J34" s="341"/>
      <c r="K34" s="3"/>
      <c r="P34" s="1983" t="s">
        <v>1842</v>
      </c>
    </row>
    <row r="35" spans="1:16" s="334" customFormat="1" ht="32.25" customHeight="1" thickBot="1">
      <c r="A35" s="2349" t="s">
        <v>1489</v>
      </c>
      <c r="B35" s="2350"/>
      <c r="C35" s="328" t="s">
        <v>141</v>
      </c>
      <c r="D35" s="966">
        <v>0</v>
      </c>
      <c r="E35" s="966">
        <v>0</v>
      </c>
      <c r="F35" s="328">
        <f t="shared" si="1"/>
        <v>0</v>
      </c>
      <c r="G35" s="328"/>
      <c r="H35" s="328"/>
      <c r="I35" s="967">
        <f t="shared" si="2"/>
        <v>0</v>
      </c>
      <c r="J35" s="341"/>
      <c r="K35" s="3"/>
      <c r="P35" s="1982"/>
    </row>
    <row r="36" spans="1:16" s="334" customFormat="1" ht="19.5" customHeight="1" thickTop="1" thickBot="1">
      <c r="A36" s="2345" t="s">
        <v>156</v>
      </c>
      <c r="B36" s="2346"/>
      <c r="C36" s="344"/>
      <c r="D36" s="344"/>
      <c r="E36" s="344"/>
      <c r="F36" s="325">
        <f>SUM(F30:F35)</f>
        <v>0</v>
      </c>
      <c r="G36" s="325"/>
      <c r="H36" s="326" t="s">
        <v>1414</v>
      </c>
      <c r="I36" s="332">
        <f>SUM(I30:I35)</f>
        <v>0</v>
      </c>
      <c r="J36" s="345"/>
      <c r="K36" s="346"/>
    </row>
    <row r="37" spans="1:16" s="334" customFormat="1" ht="13.2">
      <c r="A37" s="3"/>
      <c r="C37" s="3"/>
      <c r="D37" s="3"/>
      <c r="E37" s="3"/>
      <c r="F37" s="182"/>
      <c r="G37" s="182"/>
      <c r="H37" s="3"/>
      <c r="I37" s="182" t="s">
        <v>1405</v>
      </c>
    </row>
  </sheetData>
  <mergeCells count="37">
    <mergeCell ref="G13:I13"/>
    <mergeCell ref="G17:I17"/>
    <mergeCell ref="A36:B36"/>
    <mergeCell ref="A33:B33"/>
    <mergeCell ref="A34:B34"/>
    <mergeCell ref="A35:B35"/>
    <mergeCell ref="A29:B29"/>
    <mergeCell ref="A30:B30"/>
    <mergeCell ref="A31:B31"/>
    <mergeCell ref="A32:B32"/>
    <mergeCell ref="G23:I23"/>
    <mergeCell ref="G24:I24"/>
    <mergeCell ref="G25:I25"/>
    <mergeCell ref="G26:I26"/>
    <mergeCell ref="G27:I27"/>
    <mergeCell ref="A4:B4"/>
    <mergeCell ref="C4:F4"/>
    <mergeCell ref="A5:B5"/>
    <mergeCell ref="C5:F5"/>
    <mergeCell ref="G4:I4"/>
    <mergeCell ref="G5:I5"/>
    <mergeCell ref="A6:B6"/>
    <mergeCell ref="C6:F6"/>
    <mergeCell ref="A27:E27"/>
    <mergeCell ref="G6:I6"/>
    <mergeCell ref="G10:I10"/>
    <mergeCell ref="G14:I14"/>
    <mergeCell ref="G15:I15"/>
    <mergeCell ref="G16:I16"/>
    <mergeCell ref="G18:I18"/>
    <mergeCell ref="G19:I19"/>
    <mergeCell ref="G20:I20"/>
    <mergeCell ref="G21:I21"/>
    <mergeCell ref="G22:I22"/>
    <mergeCell ref="H9:I9"/>
    <mergeCell ref="G11:I11"/>
    <mergeCell ref="G12:I12"/>
  </mergeCells>
  <phoneticPr fontId="0" type="noConversion"/>
  <dataValidations count="1">
    <dataValidation type="list" allowBlank="1" showInputMessage="1" showErrorMessage="1" sqref="H30:H35" xr:uid="{489F6612-4DB3-4369-9F0B-E27960CE6AE1}">
      <formula1>$P$33:$P$34</formula1>
    </dataValidation>
  </dataValidations>
  <printOptions horizontalCentered="1"/>
  <pageMargins left="0.5" right="0.5" top="1" bottom="1" header="0.5" footer="0.5"/>
  <pageSetup scale="65" fitToHeight="0" orientation="landscape" r:id="rId1"/>
  <headerFooter alignWithMargins="0">
    <oddHeader xml:space="preserve">&amp;C&amp;"Arial,Bold"&amp;12&amp;UProject Activity 7: Utilities
</oddHeader>
    <oddFooter>&amp;L&amp;F
&amp;A&amp;CPage &amp;P of &amp;N&amp;R&amp;D</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dimension ref="A1:N63"/>
  <sheetViews>
    <sheetView showGridLines="0" zoomScaleNormal="100" zoomScaleSheetLayoutView="100" workbookViewId="0"/>
  </sheetViews>
  <sheetFormatPr defaultColWidth="9.109375" defaultRowHeight="13.2"/>
  <cols>
    <col min="1" max="1" width="118.33203125" style="170" customWidth="1"/>
    <col min="2" max="16384" width="9.109375" style="136"/>
  </cols>
  <sheetData>
    <row r="1" spans="1:14">
      <c r="A1" s="921" t="s">
        <v>1698</v>
      </c>
    </row>
    <row r="2" spans="1:14">
      <c r="N2" s="136" t="s">
        <v>400</v>
      </c>
    </row>
    <row r="3" spans="1:14" ht="107.25" customHeight="1">
      <c r="A3" s="170" t="s">
        <v>1673</v>
      </c>
    </row>
    <row r="5" spans="1:14" ht="39.6">
      <c r="A5" s="1038" t="s">
        <v>1490</v>
      </c>
    </row>
    <row r="7" spans="1:14" ht="52.8">
      <c r="A7" s="170" t="s">
        <v>1674</v>
      </c>
    </row>
    <row r="9" spans="1:14" ht="39.75" customHeight="1">
      <c r="A9" s="921" t="s">
        <v>1241</v>
      </c>
    </row>
    <row r="11" spans="1:14">
      <c r="A11" s="910" t="s">
        <v>1242</v>
      </c>
    </row>
    <row r="12" spans="1:14">
      <c r="A12" s="910" t="s">
        <v>1243</v>
      </c>
    </row>
    <row r="13" spans="1:14">
      <c r="A13" s="910" t="s">
        <v>1244</v>
      </c>
    </row>
    <row r="14" spans="1:14">
      <c r="A14" s="910" t="s">
        <v>1245</v>
      </c>
    </row>
    <row r="15" spans="1:14">
      <c r="A15" s="910" t="s">
        <v>1246</v>
      </c>
    </row>
    <row r="16" spans="1:14">
      <c r="A16" s="910" t="s">
        <v>1247</v>
      </c>
    </row>
    <row r="18" spans="1:1">
      <c r="A18" s="170" t="s">
        <v>1248</v>
      </c>
    </row>
    <row r="19" spans="1:1">
      <c r="A19" s="910" t="s">
        <v>1699</v>
      </c>
    </row>
    <row r="20" spans="1:1">
      <c r="A20" s="910" t="s">
        <v>1491</v>
      </c>
    </row>
    <row r="21" spans="1:1">
      <c r="A21" s="910" t="s">
        <v>1249</v>
      </c>
    </row>
    <row r="22" spans="1:1">
      <c r="A22" s="910" t="s">
        <v>1700</v>
      </c>
    </row>
    <row r="23" spans="1:1">
      <c r="A23" s="1039" t="s">
        <v>1675</v>
      </c>
    </row>
    <row r="24" spans="1:1">
      <c r="A24" s="910" t="s">
        <v>1250</v>
      </c>
    </row>
    <row r="25" spans="1:1" ht="38.25" customHeight="1"/>
    <row r="26" spans="1:1" ht="38.25" customHeight="1">
      <c r="A26" s="921" t="s">
        <v>1642</v>
      </c>
    </row>
    <row r="28" spans="1:1">
      <c r="A28" s="910" t="s">
        <v>1251</v>
      </c>
    </row>
    <row r="29" spans="1:1">
      <c r="A29" s="910" t="s">
        <v>1252</v>
      </c>
    </row>
    <row r="30" spans="1:1">
      <c r="A30" s="910" t="s">
        <v>1253</v>
      </c>
    </row>
    <row r="31" spans="1:1">
      <c r="A31" s="910" t="s">
        <v>1701</v>
      </c>
    </row>
    <row r="32" spans="1:1">
      <c r="A32" s="910" t="s">
        <v>1254</v>
      </c>
    </row>
    <row r="33" spans="1:1">
      <c r="A33" s="910" t="s">
        <v>1643</v>
      </c>
    </row>
    <row r="35" spans="1:1">
      <c r="A35" s="170" t="s">
        <v>1248</v>
      </c>
    </row>
    <row r="36" spans="1:1">
      <c r="A36" s="910" t="s">
        <v>1702</v>
      </c>
    </row>
    <row r="37" spans="1:1">
      <c r="A37" s="910" t="s">
        <v>1255</v>
      </c>
    </row>
    <row r="38" spans="1:1">
      <c r="A38" s="910" t="s">
        <v>1492</v>
      </c>
    </row>
    <row r="39" spans="1:1">
      <c r="A39" s="910" t="s">
        <v>1256</v>
      </c>
    </row>
    <row r="40" spans="1:1">
      <c r="A40" s="910" t="s">
        <v>1493</v>
      </c>
    </row>
    <row r="41" spans="1:1">
      <c r="A41" s="910" t="s">
        <v>1494</v>
      </c>
    </row>
    <row r="42" spans="1:1">
      <c r="A42" s="910" t="s">
        <v>1250</v>
      </c>
    </row>
    <row r="43" spans="1:1">
      <c r="A43" s="1039" t="s">
        <v>1676</v>
      </c>
    </row>
    <row r="44" spans="1:1">
      <c r="A44" s="170" t="s">
        <v>1257</v>
      </c>
    </row>
    <row r="45" spans="1:1" ht="39.6">
      <c r="A45" s="921" t="s">
        <v>1677</v>
      </c>
    </row>
    <row r="47" spans="1:1">
      <c r="A47" s="910" t="s">
        <v>1258</v>
      </c>
    </row>
    <row r="48" spans="1:1">
      <c r="A48" s="910" t="s">
        <v>1259</v>
      </c>
    </row>
    <row r="49" spans="1:1">
      <c r="A49" s="910" t="s">
        <v>1251</v>
      </c>
    </row>
    <row r="50" spans="1:1">
      <c r="A50" s="910" t="s">
        <v>1260</v>
      </c>
    </row>
    <row r="51" spans="1:1">
      <c r="A51" s="910" t="s">
        <v>1253</v>
      </c>
    </row>
    <row r="52" spans="1:1">
      <c r="A52" s="910" t="s">
        <v>1261</v>
      </c>
    </row>
    <row r="54" spans="1:1">
      <c r="A54" s="170" t="s">
        <v>1248</v>
      </c>
    </row>
    <row r="55" spans="1:1">
      <c r="A55" s="910" t="s">
        <v>1702</v>
      </c>
    </row>
    <row r="56" spans="1:1">
      <c r="A56" s="1039" t="s">
        <v>1262</v>
      </c>
    </row>
    <row r="57" spans="1:1">
      <c r="A57" s="910" t="s">
        <v>1645</v>
      </c>
    </row>
    <row r="58" spans="1:1">
      <c r="A58" s="910" t="s">
        <v>1263</v>
      </c>
    </row>
    <row r="59" spans="1:1">
      <c r="A59" s="910" t="s">
        <v>1700</v>
      </c>
    </row>
    <row r="60" spans="1:1">
      <c r="A60" s="910" t="s">
        <v>1703</v>
      </c>
    </row>
    <row r="61" spans="1:1">
      <c r="A61" s="1039" t="s">
        <v>1264</v>
      </c>
    </row>
    <row r="62" spans="1:1">
      <c r="A62" s="910" t="s">
        <v>1644</v>
      </c>
    </row>
    <row r="63" spans="1:1">
      <c r="A63" s="1039" t="s">
        <v>1704</v>
      </c>
    </row>
  </sheetData>
  <pageMargins left="0.75" right="0.75" top="1" bottom="1" header="0.5" footer="0.5"/>
  <pageSetup scale="89" orientation="landscape" r:id="rId1"/>
  <headerFooter alignWithMargins="0">
    <oddFooter>&amp;CPage &amp;P of &amp;N</oddFooter>
  </headerFooter>
  <rowBreaks count="1" manualBreakCount="1">
    <brk id="24"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pageSetUpPr autoPageBreaks="0" fitToPage="1"/>
  </sheetPr>
  <dimension ref="A1:I71"/>
  <sheetViews>
    <sheetView showGridLines="0" showRuler="0" zoomScaleNormal="100" zoomScaleSheetLayoutView="100" workbookViewId="0"/>
  </sheetViews>
  <sheetFormatPr defaultRowHeight="13.2"/>
  <cols>
    <col min="1" max="1" width="7.33203125" customWidth="1"/>
    <col min="2" max="2" width="50.6640625" customWidth="1"/>
    <col min="3" max="6" width="12.6640625" customWidth="1"/>
    <col min="7" max="7" width="55.6640625" customWidth="1"/>
    <col min="8" max="8" width="25.6640625" customWidth="1"/>
    <col min="9" max="9" width="12.6640625" customWidth="1"/>
    <col min="10" max="10" width="20.109375" customWidth="1"/>
  </cols>
  <sheetData>
    <row r="1" spans="1:9" s="187" customFormat="1" ht="20.100000000000001" customHeight="1">
      <c r="A1" s="187" t="s">
        <v>592</v>
      </c>
      <c r="I1" s="897" t="str">
        <f>'Project Information'!$B$3</f>
        <v>Enter project name &amp; description</v>
      </c>
    </row>
    <row r="2" spans="1:9" s="187" customFormat="1" ht="20.100000000000001" customHeight="1">
      <c r="A2" s="310"/>
      <c r="I2" s="897" t="str">
        <f>'Project Information'!$B$1</f>
        <v>999999-1-32-01</v>
      </c>
    </row>
    <row r="3" spans="1:9" s="225" customFormat="1" ht="14.4" thickBot="1">
      <c r="A3" s="311"/>
      <c r="B3" s="312"/>
      <c r="C3" s="313"/>
      <c r="D3" s="313"/>
      <c r="E3" s="313"/>
      <c r="F3" s="313"/>
      <c r="G3" s="313"/>
      <c r="H3" s="313"/>
      <c r="I3" s="313"/>
    </row>
    <row r="4" spans="1:9" s="225" customFormat="1" ht="28.5" customHeight="1" thickBot="1">
      <c r="A4" s="2086" t="s">
        <v>1396</v>
      </c>
      <c r="B4" s="2087"/>
      <c r="C4" s="2088" t="s">
        <v>1397</v>
      </c>
      <c r="D4" s="2088"/>
      <c r="E4" s="2088"/>
      <c r="F4" s="2088"/>
      <c r="G4" s="2339" t="s">
        <v>1398</v>
      </c>
      <c r="H4" s="2340"/>
      <c r="I4" s="2341"/>
    </row>
    <row r="5" spans="1:9" s="225" customFormat="1" ht="28.5" customHeight="1">
      <c r="A5" s="2089" t="s">
        <v>1400</v>
      </c>
      <c r="B5" s="2090"/>
      <c r="C5" s="2091"/>
      <c r="D5" s="2091"/>
      <c r="E5" s="2091"/>
      <c r="F5" s="2091"/>
      <c r="G5" s="2342"/>
      <c r="H5" s="2343"/>
      <c r="I5" s="2344"/>
    </row>
    <row r="6" spans="1:9" s="225" customFormat="1" ht="28.5" customHeight="1" thickBot="1">
      <c r="A6" s="2083" t="s">
        <v>1399</v>
      </c>
      <c r="B6" s="2084"/>
      <c r="C6" s="2085"/>
      <c r="D6" s="2085"/>
      <c r="E6" s="2085"/>
      <c r="F6" s="2085"/>
      <c r="G6" s="2329"/>
      <c r="H6" s="2330"/>
      <c r="I6" s="2331"/>
    </row>
    <row r="7" spans="1:9" s="225" customFormat="1" ht="15.6">
      <c r="A7" s="898" t="s">
        <v>1430</v>
      </c>
      <c r="B7" s="270"/>
    </row>
    <row r="8" spans="1:9" s="225" customFormat="1" ht="15" customHeight="1" thickBot="1">
      <c r="A8" s="898"/>
      <c r="B8" s="270"/>
    </row>
    <row r="9" spans="1:9" ht="48" customHeight="1">
      <c r="A9" s="377" t="s">
        <v>79</v>
      </c>
      <c r="B9" s="378" t="s">
        <v>190</v>
      </c>
      <c r="C9" s="379" t="s">
        <v>87</v>
      </c>
      <c r="D9" s="378" t="s">
        <v>45</v>
      </c>
      <c r="E9" s="378" t="s">
        <v>46</v>
      </c>
      <c r="F9" s="378" t="s">
        <v>102</v>
      </c>
      <c r="G9" s="2378" t="s">
        <v>164</v>
      </c>
      <c r="H9" s="2343"/>
      <c r="I9" s="2344"/>
    </row>
    <row r="10" spans="1:9" ht="20.100000000000001" customHeight="1">
      <c r="A10" s="381"/>
      <c r="B10" s="382" t="s">
        <v>1682</v>
      </c>
      <c r="C10" s="539"/>
      <c r="D10" s="322"/>
      <c r="E10" s="322"/>
      <c r="F10" s="322"/>
      <c r="G10" s="2372"/>
      <c r="H10" s="2373"/>
      <c r="I10" s="2374"/>
    </row>
    <row r="11" spans="1:9" ht="30" customHeight="1">
      <c r="A11" s="370">
        <v>8.1</v>
      </c>
      <c r="B11" s="265" t="s">
        <v>368</v>
      </c>
      <c r="C11" s="219" t="s">
        <v>85</v>
      </c>
      <c r="D11" s="315">
        <v>1</v>
      </c>
      <c r="E11" s="970">
        <v>0</v>
      </c>
      <c r="F11" s="371">
        <f>ROUND(D11*E11,0)</f>
        <v>0</v>
      </c>
      <c r="G11" s="2332"/>
      <c r="H11" s="2335"/>
      <c r="I11" s="2336"/>
    </row>
    <row r="12" spans="1:9" ht="20.100000000000001" customHeight="1">
      <c r="A12" s="381"/>
      <c r="B12" s="382" t="s">
        <v>1044</v>
      </c>
      <c r="C12" s="539"/>
      <c r="D12" s="322"/>
      <c r="E12" s="322"/>
      <c r="F12" s="322"/>
      <c r="G12" s="2372"/>
      <c r="H12" s="2373"/>
      <c r="I12" s="2374"/>
    </row>
    <row r="13" spans="1:9" ht="30" customHeight="1">
      <c r="A13" s="915" t="s">
        <v>1495</v>
      </c>
      <c r="B13" s="2361" t="s">
        <v>1048</v>
      </c>
      <c r="C13" s="2362"/>
      <c r="D13" s="2362"/>
      <c r="E13" s="2362"/>
      <c r="F13" s="2363"/>
      <c r="G13" s="2332"/>
      <c r="H13" s="2335"/>
      <c r="I13" s="2336"/>
    </row>
    <row r="14" spans="1:9" ht="30" customHeight="1">
      <c r="A14" s="914" t="s">
        <v>1496</v>
      </c>
      <c r="B14" s="302" t="s">
        <v>1049</v>
      </c>
      <c r="C14" s="1870" t="s">
        <v>1521</v>
      </c>
      <c r="D14" s="970">
        <v>0</v>
      </c>
      <c r="E14" s="970">
        <v>0</v>
      </c>
      <c r="F14" s="371">
        <f>ROUND(D14*E14,0)</f>
        <v>0</v>
      </c>
      <c r="G14" s="2332"/>
      <c r="H14" s="2335"/>
      <c r="I14" s="2336"/>
    </row>
    <row r="15" spans="1:9" ht="30" customHeight="1">
      <c r="A15" s="914" t="s">
        <v>1497</v>
      </c>
      <c r="B15" s="302" t="s">
        <v>241</v>
      </c>
      <c r="C15" s="363" t="s">
        <v>85</v>
      </c>
      <c r="D15" s="315">
        <v>1</v>
      </c>
      <c r="E15" s="970">
        <v>0</v>
      </c>
      <c r="F15" s="371">
        <f>ROUND(D15*E15,0)</f>
        <v>0</v>
      </c>
      <c r="G15" s="2332"/>
      <c r="H15" s="2335"/>
      <c r="I15" s="2336"/>
    </row>
    <row r="16" spans="1:9" ht="30" customHeight="1">
      <c r="A16" s="914" t="s">
        <v>1498</v>
      </c>
      <c r="B16" s="302" t="s">
        <v>1050</v>
      </c>
      <c r="C16" s="363" t="s">
        <v>85</v>
      </c>
      <c r="D16" s="315">
        <v>1</v>
      </c>
      <c r="E16" s="970">
        <v>0</v>
      </c>
      <c r="F16" s="371">
        <f>ROUND(D16*E16,0)</f>
        <v>0</v>
      </c>
      <c r="G16" s="2332"/>
      <c r="H16" s="2335"/>
      <c r="I16" s="2336"/>
    </row>
    <row r="17" spans="1:9" s="8" customFormat="1" ht="30" customHeight="1">
      <c r="A17" s="914" t="s">
        <v>1499</v>
      </c>
      <c r="B17" s="373" t="s">
        <v>300</v>
      </c>
      <c r="C17" s="223" t="s">
        <v>85</v>
      </c>
      <c r="D17" s="374">
        <v>1</v>
      </c>
      <c r="E17" s="971">
        <v>0</v>
      </c>
      <c r="F17" s="375">
        <f t="shared" ref="F17:F28" si="0">ROUND(D17*E17,0)</f>
        <v>0</v>
      </c>
      <c r="G17" s="2332"/>
      <c r="H17" s="2335"/>
      <c r="I17" s="2336"/>
    </row>
    <row r="18" spans="1:9" ht="30" customHeight="1">
      <c r="A18" s="915" t="s">
        <v>1500</v>
      </c>
      <c r="B18" s="2358" t="s">
        <v>47</v>
      </c>
      <c r="C18" s="2359"/>
      <c r="D18" s="2359"/>
      <c r="E18" s="2359"/>
      <c r="F18" s="2360"/>
      <c r="G18" s="2332"/>
      <c r="H18" s="2335"/>
      <c r="I18" s="2336"/>
    </row>
    <row r="19" spans="1:9" ht="30" customHeight="1">
      <c r="A19" s="914" t="s">
        <v>1501</v>
      </c>
      <c r="B19" s="1871" t="s">
        <v>1051</v>
      </c>
      <c r="C19" s="1872" t="s">
        <v>85</v>
      </c>
      <c r="D19" s="1873">
        <v>1</v>
      </c>
      <c r="E19" s="1874">
        <v>0</v>
      </c>
      <c r="F19" s="1875">
        <f>ROUND(D19*E19,0)</f>
        <v>0</v>
      </c>
      <c r="G19" s="2332"/>
      <c r="H19" s="2335"/>
      <c r="I19" s="2336"/>
    </row>
    <row r="20" spans="1:9" ht="30" customHeight="1">
      <c r="A20" s="914" t="s">
        <v>1502</v>
      </c>
      <c r="B20" s="302" t="s">
        <v>1052</v>
      </c>
      <c r="C20" s="363" t="s">
        <v>85</v>
      </c>
      <c r="D20" s="315">
        <v>1</v>
      </c>
      <c r="E20" s="970">
        <v>0</v>
      </c>
      <c r="F20" s="371">
        <f>ROUND(D20*E20,0)</f>
        <v>0</v>
      </c>
      <c r="G20" s="2332"/>
      <c r="H20" s="2335"/>
      <c r="I20" s="2336"/>
    </row>
    <row r="21" spans="1:9" ht="30" customHeight="1">
      <c r="A21" s="914" t="s">
        <v>1503</v>
      </c>
      <c r="B21" s="302" t="s">
        <v>1646</v>
      </c>
      <c r="C21" s="219" t="s">
        <v>85</v>
      </c>
      <c r="D21" s="315">
        <v>1</v>
      </c>
      <c r="E21" s="970">
        <v>0</v>
      </c>
      <c r="F21" s="371">
        <f t="shared" si="0"/>
        <v>0</v>
      </c>
      <c r="G21" s="2332"/>
      <c r="H21" s="2335"/>
      <c r="I21" s="2336"/>
    </row>
    <row r="22" spans="1:9" ht="30" customHeight="1">
      <c r="A22" s="915" t="s">
        <v>1504</v>
      </c>
      <c r="B22" s="2361" t="s">
        <v>2609</v>
      </c>
      <c r="C22" s="2362"/>
      <c r="D22" s="2362"/>
      <c r="E22" s="2362"/>
      <c r="F22" s="2363"/>
      <c r="G22" s="2332"/>
      <c r="H22" s="2335"/>
      <c r="I22" s="2336"/>
    </row>
    <row r="23" spans="1:9" ht="30" customHeight="1">
      <c r="A23" s="915" t="s">
        <v>1845</v>
      </c>
      <c r="B23" s="302" t="s">
        <v>1846</v>
      </c>
      <c r="C23" s="219" t="s">
        <v>85</v>
      </c>
      <c r="D23" s="315">
        <v>1</v>
      </c>
      <c r="E23" s="970">
        <v>0</v>
      </c>
      <c r="F23" s="371">
        <f t="shared" si="0"/>
        <v>0</v>
      </c>
      <c r="G23" s="2332"/>
      <c r="H23" s="2364"/>
      <c r="I23" s="2365"/>
    </row>
    <row r="24" spans="1:9" ht="30" customHeight="1">
      <c r="A24" s="915" t="s">
        <v>1847</v>
      </c>
      <c r="B24" s="302" t="s">
        <v>1848</v>
      </c>
      <c r="C24" s="219" t="s">
        <v>85</v>
      </c>
      <c r="D24" s="315">
        <v>1</v>
      </c>
      <c r="E24" s="970">
        <v>0</v>
      </c>
      <c r="F24" s="371">
        <f t="shared" si="0"/>
        <v>0</v>
      </c>
      <c r="G24" s="2332"/>
      <c r="H24" s="2364"/>
      <c r="I24" s="2365"/>
    </row>
    <row r="25" spans="1:9" ht="44.4" customHeight="1">
      <c r="A25" s="914" t="s">
        <v>1505</v>
      </c>
      <c r="B25" s="302" t="s">
        <v>1650</v>
      </c>
      <c r="C25" s="219" t="s">
        <v>85</v>
      </c>
      <c r="D25" s="315">
        <v>1</v>
      </c>
      <c r="E25" s="970">
        <v>0</v>
      </c>
      <c r="F25" s="371">
        <f t="shared" si="0"/>
        <v>0</v>
      </c>
      <c r="G25" s="2332"/>
      <c r="H25" s="2335"/>
      <c r="I25" s="2336"/>
    </row>
    <row r="26" spans="1:9" ht="30" customHeight="1">
      <c r="A26" s="914" t="s">
        <v>1506</v>
      </c>
      <c r="B26" s="265" t="s">
        <v>242</v>
      </c>
      <c r="C26" s="219" t="s">
        <v>85</v>
      </c>
      <c r="D26" s="315">
        <v>1</v>
      </c>
      <c r="E26" s="970">
        <v>0</v>
      </c>
      <c r="F26" s="371">
        <f t="shared" si="0"/>
        <v>0</v>
      </c>
      <c r="G26" s="2332"/>
      <c r="H26" s="2335"/>
      <c r="I26" s="2336"/>
    </row>
    <row r="27" spans="1:9" ht="30" customHeight="1">
      <c r="A27" s="914" t="s">
        <v>1507</v>
      </c>
      <c r="B27" s="265" t="s">
        <v>1660</v>
      </c>
      <c r="C27" s="219" t="s">
        <v>85</v>
      </c>
      <c r="D27" s="315">
        <v>1</v>
      </c>
      <c r="E27" s="970">
        <v>0</v>
      </c>
      <c r="F27" s="371">
        <f t="shared" si="0"/>
        <v>0</v>
      </c>
      <c r="G27" s="2332"/>
      <c r="H27" s="2335"/>
      <c r="I27" s="2336"/>
    </row>
    <row r="28" spans="1:9" ht="30" customHeight="1">
      <c r="A28" s="914" t="s">
        <v>1508</v>
      </c>
      <c r="B28" s="265" t="s">
        <v>1647</v>
      </c>
      <c r="C28" s="219" t="s">
        <v>85</v>
      </c>
      <c r="D28" s="315">
        <v>1</v>
      </c>
      <c r="E28" s="970">
        <v>0</v>
      </c>
      <c r="F28" s="371">
        <f t="shared" si="0"/>
        <v>0</v>
      </c>
      <c r="G28" s="2332"/>
      <c r="H28" s="2335"/>
      <c r="I28" s="2336"/>
    </row>
    <row r="29" spans="1:9" ht="30" customHeight="1">
      <c r="A29" s="914" t="s">
        <v>1509</v>
      </c>
      <c r="B29" s="265" t="s">
        <v>48</v>
      </c>
      <c r="C29" s="219" t="s">
        <v>85</v>
      </c>
      <c r="D29" s="315">
        <v>1</v>
      </c>
      <c r="E29" s="970">
        <v>0</v>
      </c>
      <c r="F29" s="371">
        <f>ROUND(D29*E29,0)</f>
        <v>0</v>
      </c>
      <c r="G29" s="2332"/>
      <c r="H29" s="2335"/>
      <c r="I29" s="2336"/>
    </row>
    <row r="30" spans="1:9" ht="30" customHeight="1">
      <c r="A30" s="916" t="s">
        <v>1510</v>
      </c>
      <c r="B30" s="302" t="s">
        <v>1871</v>
      </c>
      <c r="C30" s="219" t="s">
        <v>85</v>
      </c>
      <c r="D30" s="315">
        <v>1</v>
      </c>
      <c r="E30" s="970">
        <v>0</v>
      </c>
      <c r="F30" s="371">
        <f>ROUND(D30*E30,0)</f>
        <v>0</v>
      </c>
      <c r="G30" s="2332"/>
      <c r="H30" s="2335"/>
      <c r="I30" s="2336"/>
    </row>
    <row r="31" spans="1:9" ht="30" customHeight="1">
      <c r="A31" s="916" t="s">
        <v>2622</v>
      </c>
      <c r="B31" s="302" t="s">
        <v>243</v>
      </c>
      <c r="C31" s="183" t="s">
        <v>85</v>
      </c>
      <c r="D31" s="184">
        <v>1</v>
      </c>
      <c r="E31" s="972">
        <v>0</v>
      </c>
      <c r="F31" s="66">
        <f>ROUND(D31*E31,0)</f>
        <v>0</v>
      </c>
      <c r="G31" s="1074"/>
      <c r="H31" s="1072"/>
      <c r="I31" s="1073"/>
    </row>
    <row r="32" spans="1:9" ht="20.100000000000001" customHeight="1">
      <c r="A32" s="383"/>
      <c r="B32" s="384" t="s">
        <v>2610</v>
      </c>
      <c r="C32" s="385"/>
      <c r="D32" s="386"/>
      <c r="E32" s="386"/>
      <c r="F32" s="386"/>
      <c r="G32" s="2375"/>
      <c r="H32" s="2376"/>
      <c r="I32" s="2377"/>
    </row>
    <row r="33" spans="1:9" ht="30" customHeight="1">
      <c r="A33" s="1923">
        <v>8.14</v>
      </c>
      <c r="B33" s="2361" t="s">
        <v>2623</v>
      </c>
      <c r="C33" s="2362"/>
      <c r="D33" s="2362"/>
      <c r="E33" s="2362"/>
      <c r="F33" s="2363"/>
      <c r="G33" s="2332"/>
      <c r="H33" s="2335"/>
      <c r="I33" s="2336"/>
    </row>
    <row r="34" spans="1:9" ht="30" customHeight="1">
      <c r="A34" s="424" t="s">
        <v>1511</v>
      </c>
      <c r="B34" s="302" t="s">
        <v>1053</v>
      </c>
      <c r="C34" s="183" t="s">
        <v>85</v>
      </c>
      <c r="D34" s="184">
        <v>1</v>
      </c>
      <c r="E34" s="972">
        <v>0</v>
      </c>
      <c r="F34" s="66">
        <f t="shared" ref="F34:F39" si="1">ROUND(D34*E34,0)</f>
        <v>0</v>
      </c>
      <c r="G34" s="2332"/>
      <c r="H34" s="2335"/>
      <c r="I34" s="2336"/>
    </row>
    <row r="35" spans="1:9" ht="30" customHeight="1">
      <c r="A35" s="424" t="s">
        <v>1512</v>
      </c>
      <c r="B35" s="302" t="s">
        <v>1661</v>
      </c>
      <c r="C35" s="183" t="s">
        <v>85</v>
      </c>
      <c r="D35" s="184">
        <v>1</v>
      </c>
      <c r="E35" s="972">
        <v>0</v>
      </c>
      <c r="F35" s="66">
        <f t="shared" si="1"/>
        <v>0</v>
      </c>
      <c r="G35" s="2332"/>
      <c r="H35" s="2335"/>
      <c r="I35" s="2336"/>
    </row>
    <row r="36" spans="1:9" ht="30" customHeight="1">
      <c r="A36" s="424" t="s">
        <v>1513</v>
      </c>
      <c r="B36" s="302" t="s">
        <v>2606</v>
      </c>
      <c r="C36" s="183" t="s">
        <v>85</v>
      </c>
      <c r="D36" s="184">
        <v>1</v>
      </c>
      <c r="E36" s="972">
        <v>0</v>
      </c>
      <c r="F36" s="66">
        <f t="shared" si="1"/>
        <v>0</v>
      </c>
      <c r="G36" s="2332"/>
      <c r="H36" s="2335"/>
      <c r="I36" s="2336"/>
    </row>
    <row r="37" spans="1:9" ht="30" customHeight="1">
      <c r="A37" s="424" t="s">
        <v>1118</v>
      </c>
      <c r="B37" s="302" t="s">
        <v>1054</v>
      </c>
      <c r="C37" s="183" t="s">
        <v>85</v>
      </c>
      <c r="D37" s="184">
        <v>1</v>
      </c>
      <c r="E37" s="972">
        <v>0</v>
      </c>
      <c r="F37" s="66">
        <f t="shared" si="1"/>
        <v>0</v>
      </c>
      <c r="G37" s="2332"/>
      <c r="H37" s="2335"/>
      <c r="I37" s="2336"/>
    </row>
    <row r="38" spans="1:9" ht="30" customHeight="1">
      <c r="A38" s="424" t="s">
        <v>1514</v>
      </c>
      <c r="B38" s="302" t="s">
        <v>1648</v>
      </c>
      <c r="C38" s="183" t="s">
        <v>85</v>
      </c>
      <c r="D38" s="184">
        <v>1</v>
      </c>
      <c r="E38" s="972">
        <v>0</v>
      </c>
      <c r="F38" s="66">
        <f t="shared" si="1"/>
        <v>0</v>
      </c>
      <c r="G38" s="2332"/>
      <c r="H38" s="2335"/>
      <c r="I38" s="2336"/>
    </row>
    <row r="39" spans="1:9" ht="30" customHeight="1">
      <c r="A39" s="424" t="s">
        <v>2607</v>
      </c>
      <c r="B39" s="302" t="s">
        <v>1649</v>
      </c>
      <c r="C39" s="183" t="s">
        <v>85</v>
      </c>
      <c r="D39" s="184">
        <v>1</v>
      </c>
      <c r="E39" s="972">
        <v>0</v>
      </c>
      <c r="F39" s="66">
        <f t="shared" si="1"/>
        <v>0</v>
      </c>
      <c r="G39" s="2332"/>
      <c r="H39" s="2335"/>
      <c r="I39" s="2336"/>
    </row>
    <row r="40" spans="1:9" ht="30" customHeight="1">
      <c r="A40" s="1922">
        <v>8.15</v>
      </c>
      <c r="B40" s="2361" t="s">
        <v>1520</v>
      </c>
      <c r="C40" s="2362"/>
      <c r="D40" s="2362"/>
      <c r="E40" s="2362"/>
      <c r="F40" s="2363"/>
      <c r="G40" s="2332"/>
      <c r="H40" s="2335"/>
      <c r="I40" s="2336"/>
    </row>
    <row r="41" spans="1:9" ht="30" customHeight="1">
      <c r="A41" s="424" t="s">
        <v>2601</v>
      </c>
      <c r="B41" s="1871" t="s">
        <v>1053</v>
      </c>
      <c r="C41" s="1876" t="s">
        <v>85</v>
      </c>
      <c r="D41" s="1877">
        <v>1</v>
      </c>
      <c r="E41" s="1878">
        <v>0</v>
      </c>
      <c r="F41" s="66">
        <f t="shared" ref="F41:F49" si="2">ROUND(D41*E41,0)</f>
        <v>0</v>
      </c>
      <c r="G41" s="2332"/>
      <c r="H41" s="2335"/>
      <c r="I41" s="2336"/>
    </row>
    <row r="42" spans="1:9" ht="30" customHeight="1">
      <c r="A42" s="424" t="s">
        <v>2602</v>
      </c>
      <c r="B42" s="302" t="s">
        <v>1661</v>
      </c>
      <c r="C42" s="183" t="s">
        <v>85</v>
      </c>
      <c r="D42" s="184">
        <v>1</v>
      </c>
      <c r="E42" s="972">
        <v>0</v>
      </c>
      <c r="F42" s="66">
        <f t="shared" si="2"/>
        <v>0</v>
      </c>
      <c r="G42" s="2332"/>
      <c r="H42" s="2335"/>
      <c r="I42" s="2336"/>
    </row>
    <row r="43" spans="1:9" ht="30" customHeight="1">
      <c r="A43" s="424" t="s">
        <v>2603</v>
      </c>
      <c r="B43" s="302" t="s">
        <v>2606</v>
      </c>
      <c r="C43" s="183" t="s">
        <v>85</v>
      </c>
      <c r="D43" s="184">
        <v>1</v>
      </c>
      <c r="E43" s="972">
        <v>0</v>
      </c>
      <c r="F43" s="66">
        <f t="shared" ref="F43" si="3">ROUND(D43*E43,0)</f>
        <v>0</v>
      </c>
      <c r="G43" s="2332"/>
      <c r="H43" s="2335"/>
      <c r="I43" s="2336"/>
    </row>
    <row r="44" spans="1:9" ht="30" customHeight="1">
      <c r="A44" s="424" t="s">
        <v>2604</v>
      </c>
      <c r="B44" s="302" t="s">
        <v>1054</v>
      </c>
      <c r="C44" s="183" t="s">
        <v>85</v>
      </c>
      <c r="D44" s="184">
        <v>1</v>
      </c>
      <c r="E44" s="972">
        <v>0</v>
      </c>
      <c r="F44" s="66">
        <f t="shared" si="2"/>
        <v>0</v>
      </c>
      <c r="G44" s="2332"/>
      <c r="H44" s="2335"/>
      <c r="I44" s="2336"/>
    </row>
    <row r="45" spans="1:9" ht="30" customHeight="1">
      <c r="A45" s="424" t="s">
        <v>2605</v>
      </c>
      <c r="B45" s="302" t="s">
        <v>1648</v>
      </c>
      <c r="C45" s="183" t="s">
        <v>85</v>
      </c>
      <c r="D45" s="184">
        <v>1</v>
      </c>
      <c r="E45" s="972">
        <v>0</v>
      </c>
      <c r="F45" s="184">
        <f>ROUND(D45*E45,0)</f>
        <v>0</v>
      </c>
      <c r="G45" s="2332"/>
      <c r="H45" s="2335"/>
      <c r="I45" s="2336"/>
    </row>
    <row r="46" spans="1:9" ht="30" customHeight="1">
      <c r="A46" s="424" t="s">
        <v>2611</v>
      </c>
      <c r="B46" s="302" t="s">
        <v>1649</v>
      </c>
      <c r="C46" s="183" t="s">
        <v>85</v>
      </c>
      <c r="D46" s="184">
        <v>1</v>
      </c>
      <c r="E46" s="972">
        <v>0</v>
      </c>
      <c r="F46" s="66">
        <f t="shared" si="2"/>
        <v>0</v>
      </c>
      <c r="G46" s="2332"/>
      <c r="H46" s="2335"/>
      <c r="I46" s="2336"/>
    </row>
    <row r="47" spans="1:9" ht="20.100000000000001" customHeight="1">
      <c r="A47" s="383"/>
      <c r="B47" s="384" t="s">
        <v>2608</v>
      </c>
      <c r="C47" s="385"/>
      <c r="D47" s="386"/>
      <c r="E47" s="386"/>
      <c r="F47" s="386"/>
      <c r="G47" s="2375"/>
      <c r="H47" s="2376"/>
      <c r="I47" s="2377"/>
    </row>
    <row r="48" spans="1:9" ht="30" customHeight="1">
      <c r="A48" s="914" t="s">
        <v>1515</v>
      </c>
      <c r="B48" s="302" t="s">
        <v>1055</v>
      </c>
      <c r="C48" s="363" t="s">
        <v>85</v>
      </c>
      <c r="D48" s="315">
        <v>1</v>
      </c>
      <c r="E48" s="970">
        <v>0</v>
      </c>
      <c r="F48" s="371">
        <f t="shared" si="2"/>
        <v>0</v>
      </c>
      <c r="G48" s="2332"/>
      <c r="H48" s="2335"/>
      <c r="I48" s="2336"/>
    </row>
    <row r="49" spans="1:9" ht="30" customHeight="1">
      <c r="A49" s="914" t="s">
        <v>1516</v>
      </c>
      <c r="B49" s="302" t="s">
        <v>1056</v>
      </c>
      <c r="C49" s="363" t="s">
        <v>85</v>
      </c>
      <c r="D49" s="315">
        <v>1</v>
      </c>
      <c r="E49" s="970">
        <v>0</v>
      </c>
      <c r="F49" s="371">
        <f t="shared" si="2"/>
        <v>0</v>
      </c>
      <c r="G49" s="2332"/>
      <c r="H49" s="2335"/>
      <c r="I49" s="2336"/>
    </row>
    <row r="50" spans="1:9" ht="36" customHeight="1">
      <c r="A50" s="2381" t="s">
        <v>1683</v>
      </c>
      <c r="B50" s="2382"/>
      <c r="C50" s="2382"/>
      <c r="D50" s="2382"/>
      <c r="E50" s="2382"/>
      <c r="F50" s="247">
        <f>SUM(F11:F49)</f>
        <v>0</v>
      </c>
      <c r="G50" s="2372"/>
      <c r="H50" s="2373"/>
      <c r="I50" s="2374"/>
    </row>
    <row r="51" spans="1:9" ht="30" customHeight="1">
      <c r="A51" s="914" t="s">
        <v>1517</v>
      </c>
      <c r="B51" s="265" t="s">
        <v>82</v>
      </c>
      <c r="C51" s="219" t="s">
        <v>85</v>
      </c>
      <c r="D51" s="219">
        <v>1</v>
      </c>
      <c r="E51" s="371">
        <f>F70</f>
        <v>0</v>
      </c>
      <c r="F51" s="222">
        <f>ROUND(D51*E51,0)</f>
        <v>0</v>
      </c>
      <c r="G51" s="2369" t="s">
        <v>578</v>
      </c>
      <c r="H51" s="2370"/>
      <c r="I51" s="2371"/>
    </row>
    <row r="52" spans="1:9" ht="30" customHeight="1">
      <c r="A52" s="914" t="s">
        <v>1518</v>
      </c>
      <c r="B52" s="265" t="s">
        <v>307</v>
      </c>
      <c r="C52" s="219" t="s">
        <v>85</v>
      </c>
      <c r="D52" s="330" t="s">
        <v>878</v>
      </c>
      <c r="E52" s="973">
        <v>0</v>
      </c>
      <c r="F52" s="222">
        <f>ROUND(E52*F50,0)</f>
        <v>0</v>
      </c>
      <c r="G52" s="2332"/>
      <c r="H52" s="2335"/>
      <c r="I52" s="2336"/>
    </row>
    <row r="53" spans="1:9" ht="30" customHeight="1">
      <c r="A53" s="914" t="s">
        <v>1519</v>
      </c>
      <c r="B53" s="265" t="s">
        <v>169</v>
      </c>
      <c r="C53" s="219" t="s">
        <v>85</v>
      </c>
      <c r="D53" s="330" t="s">
        <v>878</v>
      </c>
      <c r="E53" s="973">
        <v>0</v>
      </c>
      <c r="F53" s="222">
        <f>ROUND(E53*F50,0)</f>
        <v>0</v>
      </c>
      <c r="G53" s="2332"/>
      <c r="H53" s="2335"/>
      <c r="I53" s="2336"/>
    </row>
    <row r="54" spans="1:9" ht="20.100000000000001" customHeight="1">
      <c r="A54" s="2381" t="s">
        <v>1684</v>
      </c>
      <c r="B54" s="2382"/>
      <c r="C54" s="2382"/>
      <c r="D54" s="2382"/>
      <c r="E54" s="2382"/>
      <c r="F54" s="247">
        <f>SUM(F51:F53)</f>
        <v>0</v>
      </c>
      <c r="G54" s="2372"/>
      <c r="H54" s="2373"/>
      <c r="I54" s="2374"/>
    </row>
    <row r="55" spans="1:9" ht="30" customHeight="1">
      <c r="A55" s="914" t="s">
        <v>1849</v>
      </c>
      <c r="B55" s="265" t="s">
        <v>78</v>
      </c>
      <c r="C55" s="219" t="s">
        <v>85</v>
      </c>
      <c r="D55" s="330" t="s">
        <v>878</v>
      </c>
      <c r="E55" s="973">
        <v>0</v>
      </c>
      <c r="F55" s="222">
        <f>ROUND(E55*(F54+F50),0)</f>
        <v>0</v>
      </c>
      <c r="G55" s="2332"/>
      <c r="H55" s="2335"/>
      <c r="I55" s="2336"/>
    </row>
    <row r="56" spans="1:9" ht="20.100000000000001" customHeight="1" thickBot="1">
      <c r="A56" s="2379" t="s">
        <v>1685</v>
      </c>
      <c r="B56" s="2380"/>
      <c r="C56" s="2380"/>
      <c r="D56" s="2380"/>
      <c r="E56" s="2380"/>
      <c r="F56" s="248">
        <f>SUM(F50,F54,F55)</f>
        <v>0</v>
      </c>
      <c r="G56" s="2366"/>
      <c r="H56" s="2367"/>
      <c r="I56" s="2368"/>
    </row>
    <row r="57" spans="1:9" ht="20.100000000000001" customHeight="1" thickBot="1">
      <c r="A57" s="150"/>
      <c r="B57" s="150"/>
      <c r="C57" s="150"/>
      <c r="D57" s="150"/>
      <c r="E57" s="150"/>
      <c r="F57" s="147"/>
      <c r="G57" s="147"/>
      <c r="H57" s="134"/>
    </row>
    <row r="58" spans="1:9" s="268" customFormat="1" ht="36.75" customHeight="1" thickBot="1">
      <c r="A58" s="2389" t="s">
        <v>82</v>
      </c>
      <c r="B58" s="2088"/>
      <c r="C58" s="279" t="s">
        <v>87</v>
      </c>
      <c r="D58" s="279" t="s">
        <v>101</v>
      </c>
      <c r="E58" s="279" t="s">
        <v>706</v>
      </c>
      <c r="F58" s="279" t="s">
        <v>102</v>
      </c>
      <c r="G58" s="279" t="s">
        <v>164</v>
      </c>
      <c r="H58" s="279" t="s">
        <v>575</v>
      </c>
      <c r="I58" s="280" t="s">
        <v>576</v>
      </c>
    </row>
    <row r="59" spans="1:9" s="268" customFormat="1" ht="20.100000000000001" customHeight="1">
      <c r="A59" s="2353" t="s">
        <v>160</v>
      </c>
      <c r="B59" s="2354"/>
      <c r="C59" s="281" t="s">
        <v>141</v>
      </c>
      <c r="D59" s="974">
        <v>0</v>
      </c>
      <c r="E59" s="974">
        <v>0</v>
      </c>
      <c r="F59" s="244">
        <f t="shared" ref="F59:F65" si="4">E59*D59</f>
        <v>0</v>
      </c>
      <c r="G59" s="998"/>
      <c r="H59" s="282"/>
      <c r="I59" s="977">
        <v>0</v>
      </c>
    </row>
    <row r="60" spans="1:9" s="268" customFormat="1" ht="20.100000000000001" customHeight="1">
      <c r="A60" s="2347" t="s">
        <v>1057</v>
      </c>
      <c r="B60" s="2348"/>
      <c r="C60" s="283" t="s">
        <v>141</v>
      </c>
      <c r="D60" s="975">
        <v>0</v>
      </c>
      <c r="E60" s="975">
        <v>0</v>
      </c>
      <c r="F60" s="245">
        <f t="shared" si="4"/>
        <v>0</v>
      </c>
      <c r="G60" s="999"/>
      <c r="H60" s="284"/>
      <c r="I60" s="978">
        <v>0</v>
      </c>
    </row>
    <row r="61" spans="1:9" s="268" customFormat="1" ht="20.100000000000001" customHeight="1">
      <c r="A61" s="2347" t="s">
        <v>1597</v>
      </c>
      <c r="B61" s="2348"/>
      <c r="C61" s="283" t="s">
        <v>141</v>
      </c>
      <c r="D61" s="975">
        <v>0</v>
      </c>
      <c r="E61" s="975">
        <v>0</v>
      </c>
      <c r="F61" s="245">
        <f t="shared" si="4"/>
        <v>0</v>
      </c>
      <c r="G61" s="999"/>
      <c r="H61" s="284"/>
      <c r="I61" s="978">
        <v>0</v>
      </c>
    </row>
    <row r="62" spans="1:9" s="268" customFormat="1" ht="20.100000000000001" customHeight="1">
      <c r="A62" s="2347" t="s">
        <v>161</v>
      </c>
      <c r="B62" s="2348"/>
      <c r="C62" s="283" t="s">
        <v>141</v>
      </c>
      <c r="D62" s="975">
        <v>0</v>
      </c>
      <c r="E62" s="975">
        <v>0</v>
      </c>
      <c r="F62" s="245">
        <f>E62*D62</f>
        <v>0</v>
      </c>
      <c r="G62" s="999"/>
      <c r="H62" s="284"/>
      <c r="I62" s="978">
        <v>0</v>
      </c>
    </row>
    <row r="63" spans="1:9" s="268" customFormat="1" ht="20.100000000000001" customHeight="1">
      <c r="A63" s="2347" t="s">
        <v>577</v>
      </c>
      <c r="B63" s="2348"/>
      <c r="C63" s="283" t="s">
        <v>141</v>
      </c>
      <c r="D63" s="975">
        <v>0</v>
      </c>
      <c r="E63" s="975">
        <v>0</v>
      </c>
      <c r="F63" s="245">
        <f>E63*D63</f>
        <v>0</v>
      </c>
      <c r="G63" s="999"/>
      <c r="H63" s="284"/>
      <c r="I63" s="978">
        <v>0</v>
      </c>
    </row>
    <row r="64" spans="1:9" s="268" customFormat="1" ht="20.100000000000001" customHeight="1">
      <c r="A64" s="2347" t="s">
        <v>846</v>
      </c>
      <c r="B64" s="2348"/>
      <c r="C64" s="283" t="s">
        <v>141</v>
      </c>
      <c r="D64" s="975">
        <v>0</v>
      </c>
      <c r="E64" s="975">
        <v>0</v>
      </c>
      <c r="F64" s="245">
        <f t="shared" si="4"/>
        <v>0</v>
      </c>
      <c r="G64" s="999"/>
      <c r="H64" s="284"/>
      <c r="I64" s="978">
        <v>0</v>
      </c>
    </row>
    <row r="65" spans="1:9" s="268" customFormat="1" ht="20.100000000000001" customHeight="1">
      <c r="A65" s="2347" t="s">
        <v>841</v>
      </c>
      <c r="B65" s="2348"/>
      <c r="C65" s="283" t="s">
        <v>141</v>
      </c>
      <c r="D65" s="975">
        <v>0</v>
      </c>
      <c r="E65" s="975">
        <v>0</v>
      </c>
      <c r="F65" s="245">
        <f t="shared" si="4"/>
        <v>0</v>
      </c>
      <c r="G65" s="999"/>
      <c r="H65" s="284"/>
      <c r="I65" s="978">
        <v>0</v>
      </c>
    </row>
    <row r="66" spans="1:9" s="268" customFormat="1" ht="20.100000000000001" customHeight="1">
      <c r="A66" s="2347" t="s">
        <v>231</v>
      </c>
      <c r="B66" s="2348"/>
      <c r="C66" s="283" t="s">
        <v>141</v>
      </c>
      <c r="D66" s="975">
        <v>0</v>
      </c>
      <c r="E66" s="975">
        <v>0</v>
      </c>
      <c r="F66" s="245">
        <f>E66*D66</f>
        <v>0</v>
      </c>
      <c r="G66" s="999"/>
      <c r="H66" s="284"/>
      <c r="I66" s="978">
        <v>0</v>
      </c>
    </row>
    <row r="67" spans="1:9" s="268" customFormat="1" ht="20.100000000000001" customHeight="1" thickBot="1">
      <c r="A67" s="2383" t="s">
        <v>238</v>
      </c>
      <c r="B67" s="2384"/>
      <c r="C67" s="285"/>
      <c r="D67" s="285"/>
      <c r="E67" s="285"/>
      <c r="F67" s="249">
        <f>SUM(F59:F66)</f>
        <v>0</v>
      </c>
      <c r="G67" s="1000"/>
      <c r="H67" s="292" t="s">
        <v>1402</v>
      </c>
      <c r="I67" s="250">
        <f>SUM(I59:I66)</f>
        <v>0</v>
      </c>
    </row>
    <row r="68" spans="1:9" s="268" customFormat="1" ht="20.100000000000001" customHeight="1" thickTop="1">
      <c r="A68" s="2385" t="s">
        <v>861</v>
      </c>
      <c r="B68" s="2386"/>
      <c r="C68" s="281" t="s">
        <v>141</v>
      </c>
      <c r="D68" s="974">
        <v>0</v>
      </c>
      <c r="E68" s="974">
        <v>0</v>
      </c>
      <c r="F68" s="244">
        <f>E68*D68</f>
        <v>0</v>
      </c>
      <c r="G68" s="998"/>
      <c r="H68" s="1036" t="s">
        <v>1403</v>
      </c>
      <c r="I68" s="293" t="s">
        <v>1116</v>
      </c>
    </row>
    <row r="69" spans="1:9" s="268" customFormat="1" ht="20.100000000000001" customHeight="1" thickBot="1">
      <c r="A69" s="2387" t="s">
        <v>155</v>
      </c>
      <c r="B69" s="2388"/>
      <c r="C69" s="286" t="s">
        <v>141</v>
      </c>
      <c r="D69" s="976">
        <v>0</v>
      </c>
      <c r="E69" s="976">
        <v>0</v>
      </c>
      <c r="F69" s="246">
        <f>E69*D69</f>
        <v>0</v>
      </c>
      <c r="G69" s="1001"/>
      <c r="H69" s="1037" t="s">
        <v>1404</v>
      </c>
      <c r="I69" s="294" t="s">
        <v>1116</v>
      </c>
    </row>
    <row r="70" spans="1:9" s="288" customFormat="1" ht="20.100000000000001" customHeight="1" thickTop="1" thickBot="1">
      <c r="A70" s="2067" t="s">
        <v>156</v>
      </c>
      <c r="B70" s="2068"/>
      <c r="C70" s="287"/>
      <c r="D70" s="287"/>
      <c r="E70" s="287"/>
      <c r="F70" s="251">
        <f>SUM(F67:F69)</f>
        <v>0</v>
      </c>
      <c r="G70" s="1002"/>
      <c r="H70" s="295" t="s">
        <v>1414</v>
      </c>
      <c r="I70" s="296">
        <f>I67</f>
        <v>0</v>
      </c>
    </row>
    <row r="71" spans="1:9" s="267" customFormat="1" ht="15">
      <c r="A71" s="269"/>
      <c r="C71" s="388"/>
      <c r="D71" s="388"/>
      <c r="E71" s="388"/>
      <c r="F71" s="389" t="s">
        <v>1872</v>
      </c>
      <c r="G71" s="389"/>
      <c r="H71" s="390"/>
      <c r="I71" s="389" t="s">
        <v>1405</v>
      </c>
    </row>
  </sheetData>
  <dataConsolidate link="1"/>
  <mergeCells count="77">
    <mergeCell ref="G35:I35"/>
    <mergeCell ref="G34:I34"/>
    <mergeCell ref="B33:F33"/>
    <mergeCell ref="B40:F40"/>
    <mergeCell ref="G40:I40"/>
    <mergeCell ref="G36:I36"/>
    <mergeCell ref="G41:I41"/>
    <mergeCell ref="G42:I42"/>
    <mergeCell ref="G44:I44"/>
    <mergeCell ref="G37:I37"/>
    <mergeCell ref="G38:I38"/>
    <mergeCell ref="G39:I39"/>
    <mergeCell ref="G43:I43"/>
    <mergeCell ref="G32:I32"/>
    <mergeCell ref="G28:I28"/>
    <mergeCell ref="G29:I29"/>
    <mergeCell ref="G30:I30"/>
    <mergeCell ref="G33:I33"/>
    <mergeCell ref="A56:E56"/>
    <mergeCell ref="A50:E50"/>
    <mergeCell ref="A54:E54"/>
    <mergeCell ref="A70:B70"/>
    <mergeCell ref="A66:B66"/>
    <mergeCell ref="A67:B67"/>
    <mergeCell ref="A68:B68"/>
    <mergeCell ref="A69:B69"/>
    <mergeCell ref="A61:B61"/>
    <mergeCell ref="A62:B62"/>
    <mergeCell ref="A63:B63"/>
    <mergeCell ref="A64:B64"/>
    <mergeCell ref="A65:B65"/>
    <mergeCell ref="A58:B58"/>
    <mergeCell ref="A59:B59"/>
    <mergeCell ref="A60:B60"/>
    <mergeCell ref="A4:B4"/>
    <mergeCell ref="C4:F4"/>
    <mergeCell ref="G4:I4"/>
    <mergeCell ref="G9:I9"/>
    <mergeCell ref="G5:I5"/>
    <mergeCell ref="G6:I6"/>
    <mergeCell ref="A5:B5"/>
    <mergeCell ref="C5:F5"/>
    <mergeCell ref="A6:B6"/>
    <mergeCell ref="C6:F6"/>
    <mergeCell ref="G25:I25"/>
    <mergeCell ref="G26:I26"/>
    <mergeCell ref="G27:I27"/>
    <mergeCell ref="G10:I10"/>
    <mergeCell ref="G11:I11"/>
    <mergeCell ref="G13:I13"/>
    <mergeCell ref="G14:I14"/>
    <mergeCell ref="G15:I15"/>
    <mergeCell ref="G12:I12"/>
    <mergeCell ref="G17:I17"/>
    <mergeCell ref="G18:I18"/>
    <mergeCell ref="G19:I19"/>
    <mergeCell ref="G20:I20"/>
    <mergeCell ref="G21:I21"/>
    <mergeCell ref="G50:I50"/>
    <mergeCell ref="G54:I54"/>
    <mergeCell ref="G45:I45"/>
    <mergeCell ref="G46:I46"/>
    <mergeCell ref="G48:I48"/>
    <mergeCell ref="G49:I49"/>
    <mergeCell ref="G47:I47"/>
    <mergeCell ref="G56:I56"/>
    <mergeCell ref="G51:I51"/>
    <mergeCell ref="G52:I52"/>
    <mergeCell ref="G53:I53"/>
    <mergeCell ref="G55:I55"/>
    <mergeCell ref="B18:F18"/>
    <mergeCell ref="B13:F13"/>
    <mergeCell ref="B22:F22"/>
    <mergeCell ref="G23:I23"/>
    <mergeCell ref="G24:I24"/>
    <mergeCell ref="G16:I16"/>
    <mergeCell ref="G22:I22"/>
  </mergeCells>
  <phoneticPr fontId="0" type="noConversion"/>
  <dataValidations disablePrompts="1" count="1">
    <dataValidation type="list" allowBlank="1" showInputMessage="1" showErrorMessage="1" sqref="H59:H66" xr:uid="{00000000-0002-0000-1400-000000000000}">
      <formula1>yesno</formula1>
    </dataValidation>
  </dataValidations>
  <printOptions horizontalCentered="1"/>
  <pageMargins left="0.5" right="0.5" top="1" bottom="1" header="0.5" footer="0.5"/>
  <pageSetup scale="25" orientation="landscape" horizontalDpi="300" verticalDpi="300" r:id="rId1"/>
  <headerFooter alignWithMargins="0">
    <oddHeader>&amp;C&amp;"Arial,Bold"&amp;12&amp;UProject Activity 8: Environmental Permits</oddHeader>
    <oddFooter>&amp;L&amp;F
&amp;A&amp;CPage &amp;P of &amp;N&amp;R&amp;D</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dimension ref="A1:N61"/>
  <sheetViews>
    <sheetView showGridLines="0" zoomScaleNormal="100" zoomScaleSheetLayoutView="100" workbookViewId="0"/>
  </sheetViews>
  <sheetFormatPr defaultColWidth="9.109375" defaultRowHeight="13.2"/>
  <cols>
    <col min="1" max="1" width="121.33203125" style="232" customWidth="1"/>
    <col min="2" max="16384" width="9.109375" style="230"/>
  </cols>
  <sheetData>
    <row r="1" spans="1:14" s="231" customFormat="1">
      <c r="A1" s="558" t="s">
        <v>1265</v>
      </c>
    </row>
    <row r="2" spans="1:14">
      <c r="N2" s="230" t="s">
        <v>400</v>
      </c>
    </row>
    <row r="4" spans="1:14" s="234" customFormat="1" ht="26.4">
      <c r="A4" s="233" t="s">
        <v>1266</v>
      </c>
    </row>
    <row r="5" spans="1:14" s="234" customFormat="1">
      <c r="A5" s="233"/>
    </row>
    <row r="6" spans="1:14" s="234" customFormat="1" ht="39.6">
      <c r="A6" s="233" t="s">
        <v>1267</v>
      </c>
    </row>
    <row r="7" spans="1:14" s="234" customFormat="1">
      <c r="A7" s="233"/>
    </row>
    <row r="8" spans="1:14" s="234" customFormat="1" ht="79.2">
      <c r="A8" s="233" t="s">
        <v>1268</v>
      </c>
    </row>
    <row r="9" spans="1:14" s="234" customFormat="1">
      <c r="A9" s="233"/>
    </row>
    <row r="10" spans="1:14" s="234" customFormat="1" ht="39.6">
      <c r="A10" s="233" t="s">
        <v>1269</v>
      </c>
    </row>
    <row r="11" spans="1:14" s="234" customFormat="1" ht="189" customHeight="1">
      <c r="A11" s="233"/>
    </row>
    <row r="12" spans="1:14" s="234" customFormat="1" ht="66">
      <c r="A12" s="233" t="s">
        <v>1270</v>
      </c>
    </row>
    <row r="13" spans="1:14" s="234" customFormat="1">
      <c r="A13" s="233"/>
    </row>
    <row r="14" spans="1:14" s="234" customFormat="1" ht="25.5" customHeight="1">
      <c r="A14" s="233" t="s">
        <v>1271</v>
      </c>
    </row>
    <row r="15" spans="1:14" s="234" customFormat="1">
      <c r="A15" s="233"/>
    </row>
    <row r="16" spans="1:14" s="234" customFormat="1">
      <c r="A16" s="233" t="s">
        <v>1272</v>
      </c>
    </row>
    <row r="17" spans="1:1" s="234" customFormat="1">
      <c r="A17" s="233"/>
    </row>
    <row r="18" spans="1:1" s="234" customFormat="1" ht="63.75" customHeight="1">
      <c r="A18" s="233" t="s">
        <v>1522</v>
      </c>
    </row>
    <row r="19" spans="1:1" s="234" customFormat="1">
      <c r="A19" s="233"/>
    </row>
    <row r="20" spans="1:1" s="234" customFormat="1" ht="63.75" customHeight="1">
      <c r="A20" s="233" t="s">
        <v>1273</v>
      </c>
    </row>
    <row r="21" spans="1:1" s="234" customFormat="1">
      <c r="A21" s="233"/>
    </row>
    <row r="22" spans="1:1" s="234" customFormat="1" ht="38.25" customHeight="1">
      <c r="A22" s="233" t="s">
        <v>1274</v>
      </c>
    </row>
    <row r="23" spans="1:1" s="234" customFormat="1">
      <c r="A23" s="235"/>
    </row>
    <row r="24" spans="1:1" s="234" customFormat="1" ht="39.6">
      <c r="A24" s="233" t="s">
        <v>1275</v>
      </c>
    </row>
    <row r="25" spans="1:1" s="234" customFormat="1">
      <c r="A25" s="233"/>
    </row>
    <row r="26" spans="1:1" s="234" customFormat="1" ht="39.6">
      <c r="A26" s="233" t="s">
        <v>1276</v>
      </c>
    </row>
    <row r="27" spans="1:1" s="234" customFormat="1">
      <c r="A27" s="235"/>
    </row>
    <row r="28" spans="1:1" s="234" customFormat="1" ht="39.6">
      <c r="A28" s="233" t="s">
        <v>1277</v>
      </c>
    </row>
    <row r="29" spans="1:1" s="234" customFormat="1">
      <c r="A29" s="233"/>
    </row>
    <row r="30" spans="1:1" s="234" customFormat="1" ht="26.4">
      <c r="A30" s="233" t="s">
        <v>1278</v>
      </c>
    </row>
    <row r="31" spans="1:1" s="234" customFormat="1">
      <c r="A31" s="235"/>
    </row>
    <row r="32" spans="1:1" s="234" customFormat="1" ht="39.6">
      <c r="A32" s="233" t="s">
        <v>1279</v>
      </c>
    </row>
    <row r="33" spans="1:1" s="234" customFormat="1">
      <c r="A33" s="235"/>
    </row>
    <row r="34" spans="1:1" s="234" customFormat="1" ht="39.6">
      <c r="A34" s="236" t="s">
        <v>1280</v>
      </c>
    </row>
    <row r="35" spans="1:1" s="234" customFormat="1">
      <c r="A35" s="233"/>
    </row>
    <row r="36" spans="1:1" s="234" customFormat="1">
      <c r="A36" s="236" t="s">
        <v>1281</v>
      </c>
    </row>
    <row r="37" spans="1:1" s="234" customFormat="1">
      <c r="A37" s="233"/>
    </row>
    <row r="38" spans="1:1" s="234" customFormat="1" ht="26.4">
      <c r="A38" s="236" t="s">
        <v>1282</v>
      </c>
    </row>
    <row r="39" spans="1:1" s="234" customFormat="1">
      <c r="A39" s="235"/>
    </row>
    <row r="40" spans="1:1" s="234" customFormat="1">
      <c r="A40" s="236" t="s">
        <v>1283</v>
      </c>
    </row>
    <row r="41" spans="1:1" s="234" customFormat="1">
      <c r="A41" s="233"/>
    </row>
    <row r="42" spans="1:1" s="234" customFormat="1" ht="26.4">
      <c r="A42" s="236" t="s">
        <v>1284</v>
      </c>
    </row>
    <row r="43" spans="1:1" s="234" customFormat="1">
      <c r="A43" s="233"/>
    </row>
    <row r="44" spans="1:1" s="234" customFormat="1">
      <c r="A44" s="236" t="s">
        <v>1285</v>
      </c>
    </row>
    <row r="45" spans="1:1" s="234" customFormat="1">
      <c r="A45" s="236"/>
    </row>
    <row r="46" spans="1:1" s="234" customFormat="1">
      <c r="A46" s="236" t="s">
        <v>1286</v>
      </c>
    </row>
    <row r="47" spans="1:1" s="234" customFormat="1">
      <c r="A47" s="236"/>
    </row>
    <row r="48" spans="1:1" s="234" customFormat="1">
      <c r="A48" s="236" t="s">
        <v>1287</v>
      </c>
    </row>
    <row r="49" spans="1:1" s="234" customFormat="1">
      <c r="A49" s="236"/>
    </row>
    <row r="50" spans="1:1" s="234" customFormat="1" ht="25.5" customHeight="1">
      <c r="A50" s="236" t="s">
        <v>1288</v>
      </c>
    </row>
    <row r="51" spans="1:1" s="234" customFormat="1">
      <c r="A51" s="236"/>
    </row>
    <row r="52" spans="1:1" s="234" customFormat="1" ht="26.4">
      <c r="A52" s="236" t="s">
        <v>1289</v>
      </c>
    </row>
    <row r="53" spans="1:1" s="234" customFormat="1">
      <c r="A53" s="236"/>
    </row>
    <row r="54" spans="1:1" s="234" customFormat="1" ht="26.4">
      <c r="A54" s="236" t="s">
        <v>1290</v>
      </c>
    </row>
    <row r="55" spans="1:1" s="234" customFormat="1">
      <c r="A55" s="233"/>
    </row>
    <row r="56" spans="1:1" s="234" customFormat="1">
      <c r="A56" s="236" t="s">
        <v>1291</v>
      </c>
    </row>
    <row r="57" spans="1:1" s="234" customFormat="1">
      <c r="A57" s="236"/>
    </row>
    <row r="58" spans="1:1" s="234" customFormat="1" ht="26.4">
      <c r="A58" s="233" t="s">
        <v>1292</v>
      </c>
    </row>
    <row r="59" spans="1:1" s="234" customFormat="1">
      <c r="A59" s="233"/>
    </row>
    <row r="60" spans="1:1" s="234" customFormat="1" ht="26.4">
      <c r="A60" s="233" t="s">
        <v>1293</v>
      </c>
    </row>
    <row r="61" spans="1:1" s="234" customFormat="1">
      <c r="A61" s="236"/>
    </row>
  </sheetData>
  <pageMargins left="0.75" right="0.75" top="1" bottom="1" header="0.5" footer="0.5"/>
  <pageSetup scale="82" orientation="landscape" r:id="rId1"/>
  <headerFooter alignWithMargins="0">
    <oddFooter>&amp;CPage &amp;P of &amp;N</oddFooter>
  </headerFooter>
  <rowBreaks count="2" manualBreakCount="2">
    <brk id="11" man="1"/>
    <brk id="32" man="1"/>
  </rowBreaks>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5">
    <pageSetUpPr autoPageBreaks="0"/>
  </sheetPr>
  <dimension ref="A1:V61"/>
  <sheetViews>
    <sheetView showGridLines="0" showRuler="0" zoomScaleNormal="100" zoomScaleSheetLayoutView="100" workbookViewId="0"/>
  </sheetViews>
  <sheetFormatPr defaultColWidth="9.109375" defaultRowHeight="13.2"/>
  <cols>
    <col min="1" max="1" width="6.33203125" style="4" customWidth="1"/>
    <col min="2" max="2" width="50.6640625" style="4" customWidth="1"/>
    <col min="3" max="3" width="13.44140625" style="4" customWidth="1"/>
    <col min="4" max="5" width="15.5546875" style="4" customWidth="1"/>
    <col min="6" max="6" width="15.5546875" style="394" customWidth="1"/>
    <col min="7" max="9" width="15.5546875" style="4" customWidth="1"/>
    <col min="10" max="10" width="14.44140625" style="4" customWidth="1"/>
    <col min="11" max="11" width="18.33203125" style="4" customWidth="1"/>
    <col min="12" max="12" width="15.5546875" style="4" customWidth="1"/>
    <col min="13" max="13" width="8.5546875" style="4" customWidth="1"/>
    <col min="14" max="14" width="9.44140625" style="4" customWidth="1"/>
    <col min="15" max="15" width="9.109375" style="4"/>
    <col min="16" max="22" width="9.109375" style="4" hidden="1" customWidth="1"/>
    <col min="23" max="16384" width="9.109375" style="4"/>
  </cols>
  <sheetData>
    <row r="1" spans="1:19" s="422" customFormat="1" ht="20.100000000000001" customHeight="1">
      <c r="A1" s="422" t="s">
        <v>592</v>
      </c>
      <c r="G1" s="897"/>
      <c r="H1" s="897"/>
      <c r="I1" s="897"/>
      <c r="J1" s="897"/>
      <c r="K1" s="897"/>
      <c r="L1" s="897" t="str">
        <f>'Project Information'!$B$3</f>
        <v>Enter project name &amp; description</v>
      </c>
      <c r="S1" s="1277" t="s">
        <v>1919</v>
      </c>
    </row>
    <row r="2" spans="1:19" s="422" customFormat="1" ht="20.100000000000001" customHeight="1" thickBot="1">
      <c r="A2" s="423"/>
      <c r="G2" s="897"/>
      <c r="H2" s="897"/>
      <c r="I2" s="897"/>
      <c r="J2" s="897"/>
      <c r="K2" s="897"/>
      <c r="L2" s="897" t="str">
        <f>'Project Information'!$B$1</f>
        <v>999999-1-32-01</v>
      </c>
      <c r="S2" s="1274">
        <v>4</v>
      </c>
    </row>
    <row r="3" spans="1:19" s="225" customFormat="1" ht="16.2" thickBot="1">
      <c r="A3" s="395"/>
      <c r="B3" s="270"/>
      <c r="S3" s="1270">
        <f>IF(C3=1,S2,0)</f>
        <v>0</v>
      </c>
    </row>
    <row r="4" spans="1:19" s="225" customFormat="1" ht="28.5" customHeight="1" thickBot="1">
      <c r="A4" s="2086" t="s">
        <v>1396</v>
      </c>
      <c r="B4" s="2087"/>
      <c r="C4" s="2088" t="s">
        <v>1397</v>
      </c>
      <c r="D4" s="2088"/>
      <c r="E4" s="2088"/>
      <c r="F4" s="2088"/>
      <c r="G4" s="2088" t="s">
        <v>1398</v>
      </c>
      <c r="H4" s="2088"/>
      <c r="I4" s="2088"/>
      <c r="J4" s="2088"/>
      <c r="K4" s="2088"/>
      <c r="L4" s="2448"/>
    </row>
    <row r="5" spans="1:19" s="225" customFormat="1" ht="28.5" customHeight="1">
      <c r="A5" s="2089" t="s">
        <v>1400</v>
      </c>
      <c r="B5" s="2090"/>
      <c r="C5" s="2091"/>
      <c r="D5" s="2091"/>
      <c r="E5" s="2091"/>
      <c r="F5" s="2091"/>
      <c r="G5" s="2091"/>
      <c r="H5" s="2091"/>
      <c r="I5" s="2091"/>
      <c r="J5" s="2091"/>
      <c r="K5" s="2091"/>
      <c r="L5" s="2447"/>
    </row>
    <row r="6" spans="1:19" s="225" customFormat="1" ht="28.5" customHeight="1" thickBot="1">
      <c r="A6" s="2083" t="s">
        <v>1399</v>
      </c>
      <c r="B6" s="2084"/>
      <c r="C6" s="2085"/>
      <c r="D6" s="2085"/>
      <c r="E6" s="2085"/>
      <c r="F6" s="2085"/>
      <c r="G6" s="2085"/>
      <c r="H6" s="2085"/>
      <c r="I6" s="2085"/>
      <c r="J6" s="2085"/>
      <c r="K6" s="2085"/>
      <c r="L6" s="2446"/>
    </row>
    <row r="7" spans="1:19" s="225" customFormat="1" ht="15.6">
      <c r="A7" s="898" t="s">
        <v>1430</v>
      </c>
      <c r="B7" s="270"/>
    </row>
    <row r="8" spans="1:19" s="225" customFormat="1" ht="15" customHeight="1" thickBot="1">
      <c r="A8" s="898"/>
      <c r="B8" s="270"/>
    </row>
    <row r="9" spans="1:19" ht="25.5" customHeight="1">
      <c r="A9" s="2440" t="s">
        <v>79</v>
      </c>
      <c r="B9" s="2426" t="s">
        <v>190</v>
      </c>
      <c r="C9" s="2426" t="s">
        <v>87</v>
      </c>
      <c r="D9" s="2426" t="s">
        <v>480</v>
      </c>
      <c r="E9" s="2426"/>
      <c r="F9" s="2426"/>
      <c r="G9" s="2426"/>
      <c r="H9" s="2426" t="s">
        <v>164</v>
      </c>
      <c r="I9" s="2426"/>
      <c r="J9" s="2426"/>
      <c r="K9" s="2426"/>
      <c r="L9" s="2433"/>
    </row>
    <row r="10" spans="1:19" ht="33.75" customHeight="1">
      <c r="A10" s="2441"/>
      <c r="B10" s="2434"/>
      <c r="C10" s="2434"/>
      <c r="D10" s="321" t="s">
        <v>45</v>
      </c>
      <c r="E10" s="321" t="s">
        <v>481</v>
      </c>
      <c r="F10" s="321" t="s">
        <v>165</v>
      </c>
      <c r="G10" s="321" t="s">
        <v>482</v>
      </c>
      <c r="H10" s="2434"/>
      <c r="I10" s="2434"/>
      <c r="J10" s="2434"/>
      <c r="K10" s="2434"/>
      <c r="L10" s="2435"/>
    </row>
    <row r="11" spans="1:19" ht="20.100000000000001" customHeight="1">
      <c r="A11" s="403"/>
      <c r="B11" s="404" t="s">
        <v>332</v>
      </c>
      <c r="C11" s="405"/>
      <c r="D11" s="406"/>
      <c r="E11" s="406"/>
      <c r="F11" s="406"/>
      <c r="G11" s="406"/>
      <c r="H11" s="2429"/>
      <c r="I11" s="2429"/>
      <c r="J11" s="2429"/>
      <c r="K11" s="2429"/>
      <c r="L11" s="2432"/>
    </row>
    <row r="12" spans="1:19" ht="30" customHeight="1">
      <c r="A12" s="347">
        <v>9.1</v>
      </c>
      <c r="B12" s="226" t="s">
        <v>1175</v>
      </c>
      <c r="C12" s="273" t="s">
        <v>100</v>
      </c>
      <c r="D12" s="962">
        <v>0</v>
      </c>
      <c r="E12" s="962">
        <v>0</v>
      </c>
      <c r="F12" s="219">
        <f>D12</f>
        <v>0</v>
      </c>
      <c r="G12" s="219">
        <f>E12*D12</f>
        <v>0</v>
      </c>
      <c r="H12" s="2064"/>
      <c r="I12" s="2064"/>
      <c r="J12" s="2064"/>
      <c r="K12" s="2064"/>
      <c r="L12" s="2403"/>
    </row>
    <row r="13" spans="1:19" ht="30" customHeight="1">
      <c r="A13" s="347">
        <v>9.1999999999999993</v>
      </c>
      <c r="B13" s="226" t="s">
        <v>95</v>
      </c>
      <c r="C13" s="273" t="s">
        <v>100</v>
      </c>
      <c r="D13" s="962">
        <v>0</v>
      </c>
      <c r="E13" s="962">
        <v>0</v>
      </c>
      <c r="F13" s="219">
        <f>D13</f>
        <v>0</v>
      </c>
      <c r="G13" s="219">
        <f t="shared" ref="G13:G23" si="0">E13*D13</f>
        <v>0</v>
      </c>
      <c r="H13" s="2064"/>
      <c r="I13" s="2064"/>
      <c r="J13" s="2064"/>
      <c r="K13" s="2064"/>
      <c r="L13" s="2403"/>
    </row>
    <row r="14" spans="1:19" ht="30" customHeight="1">
      <c r="A14" s="347">
        <v>9.3000000000000007</v>
      </c>
      <c r="B14" s="226" t="s">
        <v>871</v>
      </c>
      <c r="C14" s="273" t="s">
        <v>100</v>
      </c>
      <c r="D14" s="962">
        <v>0</v>
      </c>
      <c r="E14" s="962">
        <v>0</v>
      </c>
      <c r="F14" s="219">
        <f>D14</f>
        <v>0</v>
      </c>
      <c r="G14" s="219">
        <f t="shared" si="0"/>
        <v>0</v>
      </c>
      <c r="H14" s="2064"/>
      <c r="I14" s="2064"/>
      <c r="J14" s="2064"/>
      <c r="K14" s="2064"/>
      <c r="L14" s="2403"/>
    </row>
    <row r="15" spans="1:19" ht="30" customHeight="1">
      <c r="A15" s="347">
        <v>9.4</v>
      </c>
      <c r="B15" s="226" t="s">
        <v>184</v>
      </c>
      <c r="C15" s="273" t="s">
        <v>100</v>
      </c>
      <c r="D15" s="962">
        <v>0</v>
      </c>
      <c r="E15" s="962">
        <v>0</v>
      </c>
      <c r="F15" s="219">
        <f>D15</f>
        <v>0</v>
      </c>
      <c r="G15" s="219">
        <f t="shared" si="0"/>
        <v>0</v>
      </c>
      <c r="H15" s="2064"/>
      <c r="I15" s="2064"/>
      <c r="J15" s="2064"/>
      <c r="K15" s="2064"/>
      <c r="L15" s="2403"/>
    </row>
    <row r="16" spans="1:19" ht="30" customHeight="1">
      <c r="A16" s="347">
        <v>9.5</v>
      </c>
      <c r="B16" s="226" t="s">
        <v>872</v>
      </c>
      <c r="C16" s="273" t="s">
        <v>100</v>
      </c>
      <c r="D16" s="962">
        <v>0</v>
      </c>
      <c r="E16" s="962">
        <v>0</v>
      </c>
      <c r="F16" s="219">
        <f>D16</f>
        <v>0</v>
      </c>
      <c r="G16" s="219">
        <f t="shared" si="0"/>
        <v>0</v>
      </c>
      <c r="H16" s="2064"/>
      <c r="I16" s="2064"/>
      <c r="J16" s="2064"/>
      <c r="K16" s="2064"/>
      <c r="L16" s="2403"/>
    </row>
    <row r="17" spans="1:22" ht="30" customHeight="1">
      <c r="A17" s="347">
        <v>9.6</v>
      </c>
      <c r="B17" s="226" t="s">
        <v>1641</v>
      </c>
      <c r="C17" s="273" t="s">
        <v>85</v>
      </c>
      <c r="D17" s="273">
        <v>1</v>
      </c>
      <c r="E17" s="962">
        <v>0</v>
      </c>
      <c r="F17" s="219"/>
      <c r="G17" s="219">
        <f>E17*D17</f>
        <v>0</v>
      </c>
      <c r="H17" s="2064"/>
      <c r="I17" s="2064"/>
      <c r="J17" s="2064"/>
      <c r="K17" s="2064"/>
      <c r="L17" s="2403"/>
      <c r="M17" s="900"/>
      <c r="P17" s="1281" t="s">
        <v>1925</v>
      </c>
    </row>
    <row r="18" spans="1:22" ht="30" customHeight="1">
      <c r="A18" s="347">
        <v>9.6999999999999993</v>
      </c>
      <c r="B18" s="226" t="s">
        <v>873</v>
      </c>
      <c r="C18" s="273" t="s">
        <v>85</v>
      </c>
      <c r="D18" s="273">
        <v>1</v>
      </c>
      <c r="E18" s="962">
        <v>0</v>
      </c>
      <c r="F18" s="219"/>
      <c r="G18" s="219">
        <f t="shared" si="0"/>
        <v>0</v>
      </c>
      <c r="H18" s="2064"/>
      <c r="I18" s="2064"/>
      <c r="J18" s="2064"/>
      <c r="K18" s="2064"/>
      <c r="L18" s="2403"/>
      <c r="M18" s="900"/>
      <c r="P18" s="1280">
        <f>D19</f>
        <v>0</v>
      </c>
      <c r="Q18" s="1279"/>
      <c r="R18" s="1279"/>
    </row>
    <row r="19" spans="1:22" ht="30" customHeight="1" thickBot="1">
      <c r="A19" s="2443">
        <v>9.8000000000000007</v>
      </c>
      <c r="B19" s="2097" t="s">
        <v>2038</v>
      </c>
      <c r="C19" s="315" t="s">
        <v>1863</v>
      </c>
      <c r="D19" s="962">
        <v>0</v>
      </c>
      <c r="E19" s="2392" t="s">
        <v>1868</v>
      </c>
      <c r="F19" s="2393"/>
      <c r="G19" s="2390">
        <v>0</v>
      </c>
      <c r="H19" s="2406"/>
      <c r="I19" s="2407"/>
      <c r="J19" s="2407"/>
      <c r="K19" s="2407"/>
      <c r="L19" s="2408"/>
      <c r="M19" s="900"/>
      <c r="N19" s="390"/>
      <c r="P19" s="1277" t="s">
        <v>1924</v>
      </c>
      <c r="Q19" s="1277" t="s">
        <v>1923</v>
      </c>
      <c r="R19" s="1278" t="s">
        <v>1922</v>
      </c>
      <c r="S19" s="1278" t="s">
        <v>1921</v>
      </c>
      <c r="T19" s="1278" t="s">
        <v>42</v>
      </c>
      <c r="U19" s="1277" t="s">
        <v>1913</v>
      </c>
    </row>
    <row r="20" spans="1:22" ht="30" customHeight="1" thickBot="1">
      <c r="A20" s="2444"/>
      <c r="B20" s="2445"/>
      <c r="C20" s="315" t="s">
        <v>42</v>
      </c>
      <c r="D20" s="962">
        <v>0</v>
      </c>
      <c r="E20" s="2394"/>
      <c r="F20" s="2395"/>
      <c r="G20" s="2391"/>
      <c r="H20" s="2409"/>
      <c r="I20" s="2410"/>
      <c r="J20" s="2410"/>
      <c r="K20" s="2410"/>
      <c r="L20" s="2411"/>
      <c r="M20" s="900"/>
      <c r="N20" s="390"/>
      <c r="P20" s="1276">
        <v>16</v>
      </c>
      <c r="Q20" s="1276">
        <v>12</v>
      </c>
      <c r="R20" s="1275">
        <v>8</v>
      </c>
      <c r="S20" s="1275">
        <f>IF(($P$18)=0,0,ROUNDUP(IF((($P$18)&lt;7), (P20+(Q20*(($P$18)-1))),(P20+((6-1)*Q20)+(($P$18)-6)*R20)),0))</f>
        <v>0</v>
      </c>
      <c r="T20" s="1274">
        <v>2</v>
      </c>
      <c r="U20" s="1274">
        <v>2</v>
      </c>
      <c r="V20" s="1273" t="s">
        <v>879</v>
      </c>
    </row>
    <row r="21" spans="1:22" ht="30" customHeight="1" thickBot="1">
      <c r="A21" s="2444"/>
      <c r="B21" s="2445"/>
      <c r="C21" s="315" t="s">
        <v>1913</v>
      </c>
      <c r="D21" s="962">
        <v>0</v>
      </c>
      <c r="E21" s="2412">
        <f>V21</f>
        <v>0</v>
      </c>
      <c r="F21" s="2413"/>
      <c r="G21" s="2391"/>
      <c r="H21" s="2409"/>
      <c r="I21" s="2410"/>
      <c r="J21" s="2410"/>
      <c r="K21" s="2410"/>
      <c r="L21" s="2411"/>
      <c r="M21" s="900"/>
      <c r="N21" s="390"/>
      <c r="R21" s="1272" t="s">
        <v>1921</v>
      </c>
      <c r="S21" s="1271">
        <f>S20</f>
        <v>0</v>
      </c>
      <c r="T21" s="1270">
        <f>D20*T20</f>
        <v>0</v>
      </c>
      <c r="U21" s="1270">
        <f>D21*U20</f>
        <v>0</v>
      </c>
      <c r="V21" s="1269">
        <f>IF(SUM(S21:U21)=0,0,S21+T21+U21)</f>
        <v>0</v>
      </c>
    </row>
    <row r="22" spans="1:22" ht="33.6" customHeight="1">
      <c r="A22" s="398">
        <v>9.9</v>
      </c>
      <c r="B22" s="226" t="s">
        <v>189</v>
      </c>
      <c r="C22" s="273" t="s">
        <v>85</v>
      </c>
      <c r="D22" s="273">
        <v>1</v>
      </c>
      <c r="E22" s="962">
        <v>0</v>
      </c>
      <c r="F22" s="219"/>
      <c r="G22" s="219">
        <f t="shared" si="0"/>
        <v>0</v>
      </c>
      <c r="H22" s="2064"/>
      <c r="I22" s="2064"/>
      <c r="J22" s="2064"/>
      <c r="K22" s="2064"/>
      <c r="L22" s="2403"/>
      <c r="M22" s="900"/>
      <c r="O22" s="390"/>
    </row>
    <row r="23" spans="1:22" ht="35.1" customHeight="1">
      <c r="A23" s="398" t="s">
        <v>1651</v>
      </c>
      <c r="B23" s="302" t="s">
        <v>1637</v>
      </c>
      <c r="C23" s="273" t="s">
        <v>85</v>
      </c>
      <c r="D23" s="273">
        <v>1</v>
      </c>
      <c r="E23" s="962">
        <v>0</v>
      </c>
      <c r="F23" s="219"/>
      <c r="G23" s="219">
        <f t="shared" si="0"/>
        <v>0</v>
      </c>
      <c r="H23" s="2064"/>
      <c r="I23" s="2064"/>
      <c r="J23" s="2064"/>
      <c r="K23" s="2064"/>
      <c r="L23" s="2403"/>
    </row>
    <row r="24" spans="1:22" ht="15.6">
      <c r="A24" s="2438" t="s">
        <v>635</v>
      </c>
      <c r="B24" s="2439"/>
      <c r="C24" s="2439"/>
      <c r="D24" s="406"/>
      <c r="E24" s="406"/>
      <c r="F24" s="421">
        <f>SUM(F12:F16)</f>
        <v>0</v>
      </c>
      <c r="G24" s="421">
        <f>SUM(G12:G23)</f>
        <v>0</v>
      </c>
      <c r="H24" s="2429"/>
      <c r="I24" s="2430"/>
      <c r="J24" s="2430"/>
      <c r="K24" s="2430"/>
      <c r="L24" s="2431"/>
    </row>
    <row r="25" spans="1:22" ht="30" customHeight="1">
      <c r="A25" s="407" t="s">
        <v>79</v>
      </c>
      <c r="B25" s="321" t="s">
        <v>190</v>
      </c>
      <c r="C25" s="321" t="s">
        <v>879</v>
      </c>
      <c r="D25" s="321" t="s">
        <v>483</v>
      </c>
      <c r="E25" s="321" t="s">
        <v>484</v>
      </c>
      <c r="F25" s="321" t="s">
        <v>485</v>
      </c>
      <c r="G25" s="321" t="s">
        <v>486</v>
      </c>
      <c r="H25" s="321" t="s">
        <v>487</v>
      </c>
      <c r="I25" s="321" t="s">
        <v>488</v>
      </c>
      <c r="J25" s="321" t="s">
        <v>489</v>
      </c>
      <c r="K25" s="321" t="s">
        <v>500</v>
      </c>
      <c r="L25" s="408" t="s">
        <v>501</v>
      </c>
    </row>
    <row r="26" spans="1:22" ht="30" customHeight="1">
      <c r="A26" s="399" t="s">
        <v>502</v>
      </c>
      <c r="B26" s="226" t="s">
        <v>869</v>
      </c>
      <c r="C26" s="273">
        <f t="shared" ref="C26:C37" si="1">SUM(D26:L26)</f>
        <v>0</v>
      </c>
      <c r="D26" s="220">
        <f>'10. Structures-BDR'!G51</f>
        <v>0</v>
      </c>
      <c r="E26" s="220">
        <f>'11. Temporary Bridge'!G22</f>
        <v>0</v>
      </c>
      <c r="F26" s="220">
        <f>'12. Short Span Concrete'!G47</f>
        <v>0</v>
      </c>
      <c r="G26" s="273">
        <f>'13. Medium Span Concrete '!G77</f>
        <v>0</v>
      </c>
      <c r="H26" s="273">
        <f>'14. Structures-Structural Steel'!G83</f>
        <v>0</v>
      </c>
      <c r="I26" s="273">
        <f>'15.Str.-Segmental Concrete'!G99</f>
        <v>0</v>
      </c>
      <c r="J26" s="273">
        <f>'16. Structures-Movable Span'!G127</f>
        <v>0</v>
      </c>
      <c r="K26" s="396"/>
      <c r="L26" s="400"/>
    </row>
    <row r="27" spans="1:22" ht="30" customHeight="1">
      <c r="A27" s="399" t="s">
        <v>502</v>
      </c>
      <c r="B27" s="226" t="s">
        <v>870</v>
      </c>
      <c r="C27" s="273">
        <f t="shared" si="1"/>
        <v>0</v>
      </c>
      <c r="D27" s="273"/>
      <c r="E27" s="220"/>
      <c r="F27" s="220"/>
      <c r="G27" s="273"/>
      <c r="H27" s="273"/>
      <c r="I27" s="273"/>
      <c r="J27" s="273"/>
      <c r="K27" s="396"/>
      <c r="L27" s="400"/>
    </row>
    <row r="28" spans="1:22" ht="30" customHeight="1">
      <c r="A28" s="399" t="s">
        <v>502</v>
      </c>
      <c r="B28" s="226" t="s">
        <v>503</v>
      </c>
      <c r="C28" s="273">
        <f t="shared" si="1"/>
        <v>0</v>
      </c>
      <c r="D28" s="220"/>
      <c r="E28" s="220"/>
      <c r="F28" s="220"/>
      <c r="G28" s="273"/>
      <c r="H28" s="273"/>
      <c r="I28" s="273"/>
      <c r="J28" s="273"/>
      <c r="K28" s="396"/>
      <c r="L28" s="400"/>
    </row>
    <row r="29" spans="1:22" ht="30" customHeight="1">
      <c r="A29" s="399" t="s">
        <v>502</v>
      </c>
      <c r="B29" s="226" t="s">
        <v>504</v>
      </c>
      <c r="C29" s="273">
        <f t="shared" si="1"/>
        <v>0</v>
      </c>
      <c r="D29" s="220"/>
      <c r="E29" s="220"/>
      <c r="F29" s="220"/>
      <c r="G29" s="273"/>
      <c r="H29" s="273"/>
      <c r="I29" s="273"/>
      <c r="J29" s="273"/>
      <c r="K29" s="396"/>
      <c r="L29" s="400"/>
    </row>
    <row r="30" spans="1:22" ht="30" customHeight="1">
      <c r="A30" s="399" t="s">
        <v>502</v>
      </c>
      <c r="B30" s="226" t="s">
        <v>505</v>
      </c>
      <c r="C30" s="273">
        <f t="shared" si="1"/>
        <v>0</v>
      </c>
      <c r="D30" s="220"/>
      <c r="E30" s="220"/>
      <c r="F30" s="220"/>
      <c r="G30" s="273"/>
      <c r="H30" s="273"/>
      <c r="I30" s="273"/>
      <c r="J30" s="273"/>
      <c r="K30" s="396"/>
      <c r="L30" s="400"/>
    </row>
    <row r="31" spans="1:22" ht="30" customHeight="1">
      <c r="A31" s="399" t="s">
        <v>502</v>
      </c>
      <c r="B31" s="226" t="s">
        <v>506</v>
      </c>
      <c r="C31" s="273">
        <f t="shared" si="1"/>
        <v>0</v>
      </c>
      <c r="D31" s="220"/>
      <c r="E31" s="220"/>
      <c r="F31" s="220"/>
      <c r="G31" s="273"/>
      <c r="H31" s="273"/>
      <c r="I31" s="273"/>
      <c r="J31" s="273"/>
      <c r="K31" s="396"/>
      <c r="L31" s="400"/>
    </row>
    <row r="32" spans="1:22" ht="30" customHeight="1">
      <c r="A32" s="399" t="s">
        <v>502</v>
      </c>
      <c r="B32" s="226" t="s">
        <v>507</v>
      </c>
      <c r="C32" s="273">
        <f t="shared" si="1"/>
        <v>0</v>
      </c>
      <c r="D32" s="220"/>
      <c r="E32" s="220"/>
      <c r="F32" s="220"/>
      <c r="G32" s="273"/>
      <c r="H32" s="273"/>
      <c r="I32" s="273"/>
      <c r="J32" s="273"/>
      <c r="K32" s="396"/>
      <c r="L32" s="400"/>
    </row>
    <row r="33" spans="1:12" ht="30" customHeight="1">
      <c r="A33" s="399" t="s">
        <v>502</v>
      </c>
      <c r="B33" s="226" t="s">
        <v>508</v>
      </c>
      <c r="C33" s="273">
        <f t="shared" si="1"/>
        <v>0</v>
      </c>
      <c r="D33" s="220"/>
      <c r="E33" s="220"/>
      <c r="F33" s="220"/>
      <c r="G33" s="273"/>
      <c r="H33" s="273"/>
      <c r="I33" s="273"/>
      <c r="J33" s="273"/>
      <c r="K33" s="396"/>
      <c r="L33" s="400"/>
    </row>
    <row r="34" spans="1:12" ht="30" customHeight="1">
      <c r="A34" s="399" t="s">
        <v>502</v>
      </c>
      <c r="B34" s="226" t="s">
        <v>509</v>
      </c>
      <c r="C34" s="273">
        <f t="shared" si="1"/>
        <v>0</v>
      </c>
      <c r="D34" s="220"/>
      <c r="E34" s="220"/>
      <c r="F34" s="220"/>
      <c r="G34" s="273"/>
      <c r="H34" s="273"/>
      <c r="I34" s="273"/>
      <c r="J34" s="273"/>
      <c r="K34" s="396"/>
      <c r="L34" s="400"/>
    </row>
    <row r="35" spans="1:12" ht="30" customHeight="1">
      <c r="A35" s="399" t="s">
        <v>502</v>
      </c>
      <c r="B35" s="226" t="s">
        <v>510</v>
      </c>
      <c r="C35" s="273">
        <f t="shared" si="1"/>
        <v>0</v>
      </c>
      <c r="D35" s="220"/>
      <c r="E35" s="220"/>
      <c r="F35" s="220"/>
      <c r="G35" s="273"/>
      <c r="H35" s="273"/>
      <c r="I35" s="273"/>
      <c r="J35" s="273"/>
      <c r="K35" s="396"/>
      <c r="L35" s="400"/>
    </row>
    <row r="36" spans="1:12" ht="30" customHeight="1">
      <c r="A36" s="399" t="s">
        <v>511</v>
      </c>
      <c r="B36" s="226" t="s">
        <v>876</v>
      </c>
      <c r="C36" s="273">
        <f t="shared" si="1"/>
        <v>0</v>
      </c>
      <c r="D36" s="397"/>
      <c r="E36" s="397"/>
      <c r="F36" s="397"/>
      <c r="G36" s="396"/>
      <c r="H36" s="396"/>
      <c r="I36" s="396"/>
      <c r="J36" s="396"/>
      <c r="K36" s="273">
        <f>'17. Str-Retaining Walls'!G36</f>
        <v>0</v>
      </c>
      <c r="L36" s="400"/>
    </row>
    <row r="37" spans="1:12" ht="30" customHeight="1">
      <c r="A37" s="401" t="s">
        <v>512</v>
      </c>
      <c r="B37" s="226" t="s">
        <v>877</v>
      </c>
      <c r="C37" s="273">
        <f t="shared" si="1"/>
        <v>0</v>
      </c>
      <c r="D37" s="397"/>
      <c r="E37" s="397"/>
      <c r="F37" s="397"/>
      <c r="G37" s="396"/>
      <c r="H37" s="396"/>
      <c r="I37" s="396"/>
      <c r="J37" s="396"/>
      <c r="K37" s="396"/>
      <c r="L37" s="360">
        <f>'18. Structures-Miscellaneous'!G55</f>
        <v>0</v>
      </c>
    </row>
    <row r="38" spans="1:12" ht="48" customHeight="1">
      <c r="A38" s="2438" t="s">
        <v>1444</v>
      </c>
      <c r="B38" s="2442"/>
      <c r="C38" s="406">
        <f>SUM(C26:C37)</f>
        <v>0</v>
      </c>
      <c r="D38" s="406">
        <f t="shared" ref="D38:L38" si="2">SUM(D26:D37)</f>
        <v>0</v>
      </c>
      <c r="E38" s="406">
        <f>SUM(E26:E37)</f>
        <v>0</v>
      </c>
      <c r="F38" s="406">
        <f t="shared" si="2"/>
        <v>0</v>
      </c>
      <c r="G38" s="406">
        <f t="shared" si="2"/>
        <v>0</v>
      </c>
      <c r="H38" s="406">
        <f t="shared" si="2"/>
        <v>0</v>
      </c>
      <c r="I38" s="406">
        <f t="shared" si="2"/>
        <v>0</v>
      </c>
      <c r="J38" s="406">
        <f t="shared" si="2"/>
        <v>0</v>
      </c>
      <c r="K38" s="406">
        <f t="shared" si="2"/>
        <v>0</v>
      </c>
      <c r="L38" s="409">
        <f t="shared" si="2"/>
        <v>0</v>
      </c>
    </row>
    <row r="39" spans="1:12" ht="30" customHeight="1">
      <c r="A39" s="407" t="s">
        <v>79</v>
      </c>
      <c r="B39" s="321" t="s">
        <v>190</v>
      </c>
      <c r="C39" s="321" t="s">
        <v>87</v>
      </c>
      <c r="D39" s="321" t="s">
        <v>45</v>
      </c>
      <c r="E39" s="321" t="s">
        <v>481</v>
      </c>
      <c r="F39" s="321" t="s">
        <v>482</v>
      </c>
      <c r="G39" s="2427" t="s">
        <v>164</v>
      </c>
      <c r="H39" s="2427"/>
      <c r="I39" s="2427"/>
      <c r="J39" s="2427"/>
      <c r="K39" s="2427"/>
      <c r="L39" s="2428"/>
    </row>
    <row r="40" spans="1:12" ht="30" customHeight="1">
      <c r="A40" s="366">
        <v>9.11</v>
      </c>
      <c r="B40" s="372" t="s">
        <v>133</v>
      </c>
      <c r="C40" s="315" t="s">
        <v>85</v>
      </c>
      <c r="D40" s="364">
        <v>1</v>
      </c>
      <c r="E40" s="962">
        <v>0</v>
      </c>
      <c r="F40" s="219">
        <f>E40*D40</f>
        <v>0</v>
      </c>
      <c r="G40" s="2064"/>
      <c r="H40" s="2064"/>
      <c r="I40" s="2064"/>
      <c r="J40" s="2064"/>
      <c r="K40" s="2064"/>
      <c r="L40" s="2403"/>
    </row>
    <row r="41" spans="1:12" ht="30" customHeight="1">
      <c r="A41" s="366">
        <v>9.1199999999999992</v>
      </c>
      <c r="B41" s="372" t="s">
        <v>82</v>
      </c>
      <c r="C41" s="315" t="s">
        <v>85</v>
      </c>
      <c r="D41" s="364">
        <v>1</v>
      </c>
      <c r="E41" s="222">
        <f>F60</f>
        <v>0</v>
      </c>
      <c r="F41" s="219">
        <f>ROUND((E41*D41),0)</f>
        <v>0</v>
      </c>
      <c r="G41" s="2064" t="s">
        <v>578</v>
      </c>
      <c r="H41" s="2064"/>
      <c r="I41" s="2064"/>
      <c r="J41" s="2064"/>
      <c r="K41" s="2064"/>
      <c r="L41" s="2403"/>
    </row>
    <row r="42" spans="1:12" ht="30" customHeight="1">
      <c r="A42" s="424">
        <v>9.1300000000000008</v>
      </c>
      <c r="B42" s="372" t="s">
        <v>307</v>
      </c>
      <c r="C42" s="315" t="s">
        <v>85</v>
      </c>
      <c r="D42" s="425" t="s">
        <v>878</v>
      </c>
      <c r="E42" s="965">
        <v>0</v>
      </c>
      <c r="F42" s="219">
        <f>ROUND(($G$24+$C$38)*E42,0)</f>
        <v>0</v>
      </c>
      <c r="G42" s="2064"/>
      <c r="H42" s="2064"/>
      <c r="I42" s="2064"/>
      <c r="J42" s="2064"/>
      <c r="K42" s="2064"/>
      <c r="L42" s="2403"/>
    </row>
    <row r="43" spans="1:12" ht="30" customHeight="1">
      <c r="A43" s="424">
        <v>9.14</v>
      </c>
      <c r="B43" s="372" t="s">
        <v>92</v>
      </c>
      <c r="C43" s="315" t="s">
        <v>85</v>
      </c>
      <c r="D43" s="426">
        <v>1</v>
      </c>
      <c r="E43" s="969">
        <v>0</v>
      </c>
      <c r="F43" s="219">
        <f>ROUND((E43*D43),0)</f>
        <v>0</v>
      </c>
      <c r="G43" s="2064"/>
      <c r="H43" s="2064"/>
      <c r="I43" s="2064"/>
      <c r="J43" s="2064"/>
      <c r="K43" s="2064"/>
      <c r="L43" s="2403"/>
    </row>
    <row r="44" spans="1:12" ht="30" customHeight="1">
      <c r="A44" s="424">
        <v>9.15</v>
      </c>
      <c r="B44" s="372" t="s">
        <v>169</v>
      </c>
      <c r="C44" s="315" t="s">
        <v>85</v>
      </c>
      <c r="D44" s="425" t="s">
        <v>878</v>
      </c>
      <c r="E44" s="965">
        <v>0</v>
      </c>
      <c r="F44" s="219">
        <f>ROUND(($G$24+$C$38)*E44,0)</f>
        <v>0</v>
      </c>
      <c r="G44" s="2064"/>
      <c r="H44" s="2064"/>
      <c r="I44" s="2064"/>
      <c r="J44" s="2064"/>
      <c r="K44" s="2064"/>
      <c r="L44" s="2403"/>
    </row>
    <row r="45" spans="1:12" ht="30" customHeight="1">
      <c r="A45" s="2438" t="s">
        <v>636</v>
      </c>
      <c r="B45" s="2439"/>
      <c r="C45" s="2439"/>
      <c r="D45" s="418"/>
      <c r="E45" s="406"/>
      <c r="F45" s="421">
        <f>SUM(F40:F44)</f>
        <v>0</v>
      </c>
      <c r="G45" s="2401"/>
      <c r="H45" s="2401"/>
      <c r="I45" s="2401"/>
      <c r="J45" s="2401"/>
      <c r="K45" s="2401"/>
      <c r="L45" s="2402"/>
    </row>
    <row r="46" spans="1:12" s="420" customFormat="1" ht="35.1" customHeight="1">
      <c r="A46" s="370">
        <v>9.16</v>
      </c>
      <c r="B46" s="372" t="s">
        <v>78</v>
      </c>
      <c r="C46" s="315" t="s">
        <v>85</v>
      </c>
      <c r="D46" s="428">
        <v>1</v>
      </c>
      <c r="E46" s="969">
        <v>0</v>
      </c>
      <c r="F46" s="219">
        <f>ROUND((E46*D46),0)</f>
        <v>0</v>
      </c>
      <c r="G46" s="2064"/>
      <c r="H46" s="2064"/>
      <c r="I46" s="2064"/>
      <c r="J46" s="2064"/>
      <c r="K46" s="2064"/>
      <c r="L46" s="2403"/>
    </row>
    <row r="47" spans="1:12" ht="12.75" customHeight="1" thickBot="1">
      <c r="A47" s="2436" t="s">
        <v>214</v>
      </c>
      <c r="B47" s="2437"/>
      <c r="C47" s="2437"/>
      <c r="D47" s="419"/>
      <c r="E47" s="419"/>
      <c r="F47" s="427">
        <f>F46+F45+G24</f>
        <v>0</v>
      </c>
      <c r="G47" s="2404"/>
      <c r="H47" s="2404"/>
      <c r="I47" s="2404"/>
      <c r="J47" s="2404"/>
      <c r="K47" s="2404"/>
      <c r="L47" s="2405"/>
    </row>
    <row r="48" spans="1:12" s="268" customFormat="1" ht="36.75" customHeight="1" thickBot="1">
      <c r="A48" s="391"/>
      <c r="B48" s="391"/>
      <c r="C48" s="391"/>
      <c r="D48" s="341"/>
      <c r="E48" s="341"/>
      <c r="F48" s="392"/>
      <c r="G48" s="393"/>
      <c r="H48" s="393"/>
      <c r="I48" s="393"/>
      <c r="J48" s="393"/>
      <c r="K48" s="393"/>
      <c r="L48" s="393"/>
    </row>
    <row r="49" spans="1:12" s="334" customFormat="1" ht="54.6" customHeight="1" thickBot="1">
      <c r="A49" s="2389" t="s">
        <v>82</v>
      </c>
      <c r="B49" s="2088"/>
      <c r="C49" s="279" t="s">
        <v>87</v>
      </c>
      <c r="D49" s="279" t="s">
        <v>101</v>
      </c>
      <c r="E49" s="279" t="s">
        <v>706</v>
      </c>
      <c r="F49" s="279" t="s">
        <v>102</v>
      </c>
      <c r="G49" s="2414" t="s">
        <v>1640</v>
      </c>
      <c r="H49" s="2415"/>
      <c r="I49" s="2415"/>
      <c r="J49" s="2416"/>
      <c r="K49" s="279" t="s">
        <v>575</v>
      </c>
      <c r="L49" s="280" t="s">
        <v>576</v>
      </c>
    </row>
    <row r="50" spans="1:12" s="334" customFormat="1" ht="19.5" customHeight="1">
      <c r="A50" s="2456" t="s">
        <v>244</v>
      </c>
      <c r="B50" s="2457"/>
      <c r="C50" s="340" t="s">
        <v>141</v>
      </c>
      <c r="D50" s="964">
        <v>0</v>
      </c>
      <c r="E50" s="964">
        <v>0</v>
      </c>
      <c r="F50" s="324">
        <f t="shared" ref="F50:F56" si="3">E50*D50</f>
        <v>0</v>
      </c>
      <c r="G50" s="2417"/>
      <c r="H50" s="2418"/>
      <c r="I50" s="2418"/>
      <c r="J50" s="2419"/>
      <c r="K50" s="953"/>
      <c r="L50" s="967">
        <v>0</v>
      </c>
    </row>
    <row r="51" spans="1:12" s="334" customFormat="1" ht="19.5" customHeight="1">
      <c r="A51" s="2460" t="s">
        <v>245</v>
      </c>
      <c r="B51" s="2461"/>
      <c r="C51" s="220" t="s">
        <v>141</v>
      </c>
      <c r="D51" s="962">
        <v>0</v>
      </c>
      <c r="E51" s="962">
        <v>0</v>
      </c>
      <c r="F51" s="219">
        <f t="shared" si="3"/>
        <v>0</v>
      </c>
      <c r="G51" s="2420"/>
      <c r="H51" s="2421"/>
      <c r="I51" s="2421"/>
      <c r="J51" s="2422"/>
      <c r="K51" s="995"/>
      <c r="L51" s="968">
        <v>0</v>
      </c>
    </row>
    <row r="52" spans="1:12" s="334" customFormat="1" ht="19.5" customHeight="1">
      <c r="A52" s="2460" t="s">
        <v>246</v>
      </c>
      <c r="B52" s="2461"/>
      <c r="C52" s="220" t="s">
        <v>141</v>
      </c>
      <c r="D52" s="962">
        <v>0</v>
      </c>
      <c r="E52" s="962">
        <v>0</v>
      </c>
      <c r="F52" s="219">
        <f t="shared" si="3"/>
        <v>0</v>
      </c>
      <c r="G52" s="2396"/>
      <c r="H52" s="2370"/>
      <c r="I52" s="2370"/>
      <c r="J52" s="2397"/>
      <c r="K52" s="995"/>
      <c r="L52" s="968">
        <v>0</v>
      </c>
    </row>
    <row r="53" spans="1:12" s="334" customFormat="1" ht="19.5" customHeight="1">
      <c r="A53" s="2460" t="s">
        <v>247</v>
      </c>
      <c r="B53" s="2461"/>
      <c r="C53" s="220" t="s">
        <v>141</v>
      </c>
      <c r="D53" s="962">
        <v>0</v>
      </c>
      <c r="E53" s="962">
        <v>0</v>
      </c>
      <c r="F53" s="219">
        <f t="shared" si="3"/>
        <v>0</v>
      </c>
      <c r="G53" s="2423"/>
      <c r="H53" s="2424"/>
      <c r="I53" s="2424"/>
      <c r="J53" s="2425"/>
      <c r="K53" s="995"/>
      <c r="L53" s="968">
        <v>0</v>
      </c>
    </row>
    <row r="54" spans="1:12" s="334" customFormat="1" ht="19.5" customHeight="1">
      <c r="A54" s="2460" t="s">
        <v>159</v>
      </c>
      <c r="B54" s="2461"/>
      <c r="C54" s="220" t="s">
        <v>141</v>
      </c>
      <c r="D54" s="962">
        <v>0</v>
      </c>
      <c r="E54" s="962">
        <v>0</v>
      </c>
      <c r="F54" s="219">
        <f>E54*D54</f>
        <v>0</v>
      </c>
      <c r="G54" s="2396"/>
      <c r="H54" s="2370"/>
      <c r="I54" s="2370"/>
      <c r="J54" s="2397"/>
      <c r="K54" s="995"/>
      <c r="L54" s="968">
        <v>0</v>
      </c>
    </row>
    <row r="55" spans="1:12" s="334" customFormat="1" ht="19.5" customHeight="1">
      <c r="A55" s="2460" t="s">
        <v>248</v>
      </c>
      <c r="B55" s="2461"/>
      <c r="C55" s="220" t="s">
        <v>141</v>
      </c>
      <c r="D55" s="962">
        <v>0</v>
      </c>
      <c r="E55" s="962">
        <v>0</v>
      </c>
      <c r="F55" s="219">
        <f t="shared" si="3"/>
        <v>0</v>
      </c>
      <c r="G55" s="2398"/>
      <c r="H55" s="2399"/>
      <c r="I55" s="2399"/>
      <c r="J55" s="2400"/>
      <c r="K55" s="995"/>
      <c r="L55" s="968">
        <v>0</v>
      </c>
    </row>
    <row r="56" spans="1:12" s="334" customFormat="1" ht="19.5" customHeight="1">
      <c r="A56" s="2460" t="s">
        <v>231</v>
      </c>
      <c r="B56" s="2461"/>
      <c r="C56" s="220" t="s">
        <v>141</v>
      </c>
      <c r="D56" s="962">
        <v>0</v>
      </c>
      <c r="E56" s="962">
        <v>0</v>
      </c>
      <c r="F56" s="219">
        <f t="shared" si="3"/>
        <v>0</v>
      </c>
      <c r="G56" s="2398"/>
      <c r="H56" s="2399"/>
      <c r="I56" s="2399"/>
      <c r="J56" s="2400"/>
      <c r="K56" s="995"/>
      <c r="L56" s="968">
        <v>0</v>
      </c>
    </row>
    <row r="57" spans="1:12" s="334" customFormat="1" ht="19.5" customHeight="1" thickBot="1">
      <c r="A57" s="2454" t="s">
        <v>238</v>
      </c>
      <c r="B57" s="2455"/>
      <c r="C57" s="342"/>
      <c r="D57" s="342"/>
      <c r="E57" s="342"/>
      <c r="F57" s="327">
        <f>SUM(F50:F56)</f>
        <v>0</v>
      </c>
      <c r="G57" s="994"/>
      <c r="H57" s="994"/>
      <c r="I57" s="994"/>
      <c r="J57" s="994"/>
      <c r="K57" s="994"/>
      <c r="L57" s="331">
        <f>SUM(L50:L56)</f>
        <v>0</v>
      </c>
    </row>
    <row r="58" spans="1:12" s="334" customFormat="1" ht="19.5" customHeight="1" thickTop="1">
      <c r="A58" s="2456" t="s">
        <v>861</v>
      </c>
      <c r="B58" s="2457"/>
      <c r="C58" s="340" t="s">
        <v>141</v>
      </c>
      <c r="D58" s="964">
        <v>0</v>
      </c>
      <c r="E58" s="964">
        <v>0</v>
      </c>
      <c r="F58" s="324">
        <f>E58*D58</f>
        <v>0</v>
      </c>
      <c r="G58" s="2453" t="s">
        <v>1403</v>
      </c>
      <c r="H58" s="2453"/>
      <c r="I58" s="2453"/>
      <c r="J58" s="2453"/>
      <c r="K58" s="2453"/>
      <c r="L58" s="293" t="s">
        <v>1116</v>
      </c>
    </row>
    <row r="59" spans="1:12" s="334" customFormat="1" ht="19.5" customHeight="1" thickBot="1">
      <c r="A59" s="2458" t="s">
        <v>155</v>
      </c>
      <c r="B59" s="2459"/>
      <c r="C59" s="343" t="s">
        <v>141</v>
      </c>
      <c r="D59" s="966">
        <v>0</v>
      </c>
      <c r="E59" s="966">
        <v>0</v>
      </c>
      <c r="F59" s="328">
        <f>E59*D59</f>
        <v>0</v>
      </c>
      <c r="G59" s="2452" t="s">
        <v>1404</v>
      </c>
      <c r="H59" s="2452"/>
      <c r="I59" s="2452"/>
      <c r="J59" s="2452"/>
      <c r="K59" s="2452"/>
      <c r="L59" s="294" t="s">
        <v>1116</v>
      </c>
    </row>
    <row r="60" spans="1:12" s="334" customFormat="1" ht="16.8" thickTop="1" thickBot="1">
      <c r="A60" s="2449" t="s">
        <v>156</v>
      </c>
      <c r="B60" s="2450"/>
      <c r="C60" s="344"/>
      <c r="D60" s="344"/>
      <c r="E60" s="344"/>
      <c r="F60" s="325">
        <f>SUM(F57:F59)</f>
        <v>0</v>
      </c>
      <c r="G60" s="2451" t="s">
        <v>1414</v>
      </c>
      <c r="H60" s="2451"/>
      <c r="I60" s="2451"/>
      <c r="J60" s="2451"/>
      <c r="K60" s="2451"/>
      <c r="L60" s="332">
        <f>L57</f>
        <v>0</v>
      </c>
    </row>
    <row r="61" spans="1:12">
      <c r="A61" s="3"/>
      <c r="B61" s="334"/>
      <c r="C61" s="3"/>
      <c r="D61" s="3"/>
      <c r="E61" s="3"/>
      <c r="F61" s="346" t="s">
        <v>1814</v>
      </c>
      <c r="G61" s="3"/>
      <c r="H61" s="334"/>
      <c r="I61" s="334"/>
      <c r="J61" s="334"/>
      <c r="K61" s="334"/>
      <c r="L61" s="346" t="s">
        <v>1405</v>
      </c>
    </row>
  </sheetData>
  <mergeCells count="67">
    <mergeCell ref="A54:B54"/>
    <mergeCell ref="A55:B55"/>
    <mergeCell ref="A56:B56"/>
    <mergeCell ref="A49:B49"/>
    <mergeCell ref="A50:B50"/>
    <mergeCell ref="A51:B51"/>
    <mergeCell ref="A52:B52"/>
    <mergeCell ref="A53:B53"/>
    <mergeCell ref="A60:B60"/>
    <mergeCell ref="G60:K60"/>
    <mergeCell ref="G59:K59"/>
    <mergeCell ref="G58:K58"/>
    <mergeCell ref="A57:B57"/>
    <mergeCell ref="A58:B58"/>
    <mergeCell ref="A59:B59"/>
    <mergeCell ref="A6:B6"/>
    <mergeCell ref="C6:F6"/>
    <mergeCell ref="G6:L6"/>
    <mergeCell ref="G5:L5"/>
    <mergeCell ref="A4:B4"/>
    <mergeCell ref="C4:F4"/>
    <mergeCell ref="A5:B5"/>
    <mergeCell ref="C5:F5"/>
    <mergeCell ref="G4:L4"/>
    <mergeCell ref="A47:C47"/>
    <mergeCell ref="A45:C45"/>
    <mergeCell ref="A9:A10"/>
    <mergeCell ref="B9:B10"/>
    <mergeCell ref="A24:C24"/>
    <mergeCell ref="C9:C10"/>
    <mergeCell ref="A38:B38"/>
    <mergeCell ref="A19:A21"/>
    <mergeCell ref="B19:B21"/>
    <mergeCell ref="D9:G9"/>
    <mergeCell ref="G41:L41"/>
    <mergeCell ref="G39:L39"/>
    <mergeCell ref="H18:L18"/>
    <mergeCell ref="H22:L22"/>
    <mergeCell ref="G40:L40"/>
    <mergeCell ref="H23:L23"/>
    <mergeCell ref="H24:L24"/>
    <mergeCell ref="H11:L11"/>
    <mergeCell ref="H16:L16"/>
    <mergeCell ref="H12:L12"/>
    <mergeCell ref="H9:L10"/>
    <mergeCell ref="H13:L13"/>
    <mergeCell ref="H14:L14"/>
    <mergeCell ref="H15:L15"/>
    <mergeCell ref="H17:L17"/>
    <mergeCell ref="G56:J56"/>
    <mergeCell ref="G49:J49"/>
    <mergeCell ref="G50:J50"/>
    <mergeCell ref="G51:J51"/>
    <mergeCell ref="G52:J52"/>
    <mergeCell ref="G53:J53"/>
    <mergeCell ref="G19:G21"/>
    <mergeCell ref="E19:F20"/>
    <mergeCell ref="G54:J54"/>
    <mergeCell ref="G55:J55"/>
    <mergeCell ref="G45:L45"/>
    <mergeCell ref="G46:L46"/>
    <mergeCell ref="G47:L47"/>
    <mergeCell ref="G42:L42"/>
    <mergeCell ref="G44:L44"/>
    <mergeCell ref="G43:L43"/>
    <mergeCell ref="H19:L21"/>
    <mergeCell ref="E21:F21"/>
  </mergeCells>
  <phoneticPr fontId="0" type="noConversion"/>
  <conditionalFormatting sqref="P20:U20">
    <cfRule type="expression" dxfId="12" priority="7">
      <formula>$D$25="Above Range"</formula>
    </cfRule>
  </conditionalFormatting>
  <conditionalFormatting sqref="Q19:Q20">
    <cfRule type="expression" dxfId="11" priority="19">
      <formula>$D$25="Below Range"</formula>
    </cfRule>
  </conditionalFormatting>
  <conditionalFormatting sqref="R19:R21">
    <cfRule type="expression" dxfId="10" priority="11">
      <formula>$D$25="Low Range"</formula>
    </cfRule>
  </conditionalFormatting>
  <conditionalFormatting sqref="R21">
    <cfRule type="expression" dxfId="9" priority="12">
      <formula>$D$25="Mid Range"</formula>
    </cfRule>
  </conditionalFormatting>
  <conditionalFormatting sqref="S1:U2">
    <cfRule type="expression" dxfId="8" priority="2">
      <formula>$D$25="Low Range"</formula>
    </cfRule>
  </conditionalFormatting>
  <conditionalFormatting sqref="S2:U3">
    <cfRule type="expression" dxfId="7" priority="1">
      <formula>$D$25="Above Range"</formula>
    </cfRule>
  </conditionalFormatting>
  <conditionalFormatting sqref="S3:U3">
    <cfRule type="expression" dxfId="6" priority="4">
      <formula>$D$25="Below Range"</formula>
    </cfRule>
    <cfRule type="expression" dxfId="5" priority="5">
      <formula>$D$25="Mid Range"</formula>
    </cfRule>
  </conditionalFormatting>
  <conditionalFormatting sqref="S19:U20">
    <cfRule type="expression" dxfId="4" priority="8">
      <formula>$D$25="Low Range"</formula>
    </cfRule>
  </conditionalFormatting>
  <conditionalFormatting sqref="S21:V21">
    <cfRule type="expression" dxfId="3" priority="9">
      <formula>$D$25="Below Range"</formula>
    </cfRule>
  </conditionalFormatting>
  <dataValidations count="2">
    <dataValidation type="list" allowBlank="1" showInputMessage="1" showErrorMessage="1" sqref="K50:K56" xr:uid="{00000000-0002-0000-1600-000000000000}">
      <formula1>yesno</formula1>
    </dataValidation>
    <dataValidation type="whole" operator="greaterThanOrEqual" allowBlank="1" showInputMessage="1" showErrorMessage="1" error="Enter whole number greater than or equal to 0" sqref="D19" xr:uid="{75F3B4AB-532F-4B76-8ECE-5F6F1B535B59}">
      <formula1>0</formula1>
    </dataValidation>
  </dataValidations>
  <printOptions horizontalCentered="1"/>
  <pageMargins left="0.5" right="0.5" top="1" bottom="1" header="0.5" footer="0.5"/>
  <pageSetup scale="61" orientation="landscape" r:id="rId1"/>
  <headerFooter alignWithMargins="0">
    <oddHeader xml:space="preserve">&amp;C&amp;"Arial,Bold"&amp;12&amp;UProject Activity 9: Structures Summary and Miscellaneous Tasks and Drawings </oddHeader>
    <oddFooter>&amp;L&amp;F
&amp;A&amp;CPage &amp;P of &amp;N&amp;R&amp;D</oddFooter>
  </headerFooter>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6">
    <pageSetUpPr autoPageBreaks="0"/>
  </sheetPr>
  <dimension ref="A1:H52"/>
  <sheetViews>
    <sheetView showGridLines="0" showRuler="0" zoomScale="85" zoomScaleNormal="85" zoomScaleSheetLayoutView="100" workbookViewId="0"/>
  </sheetViews>
  <sheetFormatPr defaultColWidth="9.109375" defaultRowHeight="13.2"/>
  <cols>
    <col min="1" max="1" width="6.33203125" style="341" customWidth="1"/>
    <col min="2" max="2" width="50.6640625" style="341" customWidth="1"/>
    <col min="3" max="7" width="12.6640625" style="341" customWidth="1"/>
    <col min="8" max="8" width="100.6640625" style="341" customWidth="1"/>
    <col min="9" max="9" width="6.5546875" style="4" customWidth="1"/>
    <col min="10" max="16384" width="9.109375" style="4"/>
  </cols>
  <sheetData>
    <row r="1" spans="1:8" s="422" customFormat="1" ht="20.100000000000001" customHeight="1">
      <c r="A1" s="362" t="s">
        <v>592</v>
      </c>
      <c r="B1" s="430"/>
      <c r="C1" s="430"/>
      <c r="D1" s="430"/>
      <c r="E1" s="430"/>
      <c r="F1" s="430"/>
      <c r="G1" s="430"/>
      <c r="H1" s="897" t="str">
        <f>'Project Information'!$B$3</f>
        <v>Enter project name &amp; description</v>
      </c>
    </row>
    <row r="2" spans="1:8" s="422" customFormat="1" ht="20.100000000000001" customHeight="1">
      <c r="A2" s="362" t="s">
        <v>254</v>
      </c>
      <c r="B2" s="430"/>
      <c r="C2" s="430"/>
      <c r="D2" s="430"/>
      <c r="E2" s="430"/>
      <c r="F2" s="430"/>
      <c r="G2" s="430"/>
      <c r="H2" s="897" t="str">
        <f>'Project Information'!$B$1</f>
        <v>999999-1-32-01</v>
      </c>
    </row>
    <row r="3" spans="1:8" s="225" customFormat="1" ht="14.4" thickBot="1">
      <c r="A3" s="311"/>
      <c r="B3" s="312"/>
      <c r="C3" s="313"/>
      <c r="D3" s="313"/>
      <c r="E3" s="313"/>
      <c r="F3" s="313"/>
      <c r="G3" s="313"/>
      <c r="H3" s="313"/>
    </row>
    <row r="4" spans="1:8" s="225" customFormat="1" ht="28.5" customHeight="1" thickBot="1">
      <c r="A4" s="2086" t="s">
        <v>1396</v>
      </c>
      <c r="B4" s="2087"/>
      <c r="C4" s="2088" t="s">
        <v>1397</v>
      </c>
      <c r="D4" s="2088"/>
      <c r="E4" s="2088"/>
      <c r="F4" s="2088"/>
      <c r="G4" s="2339" t="s">
        <v>1398</v>
      </c>
      <c r="H4" s="2469"/>
    </row>
    <row r="5" spans="1:8" s="225" customFormat="1" ht="28.5" customHeight="1">
      <c r="A5" s="2089" t="s">
        <v>1400</v>
      </c>
      <c r="B5" s="2090"/>
      <c r="C5" s="2091"/>
      <c r="D5" s="2091"/>
      <c r="E5" s="2091"/>
      <c r="F5" s="2091"/>
      <c r="G5" s="2342"/>
      <c r="H5" s="2470"/>
    </row>
    <row r="6" spans="1:8" s="225" customFormat="1" ht="28.5" customHeight="1" thickBot="1">
      <c r="A6" s="2083" t="s">
        <v>1399</v>
      </c>
      <c r="B6" s="2084"/>
      <c r="C6" s="2085"/>
      <c r="D6" s="2085"/>
      <c r="E6" s="2085"/>
      <c r="F6" s="2085"/>
      <c r="G6" s="2329"/>
      <c r="H6" s="2468"/>
    </row>
    <row r="7" spans="1:8" s="225" customFormat="1" ht="15.6">
      <c r="A7" s="898" t="s">
        <v>1430</v>
      </c>
      <c r="B7" s="270"/>
    </row>
    <row r="8" spans="1:8" s="225" customFormat="1" ht="15" customHeight="1" thickBot="1">
      <c r="A8" s="898"/>
      <c r="B8" s="270"/>
    </row>
    <row r="9" spans="1:8" s="435" customFormat="1" ht="48" customHeight="1">
      <c r="A9" s="434" t="s">
        <v>79</v>
      </c>
      <c r="B9" s="297" t="s">
        <v>190</v>
      </c>
      <c r="C9" s="266" t="s">
        <v>87</v>
      </c>
      <c r="D9" s="266" t="s">
        <v>101</v>
      </c>
      <c r="E9" s="266" t="s">
        <v>706</v>
      </c>
      <c r="F9" s="266" t="s">
        <v>165</v>
      </c>
      <c r="G9" s="266" t="s">
        <v>102</v>
      </c>
      <c r="H9" s="323" t="s">
        <v>164</v>
      </c>
    </row>
    <row r="10" spans="1:8" s="429" customFormat="1" ht="20.100000000000001" customHeight="1">
      <c r="A10" s="449"/>
      <c r="B10" s="450" t="s">
        <v>490</v>
      </c>
      <c r="C10" s="451"/>
      <c r="D10" s="451"/>
      <c r="E10" s="451"/>
      <c r="F10" s="451"/>
      <c r="G10" s="451"/>
      <c r="H10" s="452"/>
    </row>
    <row r="11" spans="1:8" s="420" customFormat="1" ht="30" customHeight="1">
      <c r="A11" s="436">
        <v>10.1</v>
      </c>
      <c r="B11" s="226" t="s">
        <v>880</v>
      </c>
      <c r="C11" s="220" t="s">
        <v>85</v>
      </c>
      <c r="D11" s="219">
        <v>1</v>
      </c>
      <c r="E11" s="962">
        <v>0</v>
      </c>
      <c r="F11" s="221"/>
      <c r="G11" s="222">
        <f>E11*D11</f>
        <v>0</v>
      </c>
      <c r="H11" s="410"/>
    </row>
    <row r="12" spans="1:8" s="420" customFormat="1" ht="30" customHeight="1">
      <c r="A12" s="436">
        <v>10.199999999999999</v>
      </c>
      <c r="B12" s="226" t="s">
        <v>881</v>
      </c>
      <c r="C12" s="220" t="s">
        <v>85</v>
      </c>
      <c r="D12" s="219">
        <v>1</v>
      </c>
      <c r="E12" s="962">
        <v>0</v>
      </c>
      <c r="F12" s="221"/>
      <c r="G12" s="222">
        <f>E12*D12</f>
        <v>0</v>
      </c>
      <c r="H12" s="410"/>
    </row>
    <row r="13" spans="1:8" s="420" customFormat="1" ht="30" customHeight="1">
      <c r="A13" s="436">
        <v>10.3</v>
      </c>
      <c r="B13" s="226" t="s">
        <v>882</v>
      </c>
      <c r="C13" s="220" t="s">
        <v>141</v>
      </c>
      <c r="D13" s="962">
        <v>0</v>
      </c>
      <c r="E13" s="962">
        <v>0</v>
      </c>
      <c r="F13" s="221"/>
      <c r="G13" s="222">
        <f>E13*D13</f>
        <v>0</v>
      </c>
      <c r="H13" s="410"/>
    </row>
    <row r="14" spans="1:8" s="420" customFormat="1" ht="20.100000000000001" customHeight="1">
      <c r="A14" s="437"/>
      <c r="B14" s="453" t="s">
        <v>883</v>
      </c>
      <c r="C14" s="438"/>
      <c r="D14" s="438"/>
      <c r="E14" s="438"/>
      <c r="F14" s="438"/>
      <c r="G14" s="455"/>
      <c r="H14" s="439"/>
    </row>
    <row r="15" spans="1:8" s="420" customFormat="1" ht="30" customHeight="1">
      <c r="A15" s="436">
        <v>10.4</v>
      </c>
      <c r="B15" s="226" t="s">
        <v>956</v>
      </c>
      <c r="C15" s="273" t="s">
        <v>623</v>
      </c>
      <c r="D15" s="962">
        <v>0</v>
      </c>
      <c r="E15" s="962">
        <v>0</v>
      </c>
      <c r="F15" s="221"/>
      <c r="G15" s="222">
        <f>E15*D15</f>
        <v>0</v>
      </c>
      <c r="H15" s="410"/>
    </row>
    <row r="16" spans="1:8" s="420" customFormat="1" ht="30" customHeight="1">
      <c r="A16" s="436">
        <v>10.5</v>
      </c>
      <c r="B16" s="226" t="s">
        <v>957</v>
      </c>
      <c r="C16" s="273" t="s">
        <v>623</v>
      </c>
      <c r="D16" s="962">
        <v>0</v>
      </c>
      <c r="E16" s="962">
        <v>0</v>
      </c>
      <c r="F16" s="221"/>
      <c r="G16" s="222">
        <f>E16*D16</f>
        <v>0</v>
      </c>
      <c r="H16" s="410"/>
    </row>
    <row r="17" spans="1:8" s="420" customFormat="1" ht="30" customHeight="1">
      <c r="A17" s="436">
        <v>10.6</v>
      </c>
      <c r="B17" s="226" t="s">
        <v>262</v>
      </c>
      <c r="C17" s="273" t="s">
        <v>623</v>
      </c>
      <c r="D17" s="962">
        <v>0</v>
      </c>
      <c r="E17" s="962">
        <v>0</v>
      </c>
      <c r="F17" s="221"/>
      <c r="G17" s="222">
        <f>E17*D17</f>
        <v>0</v>
      </c>
      <c r="H17" s="410"/>
    </row>
    <row r="18" spans="1:8" s="420" customFormat="1" ht="30" customHeight="1">
      <c r="A18" s="436">
        <v>10.7</v>
      </c>
      <c r="B18" s="226" t="s">
        <v>263</v>
      </c>
      <c r="C18" s="273" t="s">
        <v>623</v>
      </c>
      <c r="D18" s="962">
        <v>0</v>
      </c>
      <c r="E18" s="962">
        <v>0</v>
      </c>
      <c r="F18" s="221"/>
      <c r="G18" s="222">
        <f>E18*D18</f>
        <v>0</v>
      </c>
      <c r="H18" s="410"/>
    </row>
    <row r="19" spans="1:8" s="420" customFormat="1" ht="20.100000000000001" customHeight="1">
      <c r="A19" s="440"/>
      <c r="B19" s="453" t="s">
        <v>884</v>
      </c>
      <c r="C19" s="438"/>
      <c r="D19" s="438"/>
      <c r="E19" s="438"/>
      <c r="F19" s="438"/>
      <c r="G19" s="455"/>
      <c r="H19" s="439"/>
    </row>
    <row r="20" spans="1:8" s="420" customFormat="1" ht="30" customHeight="1">
      <c r="A20" s="436">
        <v>10.8</v>
      </c>
      <c r="B20" s="226" t="s">
        <v>185</v>
      </c>
      <c r="C20" s="220" t="s">
        <v>624</v>
      </c>
      <c r="D20" s="962">
        <v>0</v>
      </c>
      <c r="E20" s="962">
        <v>0</v>
      </c>
      <c r="F20" s="221"/>
      <c r="G20" s="222">
        <f>E20*D20</f>
        <v>0</v>
      </c>
      <c r="H20" s="410"/>
    </row>
    <row r="21" spans="1:8" s="420" customFormat="1" ht="30" customHeight="1">
      <c r="A21" s="436">
        <v>10.9</v>
      </c>
      <c r="B21" s="336" t="s">
        <v>1176</v>
      </c>
      <c r="C21" s="220" t="s">
        <v>624</v>
      </c>
      <c r="D21" s="962">
        <v>0</v>
      </c>
      <c r="E21" s="962">
        <v>0</v>
      </c>
      <c r="F21" s="221"/>
      <c r="G21" s="222">
        <f>E21*D21</f>
        <v>0</v>
      </c>
      <c r="H21" s="410"/>
    </row>
    <row r="22" spans="1:8" s="420" customFormat="1" ht="41.4">
      <c r="A22" s="441">
        <v>10.1</v>
      </c>
      <c r="B22" s="226" t="s">
        <v>885</v>
      </c>
      <c r="C22" s="273" t="s">
        <v>1177</v>
      </c>
      <c r="D22" s="962">
        <v>0</v>
      </c>
      <c r="E22" s="962">
        <v>0</v>
      </c>
      <c r="F22" s="221"/>
      <c r="G22" s="222">
        <f>E22*D22</f>
        <v>0</v>
      </c>
      <c r="H22" s="410"/>
    </row>
    <row r="23" spans="1:8" s="420" customFormat="1" ht="20.100000000000001" customHeight="1">
      <c r="A23" s="442"/>
      <c r="B23" s="454" t="s">
        <v>875</v>
      </c>
      <c r="C23" s="443"/>
      <c r="D23" s="443"/>
      <c r="E23" s="443"/>
      <c r="F23" s="443"/>
      <c r="G23" s="456"/>
      <c r="H23" s="444"/>
    </row>
    <row r="24" spans="1:8" s="420" customFormat="1" ht="30" customHeight="1">
      <c r="A24" s="441">
        <v>10.11</v>
      </c>
      <c r="B24" s="445" t="s">
        <v>249</v>
      </c>
      <c r="C24" s="361" t="s">
        <v>85</v>
      </c>
      <c r="D24" s="219">
        <v>1</v>
      </c>
      <c r="E24" s="962">
        <v>0</v>
      </c>
      <c r="F24" s="446"/>
      <c r="G24" s="222">
        <f t="shared" ref="G24:G36" si="0">E24*D24</f>
        <v>0</v>
      </c>
      <c r="H24" s="447"/>
    </row>
    <row r="25" spans="1:8" s="420" customFormat="1" ht="30" customHeight="1">
      <c r="A25" s="441">
        <v>10.119999999999999</v>
      </c>
      <c r="B25" s="445" t="s">
        <v>401</v>
      </c>
      <c r="C25" s="361" t="s">
        <v>85</v>
      </c>
      <c r="D25" s="219">
        <v>1</v>
      </c>
      <c r="E25" s="962">
        <v>0</v>
      </c>
      <c r="F25" s="446"/>
      <c r="G25" s="222">
        <f t="shared" si="0"/>
        <v>0</v>
      </c>
      <c r="H25" s="447"/>
    </row>
    <row r="26" spans="1:8" s="420" customFormat="1" ht="30" customHeight="1">
      <c r="A26" s="441">
        <v>10.130000000000001</v>
      </c>
      <c r="B26" s="445" t="s">
        <v>410</v>
      </c>
      <c r="C26" s="361" t="s">
        <v>85</v>
      </c>
      <c r="D26" s="219">
        <v>1</v>
      </c>
      <c r="E26" s="962">
        <v>0</v>
      </c>
      <c r="F26" s="446"/>
      <c r="G26" s="222">
        <f t="shared" si="0"/>
        <v>0</v>
      </c>
      <c r="H26" s="447"/>
    </row>
    <row r="27" spans="1:8" s="420" customFormat="1" ht="30" customHeight="1">
      <c r="A27" s="441">
        <v>10.14</v>
      </c>
      <c r="B27" s="445" t="s">
        <v>402</v>
      </c>
      <c r="C27" s="361" t="s">
        <v>85</v>
      </c>
      <c r="D27" s="219">
        <v>1</v>
      </c>
      <c r="E27" s="962">
        <v>0</v>
      </c>
      <c r="F27" s="446"/>
      <c r="G27" s="222">
        <f t="shared" si="0"/>
        <v>0</v>
      </c>
      <c r="H27" s="447"/>
    </row>
    <row r="28" spans="1:8" s="420" customFormat="1" ht="30" customHeight="1">
      <c r="A28" s="441">
        <v>10.15</v>
      </c>
      <c r="B28" s="445" t="s">
        <v>399</v>
      </c>
      <c r="C28" s="361" t="s">
        <v>85</v>
      </c>
      <c r="D28" s="219">
        <v>1</v>
      </c>
      <c r="E28" s="962">
        <v>0</v>
      </c>
      <c r="F28" s="446"/>
      <c r="G28" s="222">
        <f t="shared" si="0"/>
        <v>0</v>
      </c>
      <c r="H28" s="447"/>
    </row>
    <row r="29" spans="1:8" s="420" customFormat="1" ht="30" customHeight="1">
      <c r="A29" s="441">
        <v>10.16</v>
      </c>
      <c r="B29" s="445" t="s">
        <v>403</v>
      </c>
      <c r="C29" s="361" t="s">
        <v>85</v>
      </c>
      <c r="D29" s="219">
        <v>1</v>
      </c>
      <c r="E29" s="962">
        <v>0</v>
      </c>
      <c r="F29" s="446"/>
      <c r="G29" s="222">
        <f t="shared" si="0"/>
        <v>0</v>
      </c>
      <c r="H29" s="447"/>
    </row>
    <row r="30" spans="1:8" s="420" customFormat="1" ht="30" customHeight="1">
      <c r="A30" s="441">
        <v>10.17</v>
      </c>
      <c r="B30" s="445" t="s">
        <v>404</v>
      </c>
      <c r="C30" s="361" t="s">
        <v>85</v>
      </c>
      <c r="D30" s="219">
        <v>1</v>
      </c>
      <c r="E30" s="962">
        <v>0</v>
      </c>
      <c r="F30" s="446"/>
      <c r="G30" s="222">
        <f t="shared" si="0"/>
        <v>0</v>
      </c>
      <c r="H30" s="447"/>
    </row>
    <row r="31" spans="1:8" s="420" customFormat="1" ht="30" customHeight="1">
      <c r="A31" s="441">
        <v>10.18</v>
      </c>
      <c r="B31" s="445" t="s">
        <v>405</v>
      </c>
      <c r="C31" s="361" t="s">
        <v>85</v>
      </c>
      <c r="D31" s="219">
        <v>1</v>
      </c>
      <c r="E31" s="962">
        <v>0</v>
      </c>
      <c r="F31" s="446"/>
      <c r="G31" s="222">
        <f t="shared" si="0"/>
        <v>0</v>
      </c>
      <c r="H31" s="447"/>
    </row>
    <row r="32" spans="1:8" s="420" customFormat="1" ht="30" customHeight="1">
      <c r="A32" s="441">
        <v>10.19</v>
      </c>
      <c r="B32" s="445" t="s">
        <v>406</v>
      </c>
      <c r="C32" s="361" t="s">
        <v>85</v>
      </c>
      <c r="D32" s="219">
        <v>1</v>
      </c>
      <c r="E32" s="962">
        <v>0</v>
      </c>
      <c r="F32" s="446"/>
      <c r="G32" s="222">
        <f t="shared" si="0"/>
        <v>0</v>
      </c>
      <c r="H32" s="447"/>
    </row>
    <row r="33" spans="1:8" s="420" customFormat="1" ht="30" customHeight="1">
      <c r="A33" s="441">
        <v>10.199999999999999</v>
      </c>
      <c r="B33" s="445" t="s">
        <v>407</v>
      </c>
      <c r="C33" s="361" t="s">
        <v>85</v>
      </c>
      <c r="D33" s="219">
        <v>1</v>
      </c>
      <c r="E33" s="962">
        <v>0</v>
      </c>
      <c r="F33" s="446"/>
      <c r="G33" s="222">
        <f t="shared" si="0"/>
        <v>0</v>
      </c>
      <c r="H33" s="447"/>
    </row>
    <row r="34" spans="1:8" s="420" customFormat="1" ht="30" customHeight="1">
      <c r="A34" s="276">
        <v>10.210000000000001</v>
      </c>
      <c r="B34" s="445" t="s">
        <v>408</v>
      </c>
      <c r="C34" s="361" t="s">
        <v>85</v>
      </c>
      <c r="D34" s="219">
        <v>1</v>
      </c>
      <c r="E34" s="962">
        <v>0</v>
      </c>
      <c r="F34" s="446"/>
      <c r="G34" s="222">
        <f t="shared" si="0"/>
        <v>0</v>
      </c>
      <c r="H34" s="447"/>
    </row>
    <row r="35" spans="1:8" s="420" customFormat="1" ht="30" customHeight="1">
      <c r="A35" s="276">
        <v>10.220000000000001</v>
      </c>
      <c r="B35" s="445" t="s">
        <v>250</v>
      </c>
      <c r="C35" s="361" t="s">
        <v>85</v>
      </c>
      <c r="D35" s="219">
        <v>1</v>
      </c>
      <c r="E35" s="962">
        <v>0</v>
      </c>
      <c r="F35" s="446"/>
      <c r="G35" s="222">
        <f t="shared" si="0"/>
        <v>0</v>
      </c>
      <c r="H35" s="447"/>
    </row>
    <row r="36" spans="1:8" s="420" customFormat="1" ht="30" customHeight="1">
      <c r="A36" s="276">
        <v>10.23</v>
      </c>
      <c r="B36" s="445" t="s">
        <v>409</v>
      </c>
      <c r="C36" s="361" t="s">
        <v>85</v>
      </c>
      <c r="D36" s="219">
        <v>1</v>
      </c>
      <c r="E36" s="962">
        <v>0</v>
      </c>
      <c r="F36" s="446"/>
      <c r="G36" s="222">
        <f t="shared" si="0"/>
        <v>0</v>
      </c>
      <c r="H36" s="447"/>
    </row>
    <row r="37" spans="1:8" s="420" customFormat="1" ht="20.100000000000001" customHeight="1">
      <c r="A37" s="440"/>
      <c r="B37" s="453" t="s">
        <v>331</v>
      </c>
      <c r="C37" s="438"/>
      <c r="D37" s="455"/>
      <c r="E37" s="438"/>
      <c r="F37" s="438"/>
      <c r="G37" s="455"/>
      <c r="H37" s="439"/>
    </row>
    <row r="38" spans="1:8" s="420" customFormat="1" ht="30" customHeight="1">
      <c r="A38" s="276">
        <v>10.24</v>
      </c>
      <c r="B38" s="226" t="s">
        <v>886</v>
      </c>
      <c r="C38" s="220" t="s">
        <v>85</v>
      </c>
      <c r="D38" s="219">
        <v>1</v>
      </c>
      <c r="E38" s="962">
        <v>0</v>
      </c>
      <c r="F38" s="221"/>
      <c r="G38" s="222">
        <f>E38*D38</f>
        <v>0</v>
      </c>
      <c r="H38" s="410"/>
    </row>
    <row r="39" spans="1:8" ht="30" customHeight="1">
      <c r="A39" s="276">
        <v>10.25</v>
      </c>
      <c r="B39" s="226" t="s">
        <v>1655</v>
      </c>
      <c r="C39" s="220" t="s">
        <v>85</v>
      </c>
      <c r="D39" s="219">
        <v>1</v>
      </c>
      <c r="E39" s="962">
        <v>0</v>
      </c>
      <c r="F39" s="221"/>
      <c r="G39" s="222">
        <f t="shared" ref="G39:G44" si="1">E39*D39</f>
        <v>0</v>
      </c>
      <c r="H39" s="410"/>
    </row>
    <row r="40" spans="1:8" s="420" customFormat="1" ht="30" customHeight="1">
      <c r="A40" s="276">
        <v>10.26</v>
      </c>
      <c r="B40" s="226" t="s">
        <v>887</v>
      </c>
      <c r="C40" s="220" t="s">
        <v>85</v>
      </c>
      <c r="D40" s="219">
        <v>1</v>
      </c>
      <c r="E40" s="962">
        <v>0</v>
      </c>
      <c r="F40" s="221"/>
      <c r="G40" s="222">
        <f t="shared" si="1"/>
        <v>0</v>
      </c>
      <c r="H40" s="410"/>
    </row>
    <row r="41" spans="1:8" s="420" customFormat="1" ht="30" customHeight="1">
      <c r="A41" s="276">
        <v>10.27</v>
      </c>
      <c r="B41" s="302" t="s">
        <v>1058</v>
      </c>
      <c r="C41" s="220" t="s">
        <v>491</v>
      </c>
      <c r="D41" s="219">
        <v>1</v>
      </c>
      <c r="E41" s="962">
        <v>0</v>
      </c>
      <c r="F41" s="221"/>
      <c r="G41" s="222">
        <f t="shared" si="1"/>
        <v>0</v>
      </c>
      <c r="H41" s="410"/>
    </row>
    <row r="42" spans="1:8" s="420" customFormat="1" ht="30" customHeight="1">
      <c r="A42" s="276">
        <v>10.28</v>
      </c>
      <c r="B42" s="226" t="s">
        <v>888</v>
      </c>
      <c r="C42" s="273" t="s">
        <v>623</v>
      </c>
      <c r="D42" s="962">
        <v>0</v>
      </c>
      <c r="E42" s="962">
        <v>0</v>
      </c>
      <c r="F42" s="221"/>
      <c r="G42" s="222">
        <f t="shared" si="1"/>
        <v>0</v>
      </c>
      <c r="H42" s="410"/>
    </row>
    <row r="43" spans="1:8" s="420" customFormat="1" ht="30" customHeight="1">
      <c r="A43" s="276">
        <v>10.29</v>
      </c>
      <c r="B43" s="226" t="s">
        <v>251</v>
      </c>
      <c r="C43" s="448" t="s">
        <v>85</v>
      </c>
      <c r="D43" s="219">
        <v>1</v>
      </c>
      <c r="E43" s="962">
        <v>0</v>
      </c>
      <c r="F43" s="221"/>
      <c r="G43" s="222">
        <f t="shared" si="1"/>
        <v>0</v>
      </c>
      <c r="H43" s="410"/>
    </row>
    <row r="44" spans="1:8" s="420" customFormat="1" ht="30" customHeight="1">
      <c r="A44" s="276">
        <v>10.3</v>
      </c>
      <c r="B44" s="226" t="s">
        <v>411</v>
      </c>
      <c r="C44" s="448" t="s">
        <v>85</v>
      </c>
      <c r="D44" s="219">
        <v>1</v>
      </c>
      <c r="E44" s="962">
        <v>0</v>
      </c>
      <c r="F44" s="221"/>
      <c r="G44" s="222">
        <f t="shared" si="1"/>
        <v>0</v>
      </c>
      <c r="H44" s="410"/>
    </row>
    <row r="45" spans="1:8" s="420" customFormat="1" ht="20.100000000000001" customHeight="1">
      <c r="A45" s="437"/>
      <c r="B45" s="453" t="s">
        <v>890</v>
      </c>
      <c r="C45" s="438"/>
      <c r="D45" s="438"/>
      <c r="E45" s="438"/>
      <c r="F45" s="438"/>
      <c r="G45" s="455"/>
      <c r="H45" s="439"/>
    </row>
    <row r="46" spans="1:8" s="420" customFormat="1" ht="30" customHeight="1">
      <c r="A46" s="276">
        <v>10.31</v>
      </c>
      <c r="B46" s="226" t="s">
        <v>889</v>
      </c>
      <c r="C46" s="273" t="s">
        <v>1412</v>
      </c>
      <c r="D46" s="962">
        <v>0</v>
      </c>
      <c r="E46" s="962">
        <v>0</v>
      </c>
      <c r="F46" s="221"/>
      <c r="G46" s="222">
        <f>E46*D46</f>
        <v>0</v>
      </c>
      <c r="H46" s="410"/>
    </row>
    <row r="47" spans="1:8" s="420" customFormat="1" ht="30" customHeight="1">
      <c r="A47" s="276">
        <v>10.32</v>
      </c>
      <c r="B47" s="226" t="s">
        <v>252</v>
      </c>
      <c r="C47" s="273" t="s">
        <v>1412</v>
      </c>
      <c r="D47" s="962">
        <v>0</v>
      </c>
      <c r="E47" s="962">
        <v>0</v>
      </c>
      <c r="F47" s="221"/>
      <c r="G47" s="222">
        <f>E47*D47</f>
        <v>0</v>
      </c>
      <c r="H47" s="410"/>
    </row>
    <row r="48" spans="1:8" ht="30" customHeight="1">
      <c r="A48" s="276">
        <v>10.33</v>
      </c>
      <c r="B48" s="226" t="s">
        <v>890</v>
      </c>
      <c r="C48" s="220" t="s">
        <v>85</v>
      </c>
      <c r="D48" s="219">
        <v>1</v>
      </c>
      <c r="E48" s="962">
        <v>0</v>
      </c>
      <c r="F48" s="221"/>
      <c r="G48" s="222">
        <f>E48*D48</f>
        <v>0</v>
      </c>
      <c r="H48" s="410"/>
    </row>
    <row r="49" spans="1:8" ht="30" customHeight="1">
      <c r="A49" s="276">
        <v>10.34</v>
      </c>
      <c r="B49" s="226" t="s">
        <v>253</v>
      </c>
      <c r="C49" s="220" t="s">
        <v>85</v>
      </c>
      <c r="D49" s="219">
        <v>1</v>
      </c>
      <c r="E49" s="962">
        <v>0</v>
      </c>
      <c r="F49" s="221"/>
      <c r="G49" s="222">
        <f>E49*D49</f>
        <v>0</v>
      </c>
      <c r="H49" s="410"/>
    </row>
    <row r="50" spans="1:8" s="420" customFormat="1" ht="30" customHeight="1">
      <c r="A50" s="276">
        <v>10.35</v>
      </c>
      <c r="B50" s="226" t="s">
        <v>891</v>
      </c>
      <c r="C50" s="220" t="s">
        <v>85</v>
      </c>
      <c r="D50" s="219">
        <v>1</v>
      </c>
      <c r="E50" s="962">
        <v>0</v>
      </c>
      <c r="F50" s="221"/>
      <c r="G50" s="222">
        <f>E50*D50</f>
        <v>0</v>
      </c>
      <c r="H50" s="410"/>
    </row>
    <row r="51" spans="1:8" s="420" customFormat="1" ht="20.100000000000001" customHeight="1" thickBot="1">
      <c r="A51" s="2462" t="s">
        <v>637</v>
      </c>
      <c r="B51" s="2463"/>
      <c r="C51" s="2463"/>
      <c r="D51" s="2463"/>
      <c r="E51" s="2464"/>
      <c r="F51" s="431"/>
      <c r="G51" s="248">
        <f>SUM(G11:G13,G15:G18,G20:G22,G24:G36,G38:G44,G46:G50)</f>
        <v>0</v>
      </c>
      <c r="H51" s="432"/>
    </row>
    <row r="52" spans="1:8" s="420" customFormat="1" ht="40.5" customHeight="1">
      <c r="A52" s="433"/>
      <c r="B52" s="2465" t="s">
        <v>1059</v>
      </c>
      <c r="C52" s="2466"/>
      <c r="D52" s="2466"/>
      <c r="E52" s="2466"/>
      <c r="F52" s="2466"/>
      <c r="G52" s="2466"/>
      <c r="H52" s="2467"/>
    </row>
  </sheetData>
  <mergeCells count="11">
    <mergeCell ref="A4:B4"/>
    <mergeCell ref="C4:F4"/>
    <mergeCell ref="G4:H4"/>
    <mergeCell ref="A5:B5"/>
    <mergeCell ref="C5:F5"/>
    <mergeCell ref="G5:H5"/>
    <mergeCell ref="A51:E51"/>
    <mergeCell ref="B52:H52"/>
    <mergeCell ref="A6:B6"/>
    <mergeCell ref="C6:F6"/>
    <mergeCell ref="G6:H6"/>
  </mergeCells>
  <phoneticPr fontId="0" type="noConversion"/>
  <printOptions horizontalCentered="1"/>
  <pageMargins left="0.5" right="0.5" top="0.73" bottom="0.82" header="0.5" footer="0.5"/>
  <pageSetup scale="58" fitToHeight="2" orientation="landscape" r:id="rId1"/>
  <headerFooter alignWithMargins="0">
    <oddHeader>&amp;C&amp;"Arial,Bold"&amp;12&amp;UProject Activity 10: BDR</oddHeader>
    <oddFooter>&amp;L&amp;F
&amp;A&amp;CPage &amp;P of &amp;N&amp;R&amp;D</oddFooter>
  </headerFooter>
  <rowBreaks count="1" manualBreakCount="1">
    <brk id="29" max="7"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pageSetUpPr autoPageBreaks="0"/>
  </sheetPr>
  <dimension ref="A1:H22"/>
  <sheetViews>
    <sheetView showGridLines="0" showRuler="0" zoomScale="80" zoomScaleNormal="80" zoomScaleSheetLayoutView="100" workbookViewId="0"/>
  </sheetViews>
  <sheetFormatPr defaultColWidth="9.109375" defaultRowHeight="13.2"/>
  <cols>
    <col min="1" max="1" width="6.33203125" style="341" customWidth="1"/>
    <col min="2" max="2" width="50.6640625" style="341" customWidth="1"/>
    <col min="3" max="5" width="12.6640625" style="341" customWidth="1"/>
    <col min="6" max="6" width="12.6640625" style="392" customWidth="1"/>
    <col min="7" max="7" width="12.6640625" style="341" customWidth="1"/>
    <col min="8" max="8" width="100.6640625" style="4" customWidth="1"/>
    <col min="9" max="16384" width="9.109375" style="4"/>
  </cols>
  <sheetData>
    <row r="1" spans="1:8" s="422" customFormat="1" ht="20.100000000000001" customHeight="1">
      <c r="A1" s="362" t="s">
        <v>592</v>
      </c>
      <c r="B1" s="430"/>
      <c r="C1" s="430"/>
      <c r="D1" s="430"/>
      <c r="E1" s="430"/>
      <c r="F1" s="430"/>
      <c r="G1" s="430"/>
      <c r="H1" s="897" t="str">
        <f>'Project Information'!$B$3</f>
        <v>Enter project name &amp; description</v>
      </c>
    </row>
    <row r="2" spans="1:8" s="422" customFormat="1" ht="20.100000000000001" customHeight="1">
      <c r="A2" s="362" t="s">
        <v>254</v>
      </c>
      <c r="B2" s="430"/>
      <c r="C2" s="430"/>
      <c r="D2" s="430"/>
      <c r="E2" s="430"/>
      <c r="F2" s="430"/>
      <c r="G2" s="430"/>
      <c r="H2" s="897" t="str">
        <f>'Project Information'!$B$1</f>
        <v>999999-1-32-01</v>
      </c>
    </row>
    <row r="3" spans="1:8" s="225" customFormat="1" ht="14.4" thickBot="1">
      <c r="A3" s="311"/>
      <c r="B3" s="312"/>
      <c r="C3" s="313"/>
      <c r="D3" s="313"/>
      <c r="E3" s="313"/>
      <c r="F3" s="313"/>
      <c r="G3" s="313"/>
      <c r="H3" s="313"/>
    </row>
    <row r="4" spans="1:8" s="225" customFormat="1" ht="28.5" customHeight="1" thickBot="1">
      <c r="A4" s="2086" t="s">
        <v>1396</v>
      </c>
      <c r="B4" s="2087"/>
      <c r="C4" s="2088" t="s">
        <v>1397</v>
      </c>
      <c r="D4" s="2088"/>
      <c r="E4" s="2088"/>
      <c r="F4" s="2088"/>
      <c r="G4" s="2339" t="s">
        <v>1398</v>
      </c>
      <c r="H4" s="2469"/>
    </row>
    <row r="5" spans="1:8" s="225" customFormat="1" ht="28.5" customHeight="1">
      <c r="A5" s="2089" t="s">
        <v>1400</v>
      </c>
      <c r="B5" s="2090"/>
      <c r="C5" s="2091"/>
      <c r="D5" s="2091"/>
      <c r="E5" s="2091"/>
      <c r="F5" s="2091"/>
      <c r="G5" s="2342"/>
      <c r="H5" s="2470"/>
    </row>
    <row r="6" spans="1:8" s="225" customFormat="1" ht="28.5" customHeight="1" thickBot="1">
      <c r="A6" s="2083" t="s">
        <v>1399</v>
      </c>
      <c r="B6" s="2084"/>
      <c r="C6" s="2085"/>
      <c r="D6" s="2085"/>
      <c r="E6" s="2085"/>
      <c r="F6" s="2085"/>
      <c r="G6" s="2329"/>
      <c r="H6" s="2468"/>
    </row>
    <row r="7" spans="1:8" s="225" customFormat="1" ht="15.6">
      <c r="A7" s="898" t="s">
        <v>1430</v>
      </c>
      <c r="B7" s="270"/>
    </row>
    <row r="8" spans="1:8" s="225" customFormat="1" ht="15" customHeight="1" thickBot="1">
      <c r="A8" s="898"/>
      <c r="B8" s="270"/>
    </row>
    <row r="9" spans="1:8" s="3" customFormat="1" ht="48" customHeight="1">
      <c r="A9" s="318" t="s">
        <v>79</v>
      </c>
      <c r="B9" s="300" t="s">
        <v>190</v>
      </c>
      <c r="C9" s="266" t="s">
        <v>87</v>
      </c>
      <c r="D9" s="266" t="s">
        <v>45</v>
      </c>
      <c r="E9" s="266" t="s">
        <v>706</v>
      </c>
      <c r="F9" s="266" t="s">
        <v>165</v>
      </c>
      <c r="G9" s="266" t="s">
        <v>102</v>
      </c>
      <c r="H9" s="319" t="s">
        <v>164</v>
      </c>
    </row>
    <row r="10" spans="1:8" s="420" customFormat="1" ht="20.100000000000001" customHeight="1">
      <c r="A10" s="458"/>
      <c r="B10" s="404" t="s">
        <v>255</v>
      </c>
      <c r="C10" s="349"/>
      <c r="D10" s="349"/>
      <c r="E10" s="349"/>
      <c r="F10" s="349"/>
      <c r="G10" s="349"/>
      <c r="H10" s="459"/>
    </row>
    <row r="11" spans="1:8" s="420" customFormat="1" ht="30" customHeight="1">
      <c r="A11" s="457">
        <v>11.1</v>
      </c>
      <c r="B11" s="226" t="s">
        <v>894</v>
      </c>
      <c r="C11" s="220" t="s">
        <v>85</v>
      </c>
      <c r="D11" s="219">
        <v>1</v>
      </c>
      <c r="E11" s="962">
        <v>0</v>
      </c>
      <c r="F11" s="219"/>
      <c r="G11" s="222">
        <f>D11*E11</f>
        <v>0</v>
      </c>
      <c r="H11" s="410"/>
    </row>
    <row r="12" spans="1:8" s="420" customFormat="1" ht="30" customHeight="1">
      <c r="A12" s="457">
        <v>11.2</v>
      </c>
      <c r="B12" s="226" t="s">
        <v>896</v>
      </c>
      <c r="C12" s="220" t="s">
        <v>100</v>
      </c>
      <c r="D12" s="962">
        <v>0</v>
      </c>
      <c r="E12" s="962">
        <v>0</v>
      </c>
      <c r="F12" s="219">
        <f>D12</f>
        <v>0</v>
      </c>
      <c r="G12" s="222">
        <f>D12*E12</f>
        <v>0</v>
      </c>
      <c r="H12" s="410"/>
    </row>
    <row r="13" spans="1:8" s="420" customFormat="1" ht="30" customHeight="1">
      <c r="A13" s="457">
        <v>11.3</v>
      </c>
      <c r="B13" s="226" t="s">
        <v>898</v>
      </c>
      <c r="C13" s="220" t="s">
        <v>100</v>
      </c>
      <c r="D13" s="962">
        <v>0</v>
      </c>
      <c r="E13" s="962">
        <v>0</v>
      </c>
      <c r="F13" s="219">
        <f>D13</f>
        <v>0</v>
      </c>
      <c r="G13" s="222">
        <f>D13*E13</f>
        <v>0</v>
      </c>
      <c r="H13" s="410"/>
    </row>
    <row r="14" spans="1:8" s="420" customFormat="1" ht="20.100000000000001" customHeight="1">
      <c r="A14" s="440"/>
      <c r="B14" s="2471" t="s">
        <v>899</v>
      </c>
      <c r="C14" s="2472"/>
      <c r="D14" s="2472"/>
      <c r="E14" s="2472"/>
      <c r="F14" s="2472"/>
      <c r="G14" s="2472"/>
      <c r="H14" s="2473"/>
    </row>
    <row r="15" spans="1:8" s="420" customFormat="1" ht="30" customHeight="1">
      <c r="A15" s="457">
        <v>11.4</v>
      </c>
      <c r="B15" s="226" t="s">
        <v>901</v>
      </c>
      <c r="C15" s="220" t="s">
        <v>620</v>
      </c>
      <c r="D15" s="962">
        <v>0</v>
      </c>
      <c r="E15" s="962">
        <v>0</v>
      </c>
      <c r="F15" s="219"/>
      <c r="G15" s="222">
        <f>D15*E15</f>
        <v>0</v>
      </c>
      <c r="H15" s="410"/>
    </row>
    <row r="16" spans="1:8" s="420" customFormat="1" ht="30" customHeight="1">
      <c r="A16" s="457">
        <v>11.5</v>
      </c>
      <c r="B16" s="226" t="s">
        <v>903</v>
      </c>
      <c r="C16" s="220" t="s">
        <v>100</v>
      </c>
      <c r="D16" s="962">
        <v>0</v>
      </c>
      <c r="E16" s="962">
        <v>0</v>
      </c>
      <c r="F16" s="219">
        <f>D16</f>
        <v>0</v>
      </c>
      <c r="G16" s="222">
        <f>D16*E16</f>
        <v>0</v>
      </c>
      <c r="H16" s="410"/>
    </row>
    <row r="17" spans="1:8" s="420" customFormat="1" ht="20.100000000000001" customHeight="1">
      <c r="A17" s="440"/>
      <c r="B17" s="2471" t="s">
        <v>904</v>
      </c>
      <c r="C17" s="2472"/>
      <c r="D17" s="2472"/>
      <c r="E17" s="2472"/>
      <c r="F17" s="2472"/>
      <c r="G17" s="2472"/>
      <c r="H17" s="2473"/>
    </row>
    <row r="18" spans="1:8" s="420" customFormat="1" ht="30" customHeight="1">
      <c r="A18" s="457">
        <v>11.6</v>
      </c>
      <c r="B18" s="226" t="s">
        <v>430</v>
      </c>
      <c r="C18" s="220" t="s">
        <v>620</v>
      </c>
      <c r="D18" s="962">
        <v>0</v>
      </c>
      <c r="E18" s="962">
        <v>0</v>
      </c>
      <c r="F18" s="219"/>
      <c r="G18" s="222">
        <f>D18*E18</f>
        <v>0</v>
      </c>
      <c r="H18" s="410"/>
    </row>
    <row r="19" spans="1:8" s="420" customFormat="1" ht="30" customHeight="1">
      <c r="A19" s="457">
        <v>11.7</v>
      </c>
      <c r="B19" s="226" t="s">
        <v>431</v>
      </c>
      <c r="C19" s="220" t="s">
        <v>100</v>
      </c>
      <c r="D19" s="962">
        <v>0</v>
      </c>
      <c r="E19" s="962">
        <v>0</v>
      </c>
      <c r="F19" s="219">
        <f>D19</f>
        <v>0</v>
      </c>
      <c r="G19" s="222">
        <f>D19*E19</f>
        <v>0</v>
      </c>
      <c r="H19" s="410"/>
    </row>
    <row r="20" spans="1:8" s="420" customFormat="1" ht="20.100000000000001" customHeight="1">
      <c r="A20" s="440"/>
      <c r="B20" s="2471" t="s">
        <v>261</v>
      </c>
      <c r="C20" s="2472"/>
      <c r="D20" s="2472"/>
      <c r="E20" s="2472"/>
      <c r="F20" s="2472"/>
      <c r="G20" s="2472"/>
      <c r="H20" s="2473"/>
    </row>
    <row r="21" spans="1:8" s="420" customFormat="1" ht="30" customHeight="1">
      <c r="A21" s="457">
        <v>11.8</v>
      </c>
      <c r="B21" s="226" t="s">
        <v>928</v>
      </c>
      <c r="C21" s="220" t="s">
        <v>141</v>
      </c>
      <c r="D21" s="221">
        <v>0</v>
      </c>
      <c r="E21" s="221">
        <v>0</v>
      </c>
      <c r="F21" s="219"/>
      <c r="G21" s="222">
        <f>D21*E21</f>
        <v>0</v>
      </c>
      <c r="H21" s="410"/>
    </row>
    <row r="22" spans="1:8" ht="20.100000000000001" customHeight="1" thickBot="1">
      <c r="A22" s="2462" t="s">
        <v>302</v>
      </c>
      <c r="B22" s="2463"/>
      <c r="C22" s="2463"/>
      <c r="D22" s="2463"/>
      <c r="E22" s="2464"/>
      <c r="F22" s="461">
        <f>SUM(F11:F13,F15:F16,F18:F19,F21)</f>
        <v>0</v>
      </c>
      <c r="G22" s="462">
        <f>SUM(G11:G13,G15:G16,G18:G19,G21)</f>
        <v>0</v>
      </c>
      <c r="H22" s="460"/>
    </row>
  </sheetData>
  <mergeCells count="13">
    <mergeCell ref="A22:E22"/>
    <mergeCell ref="B14:H14"/>
    <mergeCell ref="B17:H17"/>
    <mergeCell ref="B20:H20"/>
    <mergeCell ref="A4:B4"/>
    <mergeCell ref="C4:F4"/>
    <mergeCell ref="G4:H4"/>
    <mergeCell ref="A5:B5"/>
    <mergeCell ref="C5:F5"/>
    <mergeCell ref="G5:H5"/>
    <mergeCell ref="A6:B6"/>
    <mergeCell ref="C6:F6"/>
    <mergeCell ref="G6:H6"/>
  </mergeCells>
  <phoneticPr fontId="0" type="noConversion"/>
  <printOptions horizontalCentered="1"/>
  <pageMargins left="0.5" right="0.5" top="1" bottom="1" header="0.5" footer="0.5"/>
  <pageSetup scale="46" orientation="landscape" r:id="rId1"/>
  <headerFooter alignWithMargins="0">
    <oddHeader>&amp;C&amp;"Arial,Bold"&amp;12&amp;UProject Activity 11: Temporary Bridge</oddHeader>
    <oddFooter>&amp;L&amp;F
&amp;A&amp;CPage &amp;P of &amp;N&amp;R&amp;D</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8">
    <pageSetUpPr autoPageBreaks="0"/>
  </sheetPr>
  <dimension ref="A1:H47"/>
  <sheetViews>
    <sheetView showGridLines="0" showRuler="0" zoomScale="85" zoomScaleNormal="85" zoomScaleSheetLayoutView="100" workbookViewId="0"/>
  </sheetViews>
  <sheetFormatPr defaultColWidth="9.109375" defaultRowHeight="13.2"/>
  <cols>
    <col min="1" max="1" width="6.33203125" style="341" customWidth="1"/>
    <col min="2" max="2" width="50.6640625" style="341" customWidth="1"/>
    <col min="3" max="5" width="12.6640625" style="341" customWidth="1"/>
    <col min="6" max="6" width="12.6640625" style="392" customWidth="1"/>
    <col min="7" max="7" width="12.6640625" style="341" customWidth="1"/>
    <col min="8" max="8" width="100.6640625" style="4" customWidth="1"/>
    <col min="9" max="16384" width="9.109375" style="4"/>
  </cols>
  <sheetData>
    <row r="1" spans="1:8" s="422" customFormat="1" ht="20.100000000000001" customHeight="1">
      <c r="A1" s="362" t="s">
        <v>592</v>
      </c>
      <c r="B1" s="430"/>
      <c r="C1" s="430"/>
      <c r="D1" s="430"/>
      <c r="E1" s="430"/>
      <c r="F1" s="430"/>
      <c r="G1" s="430"/>
      <c r="H1" s="897" t="str">
        <f>'Project Information'!$B$3</f>
        <v>Enter project name &amp; description</v>
      </c>
    </row>
    <row r="2" spans="1:8" s="422" customFormat="1" ht="20.100000000000001" customHeight="1">
      <c r="A2" s="362" t="s">
        <v>254</v>
      </c>
      <c r="B2" s="430"/>
      <c r="C2" s="430"/>
      <c r="D2" s="430"/>
      <c r="E2" s="430"/>
      <c r="F2" s="430"/>
      <c r="G2" s="430"/>
      <c r="H2" s="897" t="str">
        <f>'Project Information'!$B$1</f>
        <v>999999-1-32-01</v>
      </c>
    </row>
    <row r="3" spans="1:8" s="225" customFormat="1" ht="14.4" thickBot="1">
      <c r="A3" s="311"/>
      <c r="B3" s="312"/>
      <c r="C3" s="313"/>
      <c r="D3" s="313"/>
      <c r="E3" s="313"/>
      <c r="F3" s="313"/>
      <c r="G3" s="313"/>
      <c r="H3" s="313"/>
    </row>
    <row r="4" spans="1:8" s="225" customFormat="1" ht="28.5" customHeight="1" thickBot="1">
      <c r="A4" s="2086" t="s">
        <v>1396</v>
      </c>
      <c r="B4" s="2087"/>
      <c r="C4" s="2088" t="s">
        <v>1397</v>
      </c>
      <c r="D4" s="2088"/>
      <c r="E4" s="2088"/>
      <c r="F4" s="2088"/>
      <c r="G4" s="2339" t="s">
        <v>1398</v>
      </c>
      <c r="H4" s="2469"/>
    </row>
    <row r="5" spans="1:8" s="225" customFormat="1" ht="28.5" customHeight="1">
      <c r="A5" s="2089" t="s">
        <v>1400</v>
      </c>
      <c r="B5" s="2090"/>
      <c r="C5" s="2091"/>
      <c r="D5" s="2091"/>
      <c r="E5" s="2091"/>
      <c r="F5" s="2091"/>
      <c r="G5" s="2342"/>
      <c r="H5" s="2470"/>
    </row>
    <row r="6" spans="1:8" s="225" customFormat="1" ht="28.5" customHeight="1" thickBot="1">
      <c r="A6" s="2083" t="s">
        <v>1399</v>
      </c>
      <c r="B6" s="2084"/>
      <c r="C6" s="2085"/>
      <c r="D6" s="2085"/>
      <c r="E6" s="2085"/>
      <c r="F6" s="2085"/>
      <c r="G6" s="2329"/>
      <c r="H6" s="2468"/>
    </row>
    <row r="7" spans="1:8" s="225" customFormat="1" ht="15.6">
      <c r="A7" s="898" t="s">
        <v>1430</v>
      </c>
      <c r="B7" s="270"/>
    </row>
    <row r="8" spans="1:8" s="225" customFormat="1" ht="15" customHeight="1" thickBot="1">
      <c r="A8" s="898"/>
      <c r="B8" s="270"/>
    </row>
    <row r="9" spans="1:8" ht="48" customHeight="1">
      <c r="A9" s="318" t="s">
        <v>79</v>
      </c>
      <c r="B9" s="300" t="s">
        <v>190</v>
      </c>
      <c r="C9" s="266" t="s">
        <v>87</v>
      </c>
      <c r="D9" s="266" t="s">
        <v>45</v>
      </c>
      <c r="E9" s="266" t="s">
        <v>706</v>
      </c>
      <c r="F9" s="266" t="s">
        <v>165</v>
      </c>
      <c r="G9" s="266" t="s">
        <v>102</v>
      </c>
      <c r="H9" s="319" t="s">
        <v>164</v>
      </c>
    </row>
    <row r="10" spans="1:8" s="420" customFormat="1" ht="20.100000000000001" customHeight="1">
      <c r="A10" s="465"/>
      <c r="B10" s="2471" t="s">
        <v>893</v>
      </c>
      <c r="C10" s="2474"/>
      <c r="D10" s="2474"/>
      <c r="E10" s="2474"/>
      <c r="F10" s="2474"/>
      <c r="G10" s="2474"/>
      <c r="H10" s="2475"/>
    </row>
    <row r="11" spans="1:8" s="420" customFormat="1" ht="30" customHeight="1">
      <c r="A11" s="347">
        <v>12.1</v>
      </c>
      <c r="B11" s="226" t="s">
        <v>894</v>
      </c>
      <c r="C11" s="220" t="s">
        <v>85</v>
      </c>
      <c r="D11" s="222">
        <v>1</v>
      </c>
      <c r="E11" s="962">
        <v>0</v>
      </c>
      <c r="F11" s="316"/>
      <c r="G11" s="222">
        <f t="shared" ref="G11:G16" si="0">D11*E11</f>
        <v>0</v>
      </c>
      <c r="H11" s="410"/>
    </row>
    <row r="12" spans="1:8" s="420" customFormat="1" ht="30" customHeight="1">
      <c r="A12" s="347">
        <v>12.2</v>
      </c>
      <c r="B12" s="226" t="s">
        <v>895</v>
      </c>
      <c r="C12" s="220" t="s">
        <v>491</v>
      </c>
      <c r="D12" s="962">
        <v>0</v>
      </c>
      <c r="E12" s="962">
        <v>0</v>
      </c>
      <c r="F12" s="316"/>
      <c r="G12" s="222">
        <f t="shared" si="0"/>
        <v>0</v>
      </c>
      <c r="H12" s="410"/>
    </row>
    <row r="13" spans="1:8" s="420" customFormat="1" ht="30" customHeight="1">
      <c r="A13" s="347">
        <v>12.3</v>
      </c>
      <c r="B13" s="226" t="s">
        <v>896</v>
      </c>
      <c r="C13" s="220" t="s">
        <v>100</v>
      </c>
      <c r="D13" s="962">
        <v>0</v>
      </c>
      <c r="E13" s="962">
        <v>0</v>
      </c>
      <c r="F13" s="219">
        <f>D13</f>
        <v>0</v>
      </c>
      <c r="G13" s="222">
        <f t="shared" si="0"/>
        <v>0</v>
      </c>
      <c r="H13" s="410"/>
    </row>
    <row r="14" spans="1:8" s="420" customFormat="1" ht="30" customHeight="1">
      <c r="A14" s="347">
        <v>12.4</v>
      </c>
      <c r="B14" s="226" t="s">
        <v>892</v>
      </c>
      <c r="C14" s="220" t="s">
        <v>100</v>
      </c>
      <c r="D14" s="962">
        <v>0</v>
      </c>
      <c r="E14" s="962">
        <v>0</v>
      </c>
      <c r="F14" s="219">
        <f>D14</f>
        <v>0</v>
      </c>
      <c r="G14" s="222">
        <f t="shared" si="0"/>
        <v>0</v>
      </c>
      <c r="H14" s="410"/>
    </row>
    <row r="15" spans="1:8" s="420" customFormat="1" ht="30" customHeight="1">
      <c r="A15" s="347">
        <v>12.5</v>
      </c>
      <c r="B15" s="226" t="s">
        <v>897</v>
      </c>
      <c r="C15" s="220" t="s">
        <v>100</v>
      </c>
      <c r="D15" s="962">
        <v>0</v>
      </c>
      <c r="E15" s="962">
        <v>0</v>
      </c>
      <c r="F15" s="219">
        <f>D15</f>
        <v>0</v>
      </c>
      <c r="G15" s="222">
        <f t="shared" si="0"/>
        <v>0</v>
      </c>
      <c r="H15" s="410"/>
    </row>
    <row r="16" spans="1:8" s="420" customFormat="1" ht="30" customHeight="1">
      <c r="A16" s="347">
        <v>12.6</v>
      </c>
      <c r="B16" s="226" t="s">
        <v>898</v>
      </c>
      <c r="C16" s="220" t="s">
        <v>100</v>
      </c>
      <c r="D16" s="962">
        <v>0</v>
      </c>
      <c r="E16" s="962">
        <v>0</v>
      </c>
      <c r="F16" s="219">
        <f>D16</f>
        <v>0</v>
      </c>
      <c r="G16" s="222">
        <f t="shared" si="0"/>
        <v>0</v>
      </c>
      <c r="H16" s="410"/>
    </row>
    <row r="17" spans="1:8" s="420" customFormat="1" ht="20.100000000000001" customHeight="1">
      <c r="A17" s="463"/>
      <c r="B17" s="2471" t="s">
        <v>899</v>
      </c>
      <c r="C17" s="2474"/>
      <c r="D17" s="2474"/>
      <c r="E17" s="2474"/>
      <c r="F17" s="2474"/>
      <c r="G17" s="2474"/>
      <c r="H17" s="2475"/>
    </row>
    <row r="18" spans="1:8" s="420" customFormat="1" ht="30" customHeight="1">
      <c r="A18" s="347">
        <v>12.7</v>
      </c>
      <c r="B18" s="226" t="s">
        <v>900</v>
      </c>
      <c r="C18" s="220" t="s">
        <v>625</v>
      </c>
      <c r="D18" s="962">
        <v>0</v>
      </c>
      <c r="E18" s="962">
        <v>0</v>
      </c>
      <c r="F18" s="316"/>
      <c r="G18" s="222">
        <f>D18*E18</f>
        <v>0</v>
      </c>
      <c r="H18" s="410"/>
    </row>
    <row r="19" spans="1:8" s="420" customFormat="1" ht="30" customHeight="1">
      <c r="A19" s="347">
        <v>12.8</v>
      </c>
      <c r="B19" s="226" t="s">
        <v>901</v>
      </c>
      <c r="C19" s="220" t="s">
        <v>620</v>
      </c>
      <c r="D19" s="962">
        <v>0</v>
      </c>
      <c r="E19" s="962">
        <v>0</v>
      </c>
      <c r="F19" s="316"/>
      <c r="G19" s="222">
        <f>D19*E19</f>
        <v>0</v>
      </c>
      <c r="H19" s="410"/>
    </row>
    <row r="20" spans="1:8" s="420" customFormat="1" ht="30" customHeight="1">
      <c r="A20" s="347">
        <v>12.9</v>
      </c>
      <c r="B20" s="226" t="s">
        <v>902</v>
      </c>
      <c r="C20" s="220" t="s">
        <v>100</v>
      </c>
      <c r="D20" s="962">
        <v>0</v>
      </c>
      <c r="E20" s="962">
        <v>0</v>
      </c>
      <c r="F20" s="219">
        <f>D20</f>
        <v>0</v>
      </c>
      <c r="G20" s="222">
        <f>D20*E20</f>
        <v>0</v>
      </c>
      <c r="H20" s="410"/>
    </row>
    <row r="21" spans="1:8" s="420" customFormat="1" ht="30" customHeight="1">
      <c r="A21" s="276">
        <v>12.1</v>
      </c>
      <c r="B21" s="226" t="s">
        <v>903</v>
      </c>
      <c r="C21" s="220" t="s">
        <v>100</v>
      </c>
      <c r="D21" s="962">
        <v>0</v>
      </c>
      <c r="E21" s="962">
        <v>0</v>
      </c>
      <c r="F21" s="219">
        <f>D21</f>
        <v>0</v>
      </c>
      <c r="G21" s="222">
        <f>D21*E21</f>
        <v>0</v>
      </c>
      <c r="H21" s="410"/>
    </row>
    <row r="22" spans="1:8" s="420" customFormat="1" ht="20.100000000000001" customHeight="1">
      <c r="A22" s="463"/>
      <c r="B22" s="2471" t="s">
        <v>904</v>
      </c>
      <c r="C22" s="2474"/>
      <c r="D22" s="2474"/>
      <c r="E22" s="2474"/>
      <c r="F22" s="2474"/>
      <c r="G22" s="2474"/>
      <c r="H22" s="2475"/>
    </row>
    <row r="23" spans="1:8" s="420" customFormat="1" ht="30" customHeight="1">
      <c r="A23" s="276">
        <v>12.11</v>
      </c>
      <c r="B23" s="226" t="s">
        <v>905</v>
      </c>
      <c r="C23" s="220" t="s">
        <v>944</v>
      </c>
      <c r="D23" s="962">
        <v>0</v>
      </c>
      <c r="E23" s="962">
        <v>0</v>
      </c>
      <c r="F23" s="316"/>
      <c r="G23" s="222">
        <f>D23*E23</f>
        <v>0</v>
      </c>
      <c r="H23" s="410"/>
    </row>
    <row r="24" spans="1:8" s="420" customFormat="1" ht="30" customHeight="1">
      <c r="A24" s="276">
        <v>12.12</v>
      </c>
      <c r="B24" s="226" t="s">
        <v>906</v>
      </c>
      <c r="C24" s="220" t="s">
        <v>626</v>
      </c>
      <c r="D24" s="962">
        <v>0</v>
      </c>
      <c r="E24" s="962">
        <v>0</v>
      </c>
      <c r="F24" s="316"/>
      <c r="G24" s="222">
        <f>D24*E24</f>
        <v>0</v>
      </c>
      <c r="H24" s="410"/>
    </row>
    <row r="25" spans="1:8" s="420" customFormat="1" ht="30" customHeight="1">
      <c r="A25" s="276">
        <v>12.13</v>
      </c>
      <c r="B25" s="226" t="s">
        <v>907</v>
      </c>
      <c r="C25" s="220" t="s">
        <v>620</v>
      </c>
      <c r="D25" s="962">
        <v>0</v>
      </c>
      <c r="E25" s="962">
        <v>0</v>
      </c>
      <c r="F25" s="316"/>
      <c r="G25" s="222">
        <f>D25*E25</f>
        <v>0</v>
      </c>
      <c r="H25" s="410"/>
    </row>
    <row r="26" spans="1:8" s="420" customFormat="1" ht="30" customHeight="1">
      <c r="A26" s="276">
        <v>12.14</v>
      </c>
      <c r="B26" s="226" t="s">
        <v>908</v>
      </c>
      <c r="C26" s="220" t="s">
        <v>100</v>
      </c>
      <c r="D26" s="962">
        <v>0</v>
      </c>
      <c r="E26" s="962">
        <v>0</v>
      </c>
      <c r="F26" s="219">
        <f>D26</f>
        <v>0</v>
      </c>
      <c r="G26" s="222">
        <f>D26*E26</f>
        <v>0</v>
      </c>
      <c r="H26" s="410"/>
    </row>
    <row r="27" spans="1:8" s="420" customFormat="1" ht="30" customHeight="1">
      <c r="A27" s="276">
        <v>12.15</v>
      </c>
      <c r="B27" s="226" t="s">
        <v>909</v>
      </c>
      <c r="C27" s="220" t="s">
        <v>100</v>
      </c>
      <c r="D27" s="962">
        <v>0</v>
      </c>
      <c r="E27" s="962">
        <v>0</v>
      </c>
      <c r="F27" s="219">
        <f>D27</f>
        <v>0</v>
      </c>
      <c r="G27" s="222">
        <f>D27*E27</f>
        <v>0</v>
      </c>
      <c r="H27" s="410"/>
    </row>
    <row r="28" spans="1:8" s="420" customFormat="1" ht="20.100000000000001" customHeight="1">
      <c r="A28" s="463"/>
      <c r="B28" s="2471" t="s">
        <v>261</v>
      </c>
      <c r="C28" s="2474"/>
      <c r="D28" s="2474"/>
      <c r="E28" s="2474"/>
      <c r="F28" s="2474"/>
      <c r="G28" s="2474"/>
      <c r="H28" s="2475"/>
    </row>
    <row r="29" spans="1:8" s="420" customFormat="1" ht="30" customHeight="1">
      <c r="A29" s="276">
        <v>12.16</v>
      </c>
      <c r="B29" s="226" t="s">
        <v>928</v>
      </c>
      <c r="C29" s="220" t="s">
        <v>100</v>
      </c>
      <c r="D29" s="962">
        <v>0</v>
      </c>
      <c r="E29" s="962">
        <v>0</v>
      </c>
      <c r="F29" s="219">
        <f>D29</f>
        <v>0</v>
      </c>
      <c r="G29" s="222">
        <f>D29*E29</f>
        <v>0</v>
      </c>
      <c r="H29" s="410"/>
    </row>
    <row r="30" spans="1:8" s="420" customFormat="1" ht="20.100000000000001" customHeight="1">
      <c r="A30" s="463"/>
      <c r="B30" s="2471" t="s">
        <v>264</v>
      </c>
      <c r="C30" s="2474"/>
      <c r="D30" s="2474"/>
      <c r="E30" s="2474"/>
      <c r="F30" s="2474"/>
      <c r="G30" s="2474"/>
      <c r="H30" s="2475"/>
    </row>
    <row r="31" spans="1:8" s="420" customFormat="1" ht="30" customHeight="1">
      <c r="A31" s="276">
        <v>12.17</v>
      </c>
      <c r="B31" s="226" t="s">
        <v>929</v>
      </c>
      <c r="C31" s="220" t="s">
        <v>85</v>
      </c>
      <c r="D31" s="219">
        <v>1</v>
      </c>
      <c r="E31" s="962">
        <v>0</v>
      </c>
      <c r="F31" s="316"/>
      <c r="G31" s="222">
        <f>D31*E31</f>
        <v>0</v>
      </c>
      <c r="H31" s="410"/>
    </row>
    <row r="32" spans="1:8" s="420" customFormat="1" ht="30" customHeight="1">
      <c r="A32" s="276">
        <v>12.18</v>
      </c>
      <c r="B32" s="226" t="s">
        <v>930</v>
      </c>
      <c r="C32" s="220" t="s">
        <v>100</v>
      </c>
      <c r="D32" s="962">
        <v>0</v>
      </c>
      <c r="E32" s="962">
        <v>0</v>
      </c>
      <c r="F32" s="219">
        <f>D32</f>
        <v>0</v>
      </c>
      <c r="G32" s="222">
        <f>D32*E32</f>
        <v>0</v>
      </c>
      <c r="H32" s="410"/>
    </row>
    <row r="33" spans="1:8" s="420" customFormat="1" ht="20.100000000000001" customHeight="1">
      <c r="A33" s="463"/>
      <c r="B33" s="2471" t="s">
        <v>935</v>
      </c>
      <c r="C33" s="2474"/>
      <c r="D33" s="2474"/>
      <c r="E33" s="2474"/>
      <c r="F33" s="2474"/>
      <c r="G33" s="2474"/>
      <c r="H33" s="2475"/>
    </row>
    <row r="34" spans="1:8" s="420" customFormat="1" ht="30" customHeight="1">
      <c r="A34" s="276">
        <v>12.19</v>
      </c>
      <c r="B34" s="464" t="s">
        <v>931</v>
      </c>
      <c r="C34" s="220" t="s">
        <v>491</v>
      </c>
      <c r="D34" s="962">
        <v>0</v>
      </c>
      <c r="E34" s="962">
        <v>0</v>
      </c>
      <c r="F34" s="316"/>
      <c r="G34" s="222">
        <f>D34*E34</f>
        <v>0</v>
      </c>
      <c r="H34" s="410"/>
    </row>
    <row r="35" spans="1:8" s="420" customFormat="1" ht="30" customHeight="1">
      <c r="A35" s="276">
        <v>12.2</v>
      </c>
      <c r="B35" s="226" t="s">
        <v>936</v>
      </c>
      <c r="C35" s="220" t="s">
        <v>100</v>
      </c>
      <c r="D35" s="962">
        <v>0</v>
      </c>
      <c r="E35" s="962">
        <v>0</v>
      </c>
      <c r="F35" s="219">
        <f>D35</f>
        <v>0</v>
      </c>
      <c r="G35" s="222">
        <f>D35*E35</f>
        <v>0</v>
      </c>
      <c r="H35" s="410"/>
    </row>
    <row r="36" spans="1:8" s="420" customFormat="1" ht="30" customHeight="1">
      <c r="A36" s="276">
        <v>12.21</v>
      </c>
      <c r="B36" s="226" t="s">
        <v>937</v>
      </c>
      <c r="C36" s="220" t="s">
        <v>100</v>
      </c>
      <c r="D36" s="962">
        <v>0</v>
      </c>
      <c r="E36" s="962">
        <v>0</v>
      </c>
      <c r="F36" s="219">
        <f>D36</f>
        <v>0</v>
      </c>
      <c r="G36" s="222">
        <f>D36*E36</f>
        <v>0</v>
      </c>
      <c r="H36" s="410"/>
    </row>
    <row r="37" spans="1:8" s="420" customFormat="1" ht="20.100000000000001" customHeight="1">
      <c r="A37" s="463"/>
      <c r="B37" s="2471" t="s">
        <v>938</v>
      </c>
      <c r="C37" s="2474"/>
      <c r="D37" s="2474"/>
      <c r="E37" s="2474"/>
      <c r="F37" s="2474"/>
      <c r="G37" s="2474"/>
      <c r="H37" s="2475"/>
    </row>
    <row r="38" spans="1:8" s="420" customFormat="1" ht="30" customHeight="1">
      <c r="A38" s="276">
        <v>12.22</v>
      </c>
      <c r="B38" s="464" t="s">
        <v>932</v>
      </c>
      <c r="C38" s="273" t="s">
        <v>620</v>
      </c>
      <c r="D38" s="962">
        <v>0</v>
      </c>
      <c r="E38" s="962">
        <v>0</v>
      </c>
      <c r="F38" s="219"/>
      <c r="G38" s="222">
        <f>D38*E38</f>
        <v>0</v>
      </c>
      <c r="H38" s="410"/>
    </row>
    <row r="39" spans="1:8" s="420" customFormat="1" ht="30" customHeight="1">
      <c r="A39" s="276">
        <v>12.23</v>
      </c>
      <c r="B39" s="226" t="s">
        <v>940</v>
      </c>
      <c r="C39" s="220" t="s">
        <v>100</v>
      </c>
      <c r="D39" s="962">
        <v>0</v>
      </c>
      <c r="E39" s="962">
        <v>0</v>
      </c>
      <c r="F39" s="219">
        <f>D39</f>
        <v>0</v>
      </c>
      <c r="G39" s="222">
        <f>D39*E39</f>
        <v>0</v>
      </c>
      <c r="H39" s="410"/>
    </row>
    <row r="40" spans="1:8" s="420" customFormat="1" ht="30" customHeight="1">
      <c r="A40" s="276">
        <v>12.24</v>
      </c>
      <c r="B40" s="226" t="s">
        <v>941</v>
      </c>
      <c r="C40" s="220" t="s">
        <v>100</v>
      </c>
      <c r="D40" s="962">
        <v>0</v>
      </c>
      <c r="E40" s="962">
        <v>0</v>
      </c>
      <c r="F40" s="219">
        <f>D40</f>
        <v>0</v>
      </c>
      <c r="G40" s="222">
        <f>D40*E40</f>
        <v>0</v>
      </c>
      <c r="H40" s="410"/>
    </row>
    <row r="41" spans="1:8" s="420" customFormat="1" ht="30" customHeight="1">
      <c r="A41" s="276">
        <v>12.25</v>
      </c>
      <c r="B41" s="226" t="s">
        <v>942</v>
      </c>
      <c r="C41" s="220" t="s">
        <v>100</v>
      </c>
      <c r="D41" s="962">
        <v>0</v>
      </c>
      <c r="E41" s="962">
        <v>0</v>
      </c>
      <c r="F41" s="219">
        <f>D41</f>
        <v>0</v>
      </c>
      <c r="G41" s="222">
        <f>D41*E41</f>
        <v>0</v>
      </c>
      <c r="H41" s="410"/>
    </row>
    <row r="42" spans="1:8" s="420" customFormat="1" ht="30" customHeight="1">
      <c r="A42" s="276">
        <v>12.26</v>
      </c>
      <c r="B42" s="226" t="s">
        <v>937</v>
      </c>
      <c r="C42" s="220" t="s">
        <v>100</v>
      </c>
      <c r="D42" s="962">
        <v>0</v>
      </c>
      <c r="E42" s="962">
        <v>0</v>
      </c>
      <c r="F42" s="219">
        <f>D42</f>
        <v>0</v>
      </c>
      <c r="G42" s="222">
        <f>D42*E42</f>
        <v>0</v>
      </c>
      <c r="H42" s="410"/>
    </row>
    <row r="43" spans="1:8" s="420" customFormat="1" ht="20.100000000000001" customHeight="1">
      <c r="A43" s="463"/>
      <c r="B43" s="2471" t="s">
        <v>934</v>
      </c>
      <c r="C43" s="2474"/>
      <c r="D43" s="2474"/>
      <c r="E43" s="2474"/>
      <c r="F43" s="2474"/>
      <c r="G43" s="2474"/>
      <c r="H43" s="2475"/>
    </row>
    <row r="44" spans="1:8" s="420" customFormat="1" ht="30" customHeight="1">
      <c r="A44" s="276">
        <v>12.27</v>
      </c>
      <c r="B44" s="226" t="s">
        <v>977</v>
      </c>
      <c r="C44" s="220" t="s">
        <v>100</v>
      </c>
      <c r="D44" s="962">
        <v>0</v>
      </c>
      <c r="E44" s="962">
        <v>0</v>
      </c>
      <c r="F44" s="219">
        <f>D44</f>
        <v>0</v>
      </c>
      <c r="G44" s="222">
        <f>D44*E44</f>
        <v>0</v>
      </c>
      <c r="H44" s="410"/>
    </row>
    <row r="45" spans="1:8" s="420" customFormat="1" ht="20.100000000000001" customHeight="1">
      <c r="A45" s="463"/>
      <c r="B45" s="2471" t="s">
        <v>860</v>
      </c>
      <c r="C45" s="2474"/>
      <c r="D45" s="2474"/>
      <c r="E45" s="2474"/>
      <c r="F45" s="2474"/>
      <c r="G45" s="2474"/>
      <c r="H45" s="2475"/>
    </row>
    <row r="46" spans="1:8" s="420" customFormat="1" ht="30" customHeight="1">
      <c r="A46" s="276">
        <v>12.28</v>
      </c>
      <c r="B46" s="226" t="s">
        <v>265</v>
      </c>
      <c r="C46" s="220" t="s">
        <v>491</v>
      </c>
      <c r="D46" s="962">
        <v>0</v>
      </c>
      <c r="E46" s="962">
        <v>0</v>
      </c>
      <c r="F46" s="219"/>
      <c r="G46" s="222">
        <f>D46*E46</f>
        <v>0</v>
      </c>
      <c r="H46" s="410"/>
    </row>
    <row r="47" spans="1:8" ht="20.100000000000001" customHeight="1" thickBot="1">
      <c r="A47" s="2462" t="s">
        <v>381</v>
      </c>
      <c r="B47" s="2463"/>
      <c r="C47" s="2463"/>
      <c r="D47" s="2463"/>
      <c r="E47" s="2464"/>
      <c r="F47" s="467">
        <f>SUM(F13:F16,F20:F21,F26:F27,F29,F32,F35:F36,F39:F42,F44)</f>
        <v>0</v>
      </c>
      <c r="G47" s="248">
        <f>SUM(G11:G16,G18:G21,G23:G27,G29,G31:G32,G34:G36,G38:G42,G44,G46)</f>
        <v>0</v>
      </c>
      <c r="H47" s="466"/>
    </row>
  </sheetData>
  <mergeCells count="19">
    <mergeCell ref="A6:B6"/>
    <mergeCell ref="C6:F6"/>
    <mergeCell ref="G6:H6"/>
    <mergeCell ref="A4:B4"/>
    <mergeCell ref="C4:F4"/>
    <mergeCell ref="G4:H4"/>
    <mergeCell ref="A5:B5"/>
    <mergeCell ref="C5:F5"/>
    <mergeCell ref="G5:H5"/>
    <mergeCell ref="A47:E47"/>
    <mergeCell ref="B45:H45"/>
    <mergeCell ref="B10:H10"/>
    <mergeCell ref="B17:H17"/>
    <mergeCell ref="B22:H22"/>
    <mergeCell ref="B28:H28"/>
    <mergeCell ref="B30:H30"/>
    <mergeCell ref="B33:H33"/>
    <mergeCell ref="B37:H37"/>
    <mergeCell ref="B43:H43"/>
  </mergeCells>
  <phoneticPr fontId="0" type="noConversion"/>
  <printOptions horizontalCentered="1"/>
  <pageMargins left="0.5" right="0.5" top="1" bottom="1" header="0.5" footer="0.5"/>
  <pageSetup scale="46" fitToHeight="2" orientation="landscape" r:id="rId1"/>
  <headerFooter alignWithMargins="0">
    <oddHeader>&amp;C&amp;"Arial,Bold"&amp;12&amp;UProject Activity 12: Structures- Short Span Concrete</oddHeader>
    <oddFooter>&amp;L&amp;F
&amp;A&amp;CPage &amp;P of &amp;N&amp;R&amp;D</oddFooter>
  </headerFooter>
  <rowBreaks count="1" manualBreakCount="1">
    <brk id="27" max="7"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9">
    <pageSetUpPr autoPageBreaks="0"/>
  </sheetPr>
  <dimension ref="A1:J77"/>
  <sheetViews>
    <sheetView showGridLines="0" showRuler="0" zoomScaleNormal="100" zoomScaleSheetLayoutView="100" workbookViewId="0"/>
  </sheetViews>
  <sheetFormatPr defaultColWidth="9.109375" defaultRowHeight="13.2"/>
  <cols>
    <col min="1" max="1" width="6.33203125" style="341" customWidth="1"/>
    <col min="2" max="2" width="50.6640625" style="341" customWidth="1"/>
    <col min="3" max="5" width="12.6640625" style="341" customWidth="1"/>
    <col min="6" max="6" width="12.6640625" style="392" customWidth="1"/>
    <col min="7" max="7" width="12.6640625" style="341" customWidth="1"/>
    <col min="8" max="8" width="97.33203125" style="4" customWidth="1"/>
    <col min="9" max="16384" width="9.109375" style="4"/>
  </cols>
  <sheetData>
    <row r="1" spans="1:10" s="422" customFormat="1" ht="20.100000000000001" customHeight="1">
      <c r="A1" s="362" t="s">
        <v>592</v>
      </c>
      <c r="B1" s="430"/>
      <c r="C1" s="430"/>
      <c r="D1" s="430"/>
      <c r="E1" s="430"/>
      <c r="F1" s="430"/>
      <c r="G1" s="430"/>
      <c r="H1" s="897" t="str">
        <f>'Project Information'!$B$3</f>
        <v>Enter project name &amp; description</v>
      </c>
    </row>
    <row r="2" spans="1:10" s="422" customFormat="1" ht="20.100000000000001" customHeight="1">
      <c r="A2" s="362" t="s">
        <v>254</v>
      </c>
      <c r="B2" s="430"/>
      <c r="C2" s="430"/>
      <c r="D2" s="430"/>
      <c r="E2" s="430"/>
      <c r="F2" s="430"/>
      <c r="G2" s="430"/>
      <c r="H2" s="897" t="str">
        <f>'Project Information'!$B$1</f>
        <v>999999-1-32-01</v>
      </c>
    </row>
    <row r="3" spans="1:10" s="225" customFormat="1" ht="14.4" thickBot="1">
      <c r="A3" s="311"/>
      <c r="B3" s="312"/>
      <c r="C3" s="313"/>
      <c r="D3" s="313"/>
      <c r="E3" s="313"/>
      <c r="F3" s="313"/>
      <c r="G3" s="313"/>
      <c r="H3" s="313"/>
    </row>
    <row r="4" spans="1:10" s="225" customFormat="1" ht="28.5" customHeight="1" thickBot="1">
      <c r="A4" s="2086" t="s">
        <v>1396</v>
      </c>
      <c r="B4" s="2087"/>
      <c r="C4" s="2088" t="s">
        <v>1397</v>
      </c>
      <c r="D4" s="2088"/>
      <c r="E4" s="2088"/>
      <c r="F4" s="2088"/>
      <c r="G4" s="2339" t="s">
        <v>1398</v>
      </c>
      <c r="H4" s="2469"/>
    </row>
    <row r="5" spans="1:10" s="225" customFormat="1" ht="28.5" customHeight="1">
      <c r="A5" s="2089" t="s">
        <v>1400</v>
      </c>
      <c r="B5" s="2090"/>
      <c r="C5" s="2091"/>
      <c r="D5" s="2091"/>
      <c r="E5" s="2091"/>
      <c r="F5" s="2091"/>
      <c r="G5" s="2342"/>
      <c r="H5" s="2470"/>
    </row>
    <row r="6" spans="1:10" s="225" customFormat="1" ht="28.5" customHeight="1" thickBot="1">
      <c r="A6" s="2083" t="s">
        <v>1399</v>
      </c>
      <c r="B6" s="2084"/>
      <c r="C6" s="2085"/>
      <c r="D6" s="2085"/>
      <c r="E6" s="2085"/>
      <c r="F6" s="2085"/>
      <c r="G6" s="2329"/>
      <c r="H6" s="2468"/>
    </row>
    <row r="7" spans="1:10" s="225" customFormat="1" ht="15.6">
      <c r="A7" s="898" t="s">
        <v>1430</v>
      </c>
      <c r="B7" s="270"/>
    </row>
    <row r="8" spans="1:10" s="225" customFormat="1" ht="15" customHeight="1" thickBot="1">
      <c r="A8" s="898"/>
      <c r="B8" s="270"/>
    </row>
    <row r="9" spans="1:10" s="420" customFormat="1" ht="48" customHeight="1">
      <c r="A9" s="318" t="s">
        <v>79</v>
      </c>
      <c r="B9" s="335" t="s">
        <v>190</v>
      </c>
      <c r="C9" s="266" t="s">
        <v>87</v>
      </c>
      <c r="D9" s="266" t="s">
        <v>45</v>
      </c>
      <c r="E9" s="266" t="s">
        <v>706</v>
      </c>
      <c r="F9" s="266" t="s">
        <v>165</v>
      </c>
      <c r="G9" s="266" t="s">
        <v>102</v>
      </c>
      <c r="H9" s="319" t="s">
        <v>164</v>
      </c>
    </row>
    <row r="10" spans="1:10" s="420" customFormat="1" ht="20.100000000000001" customHeight="1">
      <c r="A10" s="497"/>
      <c r="B10" s="453" t="s">
        <v>893</v>
      </c>
      <c r="C10" s="498"/>
      <c r="D10" s="498"/>
      <c r="E10" s="498"/>
      <c r="F10" s="498"/>
      <c r="G10" s="498"/>
      <c r="H10" s="499"/>
    </row>
    <row r="11" spans="1:10" s="420" customFormat="1" ht="30" customHeight="1">
      <c r="A11" s="457">
        <v>13.1</v>
      </c>
      <c r="B11" s="226" t="s">
        <v>894</v>
      </c>
      <c r="C11" s="273" t="s">
        <v>85</v>
      </c>
      <c r="D11" s="220">
        <v>1</v>
      </c>
      <c r="E11" s="962">
        <v>0</v>
      </c>
      <c r="F11" s="220"/>
      <c r="G11" s="222">
        <f t="shared" ref="G11:G16" si="0">D11*E11</f>
        <v>0</v>
      </c>
      <c r="H11" s="410"/>
    </row>
    <row r="12" spans="1:10" s="420" customFormat="1" ht="30" customHeight="1">
      <c r="A12" s="457">
        <v>13.2</v>
      </c>
      <c r="B12" s="226" t="s">
        <v>895</v>
      </c>
      <c r="C12" s="273" t="s">
        <v>491</v>
      </c>
      <c r="D12" s="962">
        <v>0</v>
      </c>
      <c r="E12" s="962">
        <v>0</v>
      </c>
      <c r="F12" s="220"/>
      <c r="G12" s="222">
        <f t="shared" si="0"/>
        <v>0</v>
      </c>
      <c r="H12" s="410"/>
    </row>
    <row r="13" spans="1:10" s="420" customFormat="1" ht="30" customHeight="1">
      <c r="A13" s="457">
        <v>13.3</v>
      </c>
      <c r="B13" s="226" t="s">
        <v>896</v>
      </c>
      <c r="C13" s="273" t="s">
        <v>100</v>
      </c>
      <c r="D13" s="962">
        <v>0</v>
      </c>
      <c r="E13" s="962">
        <v>0</v>
      </c>
      <c r="F13" s="219">
        <f>D13</f>
        <v>0</v>
      </c>
      <c r="G13" s="222">
        <f t="shared" si="0"/>
        <v>0</v>
      </c>
      <c r="H13" s="410"/>
      <c r="J13" s="500"/>
    </row>
    <row r="14" spans="1:10" s="420" customFormat="1" ht="30" customHeight="1">
      <c r="A14" s="457">
        <v>13.4</v>
      </c>
      <c r="B14" s="226" t="s">
        <v>892</v>
      </c>
      <c r="C14" s="273" t="s">
        <v>100</v>
      </c>
      <c r="D14" s="962">
        <v>0</v>
      </c>
      <c r="E14" s="962">
        <v>0</v>
      </c>
      <c r="F14" s="219">
        <f>D14</f>
        <v>0</v>
      </c>
      <c r="G14" s="222">
        <f t="shared" si="0"/>
        <v>0</v>
      </c>
      <c r="H14" s="410"/>
    </row>
    <row r="15" spans="1:10" s="420" customFormat="1" ht="30" customHeight="1">
      <c r="A15" s="457">
        <v>13.5</v>
      </c>
      <c r="B15" s="226" t="s">
        <v>897</v>
      </c>
      <c r="C15" s="273" t="s">
        <v>100</v>
      </c>
      <c r="D15" s="962">
        <v>0</v>
      </c>
      <c r="E15" s="962">
        <v>0</v>
      </c>
      <c r="F15" s="219">
        <f>D15</f>
        <v>0</v>
      </c>
      <c r="G15" s="222">
        <f t="shared" si="0"/>
        <v>0</v>
      </c>
      <c r="H15" s="410"/>
    </row>
    <row r="16" spans="1:10" s="420" customFormat="1" ht="30" customHeight="1">
      <c r="A16" s="457">
        <v>13.6</v>
      </c>
      <c r="B16" s="226" t="s">
        <v>898</v>
      </c>
      <c r="C16" s="273" t="s">
        <v>100</v>
      </c>
      <c r="D16" s="962">
        <v>0</v>
      </c>
      <c r="E16" s="962">
        <v>0</v>
      </c>
      <c r="F16" s="219">
        <f>D16</f>
        <v>0</v>
      </c>
      <c r="G16" s="222">
        <f t="shared" si="0"/>
        <v>0</v>
      </c>
      <c r="H16" s="410"/>
    </row>
    <row r="17" spans="1:8" s="420" customFormat="1" ht="20.100000000000001" customHeight="1">
      <c r="A17" s="501"/>
      <c r="B17" s="453" t="s">
        <v>899</v>
      </c>
      <c r="C17" s="502"/>
      <c r="D17" s="502"/>
      <c r="E17" s="502"/>
      <c r="F17" s="502"/>
      <c r="G17" s="502"/>
      <c r="H17" s="503"/>
    </row>
    <row r="18" spans="1:8" s="420" customFormat="1" ht="30" customHeight="1">
      <c r="A18" s="436">
        <v>13.7</v>
      </c>
      <c r="B18" s="226" t="s">
        <v>900</v>
      </c>
      <c r="C18" s="273" t="s">
        <v>625</v>
      </c>
      <c r="D18" s="962">
        <v>0</v>
      </c>
      <c r="E18" s="962">
        <v>0</v>
      </c>
      <c r="F18" s="220"/>
      <c r="G18" s="222">
        <f>D18*E18</f>
        <v>0</v>
      </c>
      <c r="H18" s="410"/>
    </row>
    <row r="19" spans="1:8" s="420" customFormat="1" ht="30" customHeight="1">
      <c r="A19" s="436">
        <v>13.8</v>
      </c>
      <c r="B19" s="226" t="s">
        <v>943</v>
      </c>
      <c r="C19" s="273" t="s">
        <v>625</v>
      </c>
      <c r="D19" s="962">
        <v>0</v>
      </c>
      <c r="E19" s="962">
        <v>0</v>
      </c>
      <c r="F19" s="220"/>
      <c r="G19" s="222">
        <f>D19*E19</f>
        <v>0</v>
      </c>
      <c r="H19" s="410"/>
    </row>
    <row r="20" spans="1:8" s="420" customFormat="1" ht="30" customHeight="1">
      <c r="A20" s="436">
        <v>13.9</v>
      </c>
      <c r="B20" s="226" t="s">
        <v>901</v>
      </c>
      <c r="C20" s="273" t="s">
        <v>620</v>
      </c>
      <c r="D20" s="962">
        <v>0</v>
      </c>
      <c r="E20" s="962">
        <v>0</v>
      </c>
      <c r="F20" s="220"/>
      <c r="G20" s="222">
        <f>D20*E20</f>
        <v>0</v>
      </c>
      <c r="H20" s="410"/>
    </row>
    <row r="21" spans="1:8" s="420" customFormat="1" ht="30" customHeight="1">
      <c r="A21" s="441">
        <v>13.1</v>
      </c>
      <c r="B21" s="226" t="s">
        <v>902</v>
      </c>
      <c r="C21" s="273" t="s">
        <v>100</v>
      </c>
      <c r="D21" s="962">
        <v>0</v>
      </c>
      <c r="E21" s="962">
        <v>0</v>
      </c>
      <c r="F21" s="219">
        <f>D21</f>
        <v>0</v>
      </c>
      <c r="G21" s="222">
        <f>D21*E21</f>
        <v>0</v>
      </c>
      <c r="H21" s="410"/>
    </row>
    <row r="22" spans="1:8" s="420" customFormat="1" ht="30" customHeight="1">
      <c r="A22" s="441">
        <v>13.11</v>
      </c>
      <c r="B22" s="226" t="s">
        <v>903</v>
      </c>
      <c r="C22" s="273" t="s">
        <v>100</v>
      </c>
      <c r="D22" s="962">
        <v>0</v>
      </c>
      <c r="E22" s="962">
        <v>0</v>
      </c>
      <c r="F22" s="219">
        <f>D22</f>
        <v>0</v>
      </c>
      <c r="G22" s="222">
        <f>D22*E22</f>
        <v>0</v>
      </c>
      <c r="H22" s="410"/>
    </row>
    <row r="23" spans="1:8" s="420" customFormat="1" ht="20.100000000000001" customHeight="1">
      <c r="A23" s="501"/>
      <c r="B23" s="453" t="s">
        <v>904</v>
      </c>
      <c r="C23" s="502"/>
      <c r="D23" s="502"/>
      <c r="E23" s="502"/>
      <c r="F23" s="502"/>
      <c r="G23" s="502"/>
      <c r="H23" s="503"/>
    </row>
    <row r="24" spans="1:8" s="420" customFormat="1" ht="30" customHeight="1">
      <c r="A24" s="441">
        <v>13.12</v>
      </c>
      <c r="B24" s="226" t="s">
        <v>905</v>
      </c>
      <c r="C24" s="273" t="s">
        <v>944</v>
      </c>
      <c r="D24" s="962">
        <v>0</v>
      </c>
      <c r="E24" s="962">
        <v>0</v>
      </c>
      <c r="F24" s="220"/>
      <c r="G24" s="222">
        <f>D24*E24</f>
        <v>0</v>
      </c>
      <c r="H24" s="410"/>
    </row>
    <row r="25" spans="1:8" s="420" customFormat="1" ht="30" customHeight="1">
      <c r="A25" s="441">
        <v>13.13</v>
      </c>
      <c r="B25" s="226" t="s">
        <v>906</v>
      </c>
      <c r="C25" s="273" t="s">
        <v>620</v>
      </c>
      <c r="D25" s="962">
        <v>0</v>
      </c>
      <c r="E25" s="962">
        <v>0</v>
      </c>
      <c r="F25" s="220"/>
      <c r="G25" s="222">
        <f>D25*E25</f>
        <v>0</v>
      </c>
      <c r="H25" s="410"/>
    </row>
    <row r="26" spans="1:8" s="420" customFormat="1" ht="30" customHeight="1">
      <c r="A26" s="441">
        <v>13.14</v>
      </c>
      <c r="B26" s="226" t="s">
        <v>907</v>
      </c>
      <c r="C26" s="273" t="s">
        <v>620</v>
      </c>
      <c r="D26" s="962">
        <v>0</v>
      </c>
      <c r="E26" s="962">
        <v>0</v>
      </c>
      <c r="F26" s="220"/>
      <c r="G26" s="222">
        <f>D26*E26</f>
        <v>0</v>
      </c>
      <c r="H26" s="410"/>
    </row>
    <row r="27" spans="1:8" s="420" customFormat="1" ht="30" customHeight="1">
      <c r="A27" s="441">
        <v>13.15</v>
      </c>
      <c r="B27" s="226" t="s">
        <v>908</v>
      </c>
      <c r="C27" s="273" t="s">
        <v>100</v>
      </c>
      <c r="D27" s="962">
        <v>0</v>
      </c>
      <c r="E27" s="962">
        <v>0</v>
      </c>
      <c r="F27" s="219">
        <f>D27</f>
        <v>0</v>
      </c>
      <c r="G27" s="222">
        <f>D27*E27</f>
        <v>0</v>
      </c>
      <c r="H27" s="410"/>
    </row>
    <row r="28" spans="1:8" s="420" customFormat="1" ht="30" customHeight="1">
      <c r="A28" s="441">
        <v>13.16</v>
      </c>
      <c r="B28" s="226" t="s">
        <v>909</v>
      </c>
      <c r="C28" s="273" t="s">
        <v>100</v>
      </c>
      <c r="D28" s="962">
        <v>0</v>
      </c>
      <c r="E28" s="962">
        <v>0</v>
      </c>
      <c r="F28" s="219">
        <f>D28</f>
        <v>0</v>
      </c>
      <c r="G28" s="222">
        <f>D28*E28</f>
        <v>0</v>
      </c>
      <c r="H28" s="410"/>
    </row>
    <row r="29" spans="1:8" s="420" customFormat="1" ht="20.100000000000001" customHeight="1">
      <c r="A29" s="501"/>
      <c r="B29" s="453" t="s">
        <v>946</v>
      </c>
      <c r="C29" s="502"/>
      <c r="D29" s="502"/>
      <c r="E29" s="502"/>
      <c r="F29" s="502"/>
      <c r="G29" s="502"/>
      <c r="H29" s="503"/>
    </row>
    <row r="30" spans="1:8" s="420" customFormat="1" ht="30" customHeight="1">
      <c r="A30" s="441">
        <v>13.17</v>
      </c>
      <c r="B30" s="226" t="s">
        <v>947</v>
      </c>
      <c r="C30" s="273" t="s">
        <v>745</v>
      </c>
      <c r="D30" s="962">
        <v>0</v>
      </c>
      <c r="E30" s="962">
        <v>0</v>
      </c>
      <c r="F30" s="220"/>
      <c r="G30" s="222">
        <f>D30*E30</f>
        <v>0</v>
      </c>
      <c r="H30" s="410"/>
    </row>
    <row r="31" spans="1:8" s="420" customFormat="1" ht="30" customHeight="1">
      <c r="A31" s="441">
        <v>13.18</v>
      </c>
      <c r="B31" s="226" t="s">
        <v>949</v>
      </c>
      <c r="C31" s="273" t="s">
        <v>620</v>
      </c>
      <c r="D31" s="962">
        <v>0</v>
      </c>
      <c r="E31" s="962">
        <v>0</v>
      </c>
      <c r="F31" s="220"/>
      <c r="G31" s="222">
        <f>D31*E31</f>
        <v>0</v>
      </c>
      <c r="H31" s="410"/>
    </row>
    <row r="32" spans="1:8" s="420" customFormat="1" ht="30" customHeight="1">
      <c r="A32" s="441">
        <v>13.19</v>
      </c>
      <c r="B32" s="226" t="s">
        <v>950</v>
      </c>
      <c r="C32" s="273" t="s">
        <v>620</v>
      </c>
      <c r="D32" s="962">
        <v>0</v>
      </c>
      <c r="E32" s="962">
        <v>0</v>
      </c>
      <c r="F32" s="220"/>
      <c r="G32" s="222">
        <f>D32*E32</f>
        <v>0</v>
      </c>
      <c r="H32" s="410"/>
    </row>
    <row r="33" spans="1:8" s="420" customFormat="1" ht="30" customHeight="1">
      <c r="A33" s="441">
        <v>13.2</v>
      </c>
      <c r="B33" s="226" t="s">
        <v>951</v>
      </c>
      <c r="C33" s="273" t="s">
        <v>100</v>
      </c>
      <c r="D33" s="962">
        <v>0</v>
      </c>
      <c r="E33" s="962">
        <v>0</v>
      </c>
      <c r="F33" s="219">
        <f>D33</f>
        <v>0</v>
      </c>
      <c r="G33" s="222">
        <f>D33*E33</f>
        <v>0</v>
      </c>
      <c r="H33" s="410"/>
    </row>
    <row r="34" spans="1:8" s="420" customFormat="1" ht="30" customHeight="1">
      <c r="A34" s="441">
        <v>13.21</v>
      </c>
      <c r="B34" s="226" t="s">
        <v>952</v>
      </c>
      <c r="C34" s="273" t="s">
        <v>100</v>
      </c>
      <c r="D34" s="962">
        <v>0</v>
      </c>
      <c r="E34" s="962">
        <v>0</v>
      </c>
      <c r="F34" s="219">
        <f>D34</f>
        <v>0</v>
      </c>
      <c r="G34" s="222">
        <f>D34*E34</f>
        <v>0</v>
      </c>
      <c r="H34" s="410"/>
    </row>
    <row r="35" spans="1:8" s="420" customFormat="1" ht="20.100000000000001" customHeight="1">
      <c r="A35" s="501"/>
      <c r="B35" s="453" t="s">
        <v>261</v>
      </c>
      <c r="C35" s="502"/>
      <c r="D35" s="502"/>
      <c r="E35" s="502"/>
      <c r="F35" s="502"/>
      <c r="G35" s="502"/>
      <c r="H35" s="503"/>
    </row>
    <row r="36" spans="1:8" s="420" customFormat="1" ht="30" customHeight="1">
      <c r="A36" s="441">
        <v>13.22</v>
      </c>
      <c r="B36" s="226" t="s">
        <v>928</v>
      </c>
      <c r="C36" s="273" t="s">
        <v>100</v>
      </c>
      <c r="D36" s="962">
        <v>0</v>
      </c>
      <c r="E36" s="962">
        <v>0</v>
      </c>
      <c r="F36" s="219">
        <f>D36</f>
        <v>0</v>
      </c>
      <c r="G36" s="222">
        <f>D36*E36</f>
        <v>0</v>
      </c>
      <c r="H36" s="410"/>
    </row>
    <row r="37" spans="1:8" s="420" customFormat="1" ht="20.100000000000001" customHeight="1">
      <c r="A37" s="501"/>
      <c r="B37" s="453" t="s">
        <v>953</v>
      </c>
      <c r="C37" s="502"/>
      <c r="D37" s="502"/>
      <c r="E37" s="502"/>
      <c r="F37" s="502"/>
      <c r="G37" s="502"/>
      <c r="H37" s="503"/>
    </row>
    <row r="38" spans="1:8" s="420" customFormat="1" ht="30" customHeight="1">
      <c r="A38" s="441">
        <v>13.23</v>
      </c>
      <c r="B38" s="302" t="s">
        <v>954</v>
      </c>
      <c r="C38" s="273" t="s">
        <v>85</v>
      </c>
      <c r="D38" s="220">
        <v>1</v>
      </c>
      <c r="E38" s="962">
        <v>0</v>
      </c>
      <c r="F38" s="220"/>
      <c r="G38" s="222">
        <f t="shared" ref="G38:G45" si="1">D38*E38</f>
        <v>0</v>
      </c>
      <c r="H38" s="410"/>
    </row>
    <row r="39" spans="1:8" s="420" customFormat="1" ht="30" customHeight="1">
      <c r="A39" s="441">
        <v>13.24</v>
      </c>
      <c r="B39" s="226" t="s">
        <v>930</v>
      </c>
      <c r="C39" s="273" t="s">
        <v>100</v>
      </c>
      <c r="D39" s="962">
        <v>0</v>
      </c>
      <c r="E39" s="962">
        <v>0</v>
      </c>
      <c r="F39" s="219">
        <f>D39</f>
        <v>0</v>
      </c>
      <c r="G39" s="222">
        <f t="shared" si="1"/>
        <v>0</v>
      </c>
      <c r="H39" s="410"/>
    </row>
    <row r="40" spans="1:8" s="420" customFormat="1" ht="30" customHeight="1">
      <c r="A40" s="441">
        <v>13.25</v>
      </c>
      <c r="B40" s="464" t="s">
        <v>931</v>
      </c>
      <c r="C40" s="273" t="s">
        <v>492</v>
      </c>
      <c r="D40" s="962">
        <v>0</v>
      </c>
      <c r="E40" s="962">
        <v>0</v>
      </c>
      <c r="F40" s="220"/>
      <c r="G40" s="222">
        <f t="shared" si="1"/>
        <v>0</v>
      </c>
      <c r="H40" s="410"/>
    </row>
    <row r="41" spans="1:8" s="420" customFormat="1" ht="30" customHeight="1">
      <c r="A41" s="441">
        <v>13.26</v>
      </c>
      <c r="B41" s="464" t="s">
        <v>975</v>
      </c>
      <c r="C41" s="273" t="s">
        <v>491</v>
      </c>
      <c r="D41" s="962">
        <v>0</v>
      </c>
      <c r="E41" s="962">
        <v>0</v>
      </c>
      <c r="F41" s="220"/>
      <c r="G41" s="222">
        <f t="shared" si="1"/>
        <v>0</v>
      </c>
      <c r="H41" s="410"/>
    </row>
    <row r="42" spans="1:8" s="420" customFormat="1" ht="30" customHeight="1">
      <c r="A42" s="441">
        <v>13.27</v>
      </c>
      <c r="B42" s="464" t="s">
        <v>1166</v>
      </c>
      <c r="C42" s="273" t="s">
        <v>492</v>
      </c>
      <c r="D42" s="962">
        <v>0</v>
      </c>
      <c r="E42" s="962">
        <v>0</v>
      </c>
      <c r="F42" s="220"/>
      <c r="G42" s="222">
        <f t="shared" si="1"/>
        <v>0</v>
      </c>
      <c r="H42" s="410"/>
    </row>
    <row r="43" spans="1:8" s="420" customFormat="1" ht="30" customHeight="1">
      <c r="A43" s="441">
        <v>13.28</v>
      </c>
      <c r="B43" s="226" t="s">
        <v>936</v>
      </c>
      <c r="C43" s="273" t="s">
        <v>100</v>
      </c>
      <c r="D43" s="962">
        <v>0</v>
      </c>
      <c r="E43" s="962">
        <v>0</v>
      </c>
      <c r="F43" s="219">
        <f>D43</f>
        <v>0</v>
      </c>
      <c r="G43" s="222">
        <f t="shared" si="1"/>
        <v>0</v>
      </c>
      <c r="H43" s="410"/>
    </row>
    <row r="44" spans="1:8" s="420" customFormat="1" ht="30" customHeight="1">
      <c r="A44" s="441">
        <v>13.29</v>
      </c>
      <c r="B44" s="226" t="s">
        <v>976</v>
      </c>
      <c r="C44" s="273" t="s">
        <v>100</v>
      </c>
      <c r="D44" s="962">
        <v>0</v>
      </c>
      <c r="E44" s="962">
        <v>0</v>
      </c>
      <c r="F44" s="219">
        <f>D44</f>
        <v>0</v>
      </c>
      <c r="G44" s="222">
        <f t="shared" si="1"/>
        <v>0</v>
      </c>
      <c r="H44" s="410"/>
    </row>
    <row r="45" spans="1:8" s="420" customFormat="1" ht="30" customHeight="1">
      <c r="A45" s="441">
        <v>13.3</v>
      </c>
      <c r="B45" s="302" t="s">
        <v>978</v>
      </c>
      <c r="C45" s="273" t="s">
        <v>100</v>
      </c>
      <c r="D45" s="962">
        <v>0</v>
      </c>
      <c r="E45" s="962">
        <v>0</v>
      </c>
      <c r="F45" s="219">
        <f>D45</f>
        <v>0</v>
      </c>
      <c r="G45" s="222">
        <f t="shared" si="1"/>
        <v>0</v>
      </c>
      <c r="H45" s="410"/>
    </row>
    <row r="46" spans="1:8" s="420" customFormat="1" ht="20.100000000000001" customHeight="1">
      <c r="A46" s="501"/>
      <c r="B46" s="453" t="s">
        <v>933</v>
      </c>
      <c r="C46" s="502"/>
      <c r="D46" s="502"/>
      <c r="E46" s="502"/>
      <c r="F46" s="502"/>
      <c r="G46" s="502"/>
      <c r="H46" s="503"/>
    </row>
    <row r="47" spans="1:8" s="420" customFormat="1" ht="30" customHeight="1">
      <c r="A47" s="436">
        <v>13.31</v>
      </c>
      <c r="B47" s="302" t="s">
        <v>977</v>
      </c>
      <c r="C47" s="273" t="s">
        <v>100</v>
      </c>
      <c r="D47" s="962">
        <v>0</v>
      </c>
      <c r="E47" s="962">
        <v>0</v>
      </c>
      <c r="F47" s="219">
        <f>D47</f>
        <v>0</v>
      </c>
      <c r="G47" s="222">
        <f>D47*E47</f>
        <v>0</v>
      </c>
      <c r="H47" s="410"/>
    </row>
    <row r="48" spans="1:8" s="420" customFormat="1" ht="20.100000000000001" customHeight="1">
      <c r="A48" s="501"/>
      <c r="B48" s="453" t="s">
        <v>979</v>
      </c>
      <c r="C48" s="502"/>
      <c r="D48" s="502"/>
      <c r="E48" s="502"/>
      <c r="F48" s="502"/>
      <c r="G48" s="502"/>
      <c r="H48" s="503"/>
    </row>
    <row r="49" spans="1:8" s="420" customFormat="1" ht="30" customHeight="1">
      <c r="A49" s="436">
        <v>13.32</v>
      </c>
      <c r="B49" s="336" t="s">
        <v>981</v>
      </c>
      <c r="C49" s="273" t="s">
        <v>85</v>
      </c>
      <c r="D49" s="220">
        <v>1</v>
      </c>
      <c r="E49" s="962">
        <v>0</v>
      </c>
      <c r="F49" s="220"/>
      <c r="G49" s="222">
        <f t="shared" ref="G49:G65" si="2">D49*E49</f>
        <v>0</v>
      </c>
      <c r="H49" s="410"/>
    </row>
    <row r="50" spans="1:8" s="420" customFormat="1" ht="30" customHeight="1">
      <c r="A50" s="436">
        <v>13.33</v>
      </c>
      <c r="B50" s="336" t="s">
        <v>982</v>
      </c>
      <c r="C50" s="273" t="s">
        <v>85</v>
      </c>
      <c r="D50" s="220">
        <v>1</v>
      </c>
      <c r="E50" s="962">
        <v>0</v>
      </c>
      <c r="F50" s="220"/>
      <c r="G50" s="222">
        <f t="shared" si="2"/>
        <v>0</v>
      </c>
      <c r="H50" s="410"/>
    </row>
    <row r="51" spans="1:8" s="420" customFormat="1" ht="30" customHeight="1">
      <c r="A51" s="436">
        <v>13.34</v>
      </c>
      <c r="B51" s="336" t="s">
        <v>983</v>
      </c>
      <c r="C51" s="273" t="s">
        <v>491</v>
      </c>
      <c r="D51" s="962">
        <v>0</v>
      </c>
      <c r="E51" s="962">
        <v>0</v>
      </c>
      <c r="F51" s="220"/>
      <c r="G51" s="222">
        <f t="shared" si="2"/>
        <v>0</v>
      </c>
      <c r="H51" s="410"/>
    </row>
    <row r="52" spans="1:8" s="420" customFormat="1" ht="30" customHeight="1">
      <c r="A52" s="436">
        <v>13.35</v>
      </c>
      <c r="B52" s="336" t="s">
        <v>984</v>
      </c>
      <c r="C52" s="273" t="s">
        <v>491</v>
      </c>
      <c r="D52" s="962">
        <v>0</v>
      </c>
      <c r="E52" s="962">
        <v>0</v>
      </c>
      <c r="F52" s="220"/>
      <c r="G52" s="222">
        <f t="shared" si="2"/>
        <v>0</v>
      </c>
      <c r="H52" s="410"/>
    </row>
    <row r="53" spans="1:8" s="420" customFormat="1" ht="30" customHeight="1">
      <c r="A53" s="436">
        <v>13.36</v>
      </c>
      <c r="B53" s="336" t="s">
        <v>985</v>
      </c>
      <c r="C53" s="273" t="s">
        <v>491</v>
      </c>
      <c r="D53" s="962">
        <v>0</v>
      </c>
      <c r="E53" s="962">
        <v>0</v>
      </c>
      <c r="F53" s="220"/>
      <c r="G53" s="222">
        <f t="shared" si="2"/>
        <v>0</v>
      </c>
      <c r="H53" s="410"/>
    </row>
    <row r="54" spans="1:8" s="420" customFormat="1" ht="30" customHeight="1">
      <c r="A54" s="436">
        <v>13.37</v>
      </c>
      <c r="B54" s="336" t="s">
        <v>986</v>
      </c>
      <c r="C54" s="273" t="s">
        <v>491</v>
      </c>
      <c r="D54" s="962">
        <v>0</v>
      </c>
      <c r="E54" s="962">
        <v>0</v>
      </c>
      <c r="F54" s="220"/>
      <c r="G54" s="222">
        <f t="shared" si="2"/>
        <v>0</v>
      </c>
      <c r="H54" s="410"/>
    </row>
    <row r="55" spans="1:8" s="420" customFormat="1" ht="30" customHeight="1">
      <c r="A55" s="436">
        <v>13.38</v>
      </c>
      <c r="B55" s="336" t="s">
        <v>987</v>
      </c>
      <c r="C55" s="273" t="s">
        <v>491</v>
      </c>
      <c r="D55" s="962">
        <v>0</v>
      </c>
      <c r="E55" s="962">
        <v>0</v>
      </c>
      <c r="F55" s="220"/>
      <c r="G55" s="222">
        <f t="shared" si="2"/>
        <v>0</v>
      </c>
      <c r="H55" s="410"/>
    </row>
    <row r="56" spans="1:8" s="420" customFormat="1" ht="30" customHeight="1">
      <c r="A56" s="441">
        <v>13.39</v>
      </c>
      <c r="B56" s="336" t="s">
        <v>988</v>
      </c>
      <c r="C56" s="273" t="s">
        <v>491</v>
      </c>
      <c r="D56" s="962">
        <v>0</v>
      </c>
      <c r="E56" s="962">
        <v>0</v>
      </c>
      <c r="F56" s="220"/>
      <c r="G56" s="222">
        <f t="shared" si="2"/>
        <v>0</v>
      </c>
      <c r="H56" s="410"/>
    </row>
    <row r="57" spans="1:8" s="420" customFormat="1" ht="30" customHeight="1">
      <c r="A57" s="441">
        <v>13.4</v>
      </c>
      <c r="B57" s="336" t="s">
        <v>989</v>
      </c>
      <c r="C57" s="273" t="s">
        <v>491</v>
      </c>
      <c r="D57" s="962">
        <v>0</v>
      </c>
      <c r="E57" s="962">
        <v>0</v>
      </c>
      <c r="F57" s="220"/>
      <c r="G57" s="222">
        <f t="shared" si="2"/>
        <v>0</v>
      </c>
      <c r="H57" s="410"/>
    </row>
    <row r="58" spans="1:8" s="420" customFormat="1" ht="30" customHeight="1">
      <c r="A58" s="436">
        <v>13.41</v>
      </c>
      <c r="B58" s="336" t="s">
        <v>990</v>
      </c>
      <c r="C58" s="273" t="s">
        <v>491</v>
      </c>
      <c r="D58" s="962">
        <v>0</v>
      </c>
      <c r="E58" s="962">
        <v>0</v>
      </c>
      <c r="F58" s="220"/>
      <c r="G58" s="222">
        <f t="shared" si="2"/>
        <v>0</v>
      </c>
      <c r="H58" s="410"/>
    </row>
    <row r="59" spans="1:8" s="504" customFormat="1" ht="30" customHeight="1">
      <c r="A59" s="436">
        <v>13.42</v>
      </c>
      <c r="B59" s="336" t="s">
        <v>991</v>
      </c>
      <c r="C59" s="273" t="s">
        <v>491</v>
      </c>
      <c r="D59" s="962">
        <v>0</v>
      </c>
      <c r="E59" s="962">
        <v>0</v>
      </c>
      <c r="F59" s="220"/>
      <c r="G59" s="222">
        <f t="shared" si="2"/>
        <v>0</v>
      </c>
      <c r="H59" s="410"/>
    </row>
    <row r="60" spans="1:8" s="504" customFormat="1" ht="30" customHeight="1">
      <c r="A60" s="436">
        <v>13.43</v>
      </c>
      <c r="B60" s="226" t="s">
        <v>992</v>
      </c>
      <c r="C60" s="273" t="s">
        <v>100</v>
      </c>
      <c r="D60" s="962">
        <v>0</v>
      </c>
      <c r="E60" s="962">
        <v>0</v>
      </c>
      <c r="F60" s="219">
        <f t="shared" ref="F60:F65" si="3">D60</f>
        <v>0</v>
      </c>
      <c r="G60" s="222">
        <f t="shared" si="2"/>
        <v>0</v>
      </c>
      <c r="H60" s="410"/>
    </row>
    <row r="61" spans="1:8" s="504" customFormat="1" ht="30" customHeight="1">
      <c r="A61" s="436">
        <v>13.44</v>
      </c>
      <c r="B61" s="302" t="s">
        <v>33</v>
      </c>
      <c r="C61" s="273" t="s">
        <v>100</v>
      </c>
      <c r="D61" s="962">
        <v>0</v>
      </c>
      <c r="E61" s="962">
        <v>0</v>
      </c>
      <c r="F61" s="219">
        <f t="shared" si="3"/>
        <v>0</v>
      </c>
      <c r="G61" s="222">
        <f t="shared" si="2"/>
        <v>0</v>
      </c>
      <c r="H61" s="410"/>
    </row>
    <row r="62" spans="1:8" s="504" customFormat="1" ht="30" customHeight="1">
      <c r="A62" s="436">
        <v>13.45</v>
      </c>
      <c r="B62" s="226" t="s">
        <v>788</v>
      </c>
      <c r="C62" s="273" t="s">
        <v>100</v>
      </c>
      <c r="D62" s="962">
        <v>0</v>
      </c>
      <c r="E62" s="962">
        <v>0</v>
      </c>
      <c r="F62" s="219">
        <f t="shared" si="3"/>
        <v>0</v>
      </c>
      <c r="G62" s="222">
        <f t="shared" si="2"/>
        <v>0</v>
      </c>
      <c r="H62" s="410"/>
    </row>
    <row r="63" spans="1:8" s="504" customFormat="1" ht="30" customHeight="1">
      <c r="A63" s="436">
        <v>13.46</v>
      </c>
      <c r="B63" s="226" t="s">
        <v>224</v>
      </c>
      <c r="C63" s="273" t="s">
        <v>100</v>
      </c>
      <c r="D63" s="962">
        <v>0</v>
      </c>
      <c r="E63" s="962">
        <v>0</v>
      </c>
      <c r="F63" s="219">
        <f t="shared" si="3"/>
        <v>0</v>
      </c>
      <c r="G63" s="222">
        <f t="shared" si="2"/>
        <v>0</v>
      </c>
      <c r="H63" s="410"/>
    </row>
    <row r="64" spans="1:8" s="504" customFormat="1" ht="30" customHeight="1">
      <c r="A64" s="436">
        <v>13.47</v>
      </c>
      <c r="B64" s="226" t="s">
        <v>995</v>
      </c>
      <c r="C64" s="273" t="s">
        <v>100</v>
      </c>
      <c r="D64" s="962">
        <v>0</v>
      </c>
      <c r="E64" s="962">
        <v>0</v>
      </c>
      <c r="F64" s="219">
        <f t="shared" si="3"/>
        <v>0</v>
      </c>
      <c r="G64" s="222">
        <f t="shared" si="2"/>
        <v>0</v>
      </c>
      <c r="H64" s="410"/>
    </row>
    <row r="65" spans="1:8" s="505" customFormat="1" ht="30" customHeight="1">
      <c r="A65" s="436">
        <v>13.48</v>
      </c>
      <c r="B65" s="226" t="s">
        <v>996</v>
      </c>
      <c r="C65" s="273" t="s">
        <v>100</v>
      </c>
      <c r="D65" s="962">
        <v>0</v>
      </c>
      <c r="E65" s="962">
        <v>0</v>
      </c>
      <c r="F65" s="219">
        <f t="shared" si="3"/>
        <v>0</v>
      </c>
      <c r="G65" s="222">
        <f t="shared" si="2"/>
        <v>0</v>
      </c>
      <c r="H65" s="410"/>
    </row>
    <row r="66" spans="1:8" s="505" customFormat="1" ht="20.100000000000001" customHeight="1">
      <c r="A66" s="501"/>
      <c r="B66" s="453" t="s">
        <v>997</v>
      </c>
      <c r="C66" s="502"/>
      <c r="D66" s="502"/>
      <c r="E66" s="502"/>
      <c r="F66" s="502"/>
      <c r="G66" s="502"/>
      <c r="H66" s="503"/>
    </row>
    <row r="67" spans="1:8" s="505" customFormat="1" ht="30" customHeight="1">
      <c r="A67" s="441">
        <v>13.49</v>
      </c>
      <c r="B67" s="336" t="s">
        <v>998</v>
      </c>
      <c r="C67" s="220" t="s">
        <v>627</v>
      </c>
      <c r="D67" s="962">
        <v>0</v>
      </c>
      <c r="E67" s="962">
        <v>0</v>
      </c>
      <c r="F67" s="220"/>
      <c r="G67" s="222">
        <f>D67*E67</f>
        <v>0</v>
      </c>
      <c r="H67" s="410"/>
    </row>
    <row r="68" spans="1:8" s="504" customFormat="1" ht="30" customHeight="1">
      <c r="A68" s="441">
        <v>13.5</v>
      </c>
      <c r="B68" s="336" t="s">
        <v>999</v>
      </c>
      <c r="C68" s="220" t="s">
        <v>100</v>
      </c>
      <c r="D68" s="962">
        <v>0</v>
      </c>
      <c r="E68" s="962">
        <v>0</v>
      </c>
      <c r="F68" s="219">
        <f>D68</f>
        <v>0</v>
      </c>
      <c r="G68" s="222">
        <f>D68*E68</f>
        <v>0</v>
      </c>
      <c r="H68" s="410"/>
    </row>
    <row r="69" spans="1:8" s="135" customFormat="1" ht="30" customHeight="1">
      <c r="A69" s="441">
        <v>13.51</v>
      </c>
      <c r="B69" s="226" t="s">
        <v>992</v>
      </c>
      <c r="C69" s="273" t="s">
        <v>100</v>
      </c>
      <c r="D69" s="962">
        <v>0</v>
      </c>
      <c r="E69" s="962">
        <v>0</v>
      </c>
      <c r="F69" s="219">
        <f>D69</f>
        <v>0</v>
      </c>
      <c r="G69" s="222">
        <f>D69*E69</f>
        <v>0</v>
      </c>
      <c r="H69" s="410"/>
    </row>
    <row r="70" spans="1:8" s="505" customFormat="1" ht="20.100000000000001" customHeight="1">
      <c r="A70" s="501"/>
      <c r="B70" s="453" t="s">
        <v>1060</v>
      </c>
      <c r="C70" s="502"/>
      <c r="D70" s="502"/>
      <c r="E70" s="502"/>
      <c r="F70" s="502"/>
      <c r="G70" s="502"/>
      <c r="H70" s="503"/>
    </row>
    <row r="71" spans="1:8" s="505" customFormat="1" ht="30" customHeight="1">
      <c r="A71" s="506">
        <v>13.52</v>
      </c>
      <c r="B71" s="302" t="s">
        <v>1061</v>
      </c>
      <c r="C71" s="273" t="s">
        <v>491</v>
      </c>
      <c r="D71" s="962">
        <v>0</v>
      </c>
      <c r="E71" s="962">
        <v>0</v>
      </c>
      <c r="F71" s="220"/>
      <c r="G71" s="222">
        <f>D71*E71</f>
        <v>0</v>
      </c>
      <c r="H71" s="410"/>
    </row>
    <row r="72" spans="1:8" s="505" customFormat="1" ht="20.100000000000001" customHeight="1">
      <c r="A72" s="501"/>
      <c r="B72" s="453" t="s">
        <v>1065</v>
      </c>
      <c r="C72" s="502"/>
      <c r="D72" s="502"/>
      <c r="E72" s="502"/>
      <c r="F72" s="502"/>
      <c r="G72" s="502"/>
      <c r="H72" s="503"/>
    </row>
    <row r="73" spans="1:8" s="504" customFormat="1" ht="30" customHeight="1">
      <c r="A73" s="506">
        <v>13.53</v>
      </c>
      <c r="B73" s="302" t="s">
        <v>1062</v>
      </c>
      <c r="C73" s="273" t="s">
        <v>1063</v>
      </c>
      <c r="D73" s="962">
        <v>0</v>
      </c>
      <c r="E73" s="962">
        <v>0</v>
      </c>
      <c r="F73" s="220"/>
      <c r="G73" s="222">
        <f>D73*E73</f>
        <v>0</v>
      </c>
      <c r="H73" s="410"/>
    </row>
    <row r="74" spans="1:8" s="504" customFormat="1" ht="30" customHeight="1">
      <c r="A74" s="506">
        <v>13.54</v>
      </c>
      <c r="B74" s="302" t="s">
        <v>1064</v>
      </c>
      <c r="C74" s="273" t="s">
        <v>100</v>
      </c>
      <c r="D74" s="962">
        <v>0</v>
      </c>
      <c r="E74" s="962">
        <v>0</v>
      </c>
      <c r="F74" s="219">
        <f>D74</f>
        <v>0</v>
      </c>
      <c r="G74" s="222">
        <f>D74*E74</f>
        <v>0</v>
      </c>
      <c r="H74" s="410"/>
    </row>
    <row r="75" spans="1:8" s="135" customFormat="1" ht="20.100000000000001" customHeight="1">
      <c r="A75" s="501"/>
      <c r="B75" s="453" t="s">
        <v>860</v>
      </c>
      <c r="C75" s="502"/>
      <c r="D75" s="502"/>
      <c r="E75" s="502"/>
      <c r="F75" s="502"/>
      <c r="G75" s="502"/>
      <c r="H75" s="503"/>
    </row>
    <row r="76" spans="1:8" s="135" customFormat="1" ht="30" customHeight="1">
      <c r="A76" s="276">
        <v>13.55</v>
      </c>
      <c r="B76" s="507" t="s">
        <v>265</v>
      </c>
      <c r="C76" s="273" t="s">
        <v>628</v>
      </c>
      <c r="D76" s="962">
        <v>0</v>
      </c>
      <c r="E76" s="962">
        <v>0</v>
      </c>
      <c r="F76" s="220"/>
      <c r="G76" s="222">
        <f>D76*E76</f>
        <v>0</v>
      </c>
      <c r="H76" s="410"/>
    </row>
    <row r="77" spans="1:8" ht="20.100000000000001" customHeight="1" thickBot="1">
      <c r="A77" s="2476" t="s">
        <v>380</v>
      </c>
      <c r="B77" s="2477"/>
      <c r="C77" s="2477"/>
      <c r="D77" s="2477"/>
      <c r="E77" s="2478"/>
      <c r="F77" s="467">
        <f>SUM(F12:F76)</f>
        <v>0</v>
      </c>
      <c r="G77" s="248">
        <f>SUM(G11:G16,G18:G22,G24:G28,G30:G34,G36:G36,G38:G45,G47,G49:G65,G67:G76)</f>
        <v>0</v>
      </c>
      <c r="H77" s="508"/>
    </row>
  </sheetData>
  <mergeCells count="10">
    <mergeCell ref="A77:E77"/>
    <mergeCell ref="A4:B4"/>
    <mergeCell ref="C4:F4"/>
    <mergeCell ref="G4:H4"/>
    <mergeCell ref="A5:B5"/>
    <mergeCell ref="C5:F5"/>
    <mergeCell ref="G5:H5"/>
    <mergeCell ref="A6:B6"/>
    <mergeCell ref="C6:F6"/>
    <mergeCell ref="G6:H6"/>
  </mergeCells>
  <phoneticPr fontId="0" type="noConversion"/>
  <printOptions horizontalCentered="1"/>
  <pageMargins left="0.75" right="0.75" top="1" bottom="1" header="0.5" footer="0.5"/>
  <pageSetup scale="55" fitToHeight="0" orientation="landscape" r:id="rId1"/>
  <headerFooter alignWithMargins="0">
    <oddHeader>&amp;C&amp;"Arial,Bold"&amp;12&amp;UProject Activity 13: Structures- Medium Span Concrete</oddHeader>
    <oddFooter>&amp;L&amp;F
&amp;A&amp;CPage &amp;P of &amp;N&amp;R&amp;D</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0">
    <pageSetUpPr fitToPage="1"/>
  </sheetPr>
  <dimension ref="A1:H83"/>
  <sheetViews>
    <sheetView showGridLines="0" showRuler="0" zoomScaleNormal="100" zoomScaleSheetLayoutView="100" workbookViewId="0"/>
  </sheetViews>
  <sheetFormatPr defaultRowHeight="13.2"/>
  <cols>
    <col min="1" max="1" width="6.33203125" style="1" customWidth="1"/>
    <col min="2" max="2" width="50.6640625" style="1" customWidth="1"/>
    <col min="3" max="3" width="12.6640625" style="1" customWidth="1"/>
    <col min="4" max="4" width="12.6640625" style="13" customWidth="1"/>
    <col min="5" max="5" width="12.6640625" style="1" customWidth="1"/>
    <col min="6" max="6" width="12.6640625" style="137" customWidth="1"/>
    <col min="7" max="7" width="12.6640625" style="1" customWidth="1"/>
    <col min="8" max="8" width="100.6640625" style="1" customWidth="1"/>
    <col min="9" max="9" width="6.5546875" customWidth="1"/>
  </cols>
  <sheetData>
    <row r="1" spans="1:8" s="187" customFormat="1" ht="20.100000000000001" customHeight="1">
      <c r="A1" s="469" t="s">
        <v>592</v>
      </c>
      <c r="B1" s="470"/>
      <c r="C1" s="470"/>
      <c r="D1" s="478"/>
      <c r="E1" s="470"/>
      <c r="F1" s="470"/>
      <c r="G1" s="470"/>
      <c r="H1" s="897" t="str">
        <f>'Project Information'!$B$3</f>
        <v>Enter project name &amp; description</v>
      </c>
    </row>
    <row r="2" spans="1:8" s="187" customFormat="1" ht="20.100000000000001" customHeight="1">
      <c r="A2" s="469" t="s">
        <v>254</v>
      </c>
      <c r="B2" s="470"/>
      <c r="C2" s="470"/>
      <c r="D2" s="478"/>
      <c r="E2" s="470"/>
      <c r="F2" s="470"/>
      <c r="G2" s="470"/>
      <c r="H2" s="897" t="str">
        <f>'Project Information'!$B$1</f>
        <v>999999-1-32-01</v>
      </c>
    </row>
    <row r="3" spans="1:8" s="225" customFormat="1" ht="14.4" thickBot="1">
      <c r="A3" s="311"/>
      <c r="B3" s="312"/>
      <c r="C3" s="313"/>
      <c r="D3" s="313"/>
      <c r="E3" s="313"/>
      <c r="F3" s="313"/>
      <c r="G3" s="313"/>
      <c r="H3" s="313"/>
    </row>
    <row r="4" spans="1:8" s="225" customFormat="1" ht="28.5" customHeight="1" thickBot="1">
      <c r="A4" s="2086" t="s">
        <v>1396</v>
      </c>
      <c r="B4" s="2087"/>
      <c r="C4" s="2088" t="s">
        <v>1397</v>
      </c>
      <c r="D4" s="2088"/>
      <c r="E4" s="2088"/>
      <c r="F4" s="2088"/>
      <c r="G4" s="2339" t="s">
        <v>1398</v>
      </c>
      <c r="H4" s="2469"/>
    </row>
    <row r="5" spans="1:8" s="225" customFormat="1" ht="28.5" customHeight="1">
      <c r="A5" s="2089" t="s">
        <v>1400</v>
      </c>
      <c r="B5" s="2090"/>
      <c r="C5" s="2091"/>
      <c r="D5" s="2091"/>
      <c r="E5" s="2091"/>
      <c r="F5" s="2091"/>
      <c r="G5" s="2342"/>
      <c r="H5" s="2470"/>
    </row>
    <row r="6" spans="1:8" s="225" customFormat="1" ht="28.5" customHeight="1" thickBot="1">
      <c r="A6" s="2083" t="s">
        <v>1399</v>
      </c>
      <c r="B6" s="2084"/>
      <c r="C6" s="2085"/>
      <c r="D6" s="2085"/>
      <c r="E6" s="2085"/>
      <c r="F6" s="2085"/>
      <c r="G6" s="2329"/>
      <c r="H6" s="2468"/>
    </row>
    <row r="7" spans="1:8" s="225" customFormat="1" ht="15.6">
      <c r="A7" s="898" t="s">
        <v>1430</v>
      </c>
      <c r="B7" s="270"/>
    </row>
    <row r="8" spans="1:8" s="225" customFormat="1" ht="15" customHeight="1" thickBot="1">
      <c r="A8" s="898"/>
      <c r="B8" s="270"/>
    </row>
    <row r="9" spans="1:8" s="9" customFormat="1" ht="48" customHeight="1">
      <c r="A9" s="377" t="s">
        <v>79</v>
      </c>
      <c r="B9" s="379" t="s">
        <v>190</v>
      </c>
      <c r="C9" s="379" t="s">
        <v>171</v>
      </c>
      <c r="D9" s="378" t="s">
        <v>45</v>
      </c>
      <c r="E9" s="378" t="s">
        <v>706</v>
      </c>
      <c r="F9" s="378" t="s">
        <v>165</v>
      </c>
      <c r="G9" s="378" t="s">
        <v>102</v>
      </c>
      <c r="H9" s="380" t="s">
        <v>164</v>
      </c>
    </row>
    <row r="10" spans="1:8" s="9" customFormat="1" ht="20.100000000000001" customHeight="1">
      <c r="A10" s="488"/>
      <c r="B10" s="477" t="s">
        <v>893</v>
      </c>
      <c r="C10" s="489"/>
      <c r="D10" s="489"/>
      <c r="E10" s="489"/>
      <c r="F10" s="489"/>
      <c r="G10" s="489"/>
      <c r="H10" s="490"/>
    </row>
    <row r="11" spans="1:8" s="9" customFormat="1" ht="30" customHeight="1">
      <c r="A11" s="475">
        <v>14.1</v>
      </c>
      <c r="B11" s="372" t="s">
        <v>894</v>
      </c>
      <c r="C11" s="315" t="s">
        <v>85</v>
      </c>
      <c r="D11" s="222">
        <v>1</v>
      </c>
      <c r="E11" s="979">
        <v>0</v>
      </c>
      <c r="F11" s="219"/>
      <c r="G11" s="222">
        <f t="shared" ref="G11:G16" si="0">E11*D11</f>
        <v>0</v>
      </c>
      <c r="H11" s="474"/>
    </row>
    <row r="12" spans="1:8" s="9" customFormat="1" ht="30" customHeight="1">
      <c r="A12" s="475">
        <v>14.2</v>
      </c>
      <c r="B12" s="372" t="s">
        <v>895</v>
      </c>
      <c r="C12" s="315" t="s">
        <v>491</v>
      </c>
      <c r="D12" s="979">
        <v>0</v>
      </c>
      <c r="E12" s="979">
        <v>0</v>
      </c>
      <c r="F12" s="219"/>
      <c r="G12" s="222">
        <f t="shared" si="0"/>
        <v>0</v>
      </c>
      <c r="H12" s="474"/>
    </row>
    <row r="13" spans="1:8" s="9" customFormat="1" ht="30" customHeight="1">
      <c r="A13" s="475">
        <v>14.3</v>
      </c>
      <c r="B13" s="372" t="s">
        <v>896</v>
      </c>
      <c r="C13" s="315" t="s">
        <v>100</v>
      </c>
      <c r="D13" s="979">
        <v>0</v>
      </c>
      <c r="E13" s="979">
        <v>0</v>
      </c>
      <c r="F13" s="219">
        <f>D13</f>
        <v>0</v>
      </c>
      <c r="G13" s="222">
        <f t="shared" si="0"/>
        <v>0</v>
      </c>
      <c r="H13" s="474"/>
    </row>
    <row r="14" spans="1:8" s="9" customFormat="1" ht="30" customHeight="1">
      <c r="A14" s="475">
        <v>14.4</v>
      </c>
      <c r="B14" s="372" t="s">
        <v>892</v>
      </c>
      <c r="C14" s="315" t="s">
        <v>100</v>
      </c>
      <c r="D14" s="979">
        <v>0</v>
      </c>
      <c r="E14" s="979">
        <v>0</v>
      </c>
      <c r="F14" s="219">
        <f>D14</f>
        <v>0</v>
      </c>
      <c r="G14" s="222">
        <f t="shared" si="0"/>
        <v>0</v>
      </c>
      <c r="H14" s="474"/>
    </row>
    <row r="15" spans="1:8" s="9" customFormat="1" ht="30" customHeight="1">
      <c r="A15" s="475">
        <v>14.5</v>
      </c>
      <c r="B15" s="372" t="s">
        <v>897</v>
      </c>
      <c r="C15" s="315" t="s">
        <v>100</v>
      </c>
      <c r="D15" s="979">
        <v>0</v>
      </c>
      <c r="E15" s="979">
        <v>0</v>
      </c>
      <c r="F15" s="219">
        <f>D15</f>
        <v>0</v>
      </c>
      <c r="G15" s="222">
        <f t="shared" si="0"/>
        <v>0</v>
      </c>
      <c r="H15" s="474"/>
    </row>
    <row r="16" spans="1:8" s="9" customFormat="1" ht="30" customHeight="1">
      <c r="A16" s="475">
        <v>14.6</v>
      </c>
      <c r="B16" s="372" t="s">
        <v>898</v>
      </c>
      <c r="C16" s="315" t="s">
        <v>100</v>
      </c>
      <c r="D16" s="979">
        <v>0</v>
      </c>
      <c r="E16" s="979">
        <v>0</v>
      </c>
      <c r="F16" s="219">
        <f>D16</f>
        <v>0</v>
      </c>
      <c r="G16" s="222">
        <f t="shared" si="0"/>
        <v>0</v>
      </c>
      <c r="H16" s="474"/>
    </row>
    <row r="17" spans="1:8" s="9" customFormat="1" ht="20.100000000000001" customHeight="1">
      <c r="A17" s="471"/>
      <c r="B17" s="477" t="s">
        <v>899</v>
      </c>
      <c r="C17" s="472"/>
      <c r="D17" s="472"/>
      <c r="E17" s="472"/>
      <c r="F17" s="472"/>
      <c r="G17" s="472"/>
      <c r="H17" s="473"/>
    </row>
    <row r="18" spans="1:8" s="9" customFormat="1" ht="30" customHeight="1">
      <c r="A18" s="475">
        <v>14.7</v>
      </c>
      <c r="B18" s="372" t="s">
        <v>900</v>
      </c>
      <c r="C18" s="315" t="s">
        <v>944</v>
      </c>
      <c r="D18" s="979">
        <v>0</v>
      </c>
      <c r="E18" s="979">
        <v>0</v>
      </c>
      <c r="F18" s="219"/>
      <c r="G18" s="222">
        <f>E18*D18</f>
        <v>0</v>
      </c>
      <c r="H18" s="474"/>
    </row>
    <row r="19" spans="1:8" s="9" customFormat="1" ht="30" customHeight="1">
      <c r="A19" s="475">
        <v>14.8</v>
      </c>
      <c r="B19" s="372" t="s">
        <v>943</v>
      </c>
      <c r="C19" s="315" t="s">
        <v>944</v>
      </c>
      <c r="D19" s="979">
        <v>0</v>
      </c>
      <c r="E19" s="979">
        <v>0</v>
      </c>
      <c r="F19" s="219"/>
      <c r="G19" s="222">
        <f>E19*D19</f>
        <v>0</v>
      </c>
      <c r="H19" s="474"/>
    </row>
    <row r="20" spans="1:8" s="9" customFormat="1" ht="30" customHeight="1">
      <c r="A20" s="475">
        <v>14.9</v>
      </c>
      <c r="B20" s="372" t="s">
        <v>901</v>
      </c>
      <c r="C20" s="315" t="s">
        <v>620</v>
      </c>
      <c r="D20" s="979">
        <v>0</v>
      </c>
      <c r="E20" s="979">
        <v>0</v>
      </c>
      <c r="F20" s="219"/>
      <c r="G20" s="222">
        <f>E20*D20</f>
        <v>0</v>
      </c>
      <c r="H20" s="474"/>
    </row>
    <row r="21" spans="1:8" s="9" customFormat="1" ht="30" customHeight="1">
      <c r="A21" s="476">
        <v>14.1</v>
      </c>
      <c r="B21" s="372" t="s">
        <v>902</v>
      </c>
      <c r="C21" s="315" t="s">
        <v>100</v>
      </c>
      <c r="D21" s="979">
        <v>0</v>
      </c>
      <c r="E21" s="979">
        <v>0</v>
      </c>
      <c r="F21" s="219">
        <f>D21</f>
        <v>0</v>
      </c>
      <c r="G21" s="222">
        <f>E21*D21</f>
        <v>0</v>
      </c>
      <c r="H21" s="474"/>
    </row>
    <row r="22" spans="1:8" s="9" customFormat="1" ht="30" customHeight="1">
      <c r="A22" s="476">
        <v>14.11</v>
      </c>
      <c r="B22" s="372" t="s">
        <v>903</v>
      </c>
      <c r="C22" s="315" t="s">
        <v>100</v>
      </c>
      <c r="D22" s="979">
        <v>0</v>
      </c>
      <c r="E22" s="979">
        <v>0</v>
      </c>
      <c r="F22" s="219">
        <f>D22</f>
        <v>0</v>
      </c>
      <c r="G22" s="222">
        <f>E22*D22</f>
        <v>0</v>
      </c>
      <c r="H22" s="474"/>
    </row>
    <row r="23" spans="1:8" s="9" customFormat="1" ht="20.100000000000001" customHeight="1">
      <c r="A23" s="471"/>
      <c r="B23" s="477" t="s">
        <v>904</v>
      </c>
      <c r="C23" s="472"/>
      <c r="D23" s="472"/>
      <c r="E23" s="472"/>
      <c r="F23" s="472"/>
      <c r="G23" s="472"/>
      <c r="H23" s="473"/>
    </row>
    <row r="24" spans="1:8" s="9" customFormat="1" ht="30" customHeight="1">
      <c r="A24" s="476">
        <v>14.12</v>
      </c>
      <c r="B24" s="372" t="s">
        <v>905</v>
      </c>
      <c r="C24" s="315" t="s">
        <v>945</v>
      </c>
      <c r="D24" s="979">
        <v>0</v>
      </c>
      <c r="E24" s="979">
        <v>0</v>
      </c>
      <c r="F24" s="219"/>
      <c r="G24" s="222">
        <f>E24*D24</f>
        <v>0</v>
      </c>
      <c r="H24" s="474"/>
    </row>
    <row r="25" spans="1:8" s="9" customFormat="1" ht="30" customHeight="1">
      <c r="A25" s="476">
        <v>14.13</v>
      </c>
      <c r="B25" s="372" t="s">
        <v>906</v>
      </c>
      <c r="C25" s="315" t="s">
        <v>939</v>
      </c>
      <c r="D25" s="979">
        <v>0</v>
      </c>
      <c r="E25" s="979">
        <v>0</v>
      </c>
      <c r="F25" s="219"/>
      <c r="G25" s="222">
        <f>E25*D25</f>
        <v>0</v>
      </c>
      <c r="H25" s="474"/>
    </row>
    <row r="26" spans="1:8" s="9" customFormat="1" ht="30" customHeight="1">
      <c r="A26" s="476">
        <v>14.14</v>
      </c>
      <c r="B26" s="372" t="s">
        <v>907</v>
      </c>
      <c r="C26" s="315" t="s">
        <v>939</v>
      </c>
      <c r="D26" s="979">
        <v>0</v>
      </c>
      <c r="E26" s="979">
        <v>0</v>
      </c>
      <c r="F26" s="219"/>
      <c r="G26" s="222">
        <f>E26*D26</f>
        <v>0</v>
      </c>
      <c r="H26" s="474"/>
    </row>
    <row r="27" spans="1:8" s="9" customFormat="1" ht="30" customHeight="1">
      <c r="A27" s="476">
        <v>14.15</v>
      </c>
      <c r="B27" s="372" t="s">
        <v>908</v>
      </c>
      <c r="C27" s="315" t="s">
        <v>100</v>
      </c>
      <c r="D27" s="979">
        <v>0</v>
      </c>
      <c r="E27" s="979">
        <v>0</v>
      </c>
      <c r="F27" s="219">
        <f>D27</f>
        <v>0</v>
      </c>
      <c r="G27" s="222">
        <f>E27*D27</f>
        <v>0</v>
      </c>
      <c r="H27" s="474"/>
    </row>
    <row r="28" spans="1:8" s="9" customFormat="1" ht="30" customHeight="1">
      <c r="A28" s="476">
        <v>14.16</v>
      </c>
      <c r="B28" s="372" t="s">
        <v>909</v>
      </c>
      <c r="C28" s="315" t="s">
        <v>100</v>
      </c>
      <c r="D28" s="979">
        <v>0</v>
      </c>
      <c r="E28" s="979">
        <v>0</v>
      </c>
      <c r="F28" s="219">
        <f>D28</f>
        <v>0</v>
      </c>
      <c r="G28" s="222">
        <f>E28*D28</f>
        <v>0</v>
      </c>
      <c r="H28" s="474"/>
    </row>
    <row r="29" spans="1:8" s="9" customFormat="1" ht="20.100000000000001" customHeight="1">
      <c r="A29" s="471"/>
      <c r="B29" s="477" t="s">
        <v>946</v>
      </c>
      <c r="C29" s="481"/>
      <c r="D29" s="481"/>
      <c r="E29" s="481"/>
      <c r="F29" s="481"/>
      <c r="G29" s="481"/>
      <c r="H29" s="482"/>
    </row>
    <row r="30" spans="1:8" s="9" customFormat="1" ht="30" customHeight="1">
      <c r="A30" s="476">
        <v>14.17</v>
      </c>
      <c r="B30" s="372" t="s">
        <v>947</v>
      </c>
      <c r="C30" s="315" t="s">
        <v>948</v>
      </c>
      <c r="D30" s="979">
        <v>0</v>
      </c>
      <c r="E30" s="979">
        <v>0</v>
      </c>
      <c r="F30" s="219"/>
      <c r="G30" s="222">
        <f>E30*D30</f>
        <v>0</v>
      </c>
      <c r="H30" s="474"/>
    </row>
    <row r="31" spans="1:8" s="9" customFormat="1" ht="30" customHeight="1">
      <c r="A31" s="476">
        <v>14.18</v>
      </c>
      <c r="B31" s="372" t="s">
        <v>949</v>
      </c>
      <c r="C31" s="315" t="s">
        <v>939</v>
      </c>
      <c r="D31" s="979">
        <v>0</v>
      </c>
      <c r="E31" s="979">
        <v>0</v>
      </c>
      <c r="F31" s="219"/>
      <c r="G31" s="222">
        <f>E31*D31</f>
        <v>0</v>
      </c>
      <c r="H31" s="474"/>
    </row>
    <row r="32" spans="1:8" s="9" customFormat="1" ht="30" customHeight="1">
      <c r="A32" s="476">
        <v>14.19</v>
      </c>
      <c r="B32" s="372" t="s">
        <v>950</v>
      </c>
      <c r="C32" s="315" t="s">
        <v>939</v>
      </c>
      <c r="D32" s="979">
        <v>0</v>
      </c>
      <c r="E32" s="979">
        <v>0</v>
      </c>
      <c r="F32" s="219"/>
      <c r="G32" s="222">
        <f>E32*D32</f>
        <v>0</v>
      </c>
      <c r="H32" s="474"/>
    </row>
    <row r="33" spans="1:8" s="9" customFormat="1" ht="30" customHeight="1">
      <c r="A33" s="476">
        <v>14.2</v>
      </c>
      <c r="B33" s="372" t="s">
        <v>951</v>
      </c>
      <c r="C33" s="315" t="s">
        <v>100</v>
      </c>
      <c r="D33" s="979">
        <v>0</v>
      </c>
      <c r="E33" s="979">
        <v>0</v>
      </c>
      <c r="F33" s="219">
        <f>D33</f>
        <v>0</v>
      </c>
      <c r="G33" s="222">
        <f>E33*D33</f>
        <v>0</v>
      </c>
      <c r="H33" s="474"/>
    </row>
    <row r="34" spans="1:8" s="9" customFormat="1" ht="30" customHeight="1">
      <c r="A34" s="476">
        <v>14.21</v>
      </c>
      <c r="B34" s="372" t="s">
        <v>952</v>
      </c>
      <c r="C34" s="315" t="s">
        <v>100</v>
      </c>
      <c r="D34" s="979">
        <v>0</v>
      </c>
      <c r="E34" s="979">
        <v>0</v>
      </c>
      <c r="F34" s="219">
        <f>D34</f>
        <v>0</v>
      </c>
      <c r="G34" s="222">
        <f>E34*D34</f>
        <v>0</v>
      </c>
      <c r="H34" s="474"/>
    </row>
    <row r="35" spans="1:8" s="9" customFormat="1" ht="20.100000000000001" customHeight="1">
      <c r="A35" s="471"/>
      <c r="B35" s="477" t="s">
        <v>261</v>
      </c>
      <c r="C35" s="472"/>
      <c r="D35" s="472"/>
      <c r="E35" s="472"/>
      <c r="F35" s="472"/>
      <c r="G35" s="472"/>
      <c r="H35" s="473"/>
    </row>
    <row r="36" spans="1:8" s="9" customFormat="1" ht="30" customHeight="1">
      <c r="A36" s="476">
        <v>14.22</v>
      </c>
      <c r="B36" s="372" t="s">
        <v>928</v>
      </c>
      <c r="C36" s="315" t="s">
        <v>100</v>
      </c>
      <c r="D36" s="979">
        <v>0</v>
      </c>
      <c r="E36" s="979">
        <v>0</v>
      </c>
      <c r="F36" s="219">
        <f>D36</f>
        <v>0</v>
      </c>
      <c r="G36" s="222">
        <f>E36*D36</f>
        <v>0</v>
      </c>
      <c r="H36" s="474"/>
    </row>
    <row r="37" spans="1:8" s="9" customFormat="1" ht="20.100000000000001" customHeight="1">
      <c r="A37" s="471"/>
      <c r="B37" s="477" t="s">
        <v>953</v>
      </c>
      <c r="C37" s="483"/>
      <c r="D37" s="483"/>
      <c r="E37" s="483"/>
      <c r="F37" s="483"/>
      <c r="G37" s="483"/>
      <c r="H37" s="484"/>
    </row>
    <row r="38" spans="1:8" s="19" customFormat="1" ht="30" customHeight="1">
      <c r="A38" s="493">
        <v>14.23</v>
      </c>
      <c r="B38" s="265" t="s">
        <v>954</v>
      </c>
      <c r="C38" s="315" t="s">
        <v>85</v>
      </c>
      <c r="D38" s="222">
        <v>1</v>
      </c>
      <c r="E38" s="979">
        <v>0</v>
      </c>
      <c r="F38" s="219"/>
      <c r="G38" s="371">
        <f t="shared" ref="G38:G44" si="1">E38*D38</f>
        <v>0</v>
      </c>
      <c r="H38" s="494"/>
    </row>
    <row r="39" spans="1:8" s="9" customFormat="1" ht="30" customHeight="1">
      <c r="A39" s="476">
        <v>14.24</v>
      </c>
      <c r="B39" s="372" t="s">
        <v>930</v>
      </c>
      <c r="C39" s="315" t="s">
        <v>100</v>
      </c>
      <c r="D39" s="979">
        <v>0</v>
      </c>
      <c r="E39" s="979">
        <v>0</v>
      </c>
      <c r="F39" s="219">
        <f t="shared" ref="F39:F44" si="2">D39</f>
        <v>0</v>
      </c>
      <c r="G39" s="222">
        <f t="shared" si="1"/>
        <v>0</v>
      </c>
      <c r="H39" s="474"/>
    </row>
    <row r="40" spans="1:8" s="9" customFormat="1" ht="30" customHeight="1">
      <c r="A40" s="493">
        <v>14.25</v>
      </c>
      <c r="B40" s="495" t="s">
        <v>931</v>
      </c>
      <c r="C40" s="315" t="s">
        <v>441</v>
      </c>
      <c r="D40" s="979">
        <v>0</v>
      </c>
      <c r="E40" s="979">
        <v>0</v>
      </c>
      <c r="F40" s="219"/>
      <c r="G40" s="222">
        <f t="shared" si="1"/>
        <v>0</v>
      </c>
      <c r="H40" s="474"/>
    </row>
    <row r="41" spans="1:8" s="9" customFormat="1" ht="30" customHeight="1">
      <c r="A41" s="476">
        <v>14.26</v>
      </c>
      <c r="B41" s="495" t="s">
        <v>975</v>
      </c>
      <c r="C41" s="315" t="s">
        <v>491</v>
      </c>
      <c r="D41" s="979">
        <v>0</v>
      </c>
      <c r="E41" s="979">
        <v>0</v>
      </c>
      <c r="F41" s="219"/>
      <c r="G41" s="222">
        <f t="shared" si="1"/>
        <v>0</v>
      </c>
      <c r="H41" s="474"/>
    </row>
    <row r="42" spans="1:8" s="9" customFormat="1" ht="30" customHeight="1">
      <c r="A42" s="476">
        <v>14.27</v>
      </c>
      <c r="B42" s="372" t="s">
        <v>936</v>
      </c>
      <c r="C42" s="315" t="s">
        <v>100</v>
      </c>
      <c r="D42" s="979">
        <v>0</v>
      </c>
      <c r="E42" s="979">
        <v>0</v>
      </c>
      <c r="F42" s="219">
        <f t="shared" si="2"/>
        <v>0</v>
      </c>
      <c r="G42" s="222">
        <f t="shared" si="1"/>
        <v>0</v>
      </c>
      <c r="H42" s="474"/>
    </row>
    <row r="43" spans="1:8" s="9" customFormat="1" ht="30" customHeight="1">
      <c r="A43" s="493">
        <v>14.28</v>
      </c>
      <c r="B43" s="372" t="s">
        <v>976</v>
      </c>
      <c r="C43" s="315" t="s">
        <v>100</v>
      </c>
      <c r="D43" s="979">
        <v>0</v>
      </c>
      <c r="E43" s="979">
        <v>0</v>
      </c>
      <c r="F43" s="219">
        <f t="shared" si="2"/>
        <v>0</v>
      </c>
      <c r="G43" s="222">
        <f t="shared" si="1"/>
        <v>0</v>
      </c>
      <c r="H43" s="474"/>
    </row>
    <row r="44" spans="1:8" s="9" customFormat="1" ht="30" customHeight="1">
      <c r="A44" s="476">
        <v>14.29</v>
      </c>
      <c r="B44" s="372" t="s">
        <v>1002</v>
      </c>
      <c r="C44" s="315" t="s">
        <v>100</v>
      </c>
      <c r="D44" s="979">
        <v>0</v>
      </c>
      <c r="E44" s="979">
        <v>0</v>
      </c>
      <c r="F44" s="219">
        <f t="shared" si="2"/>
        <v>0</v>
      </c>
      <c r="G44" s="222">
        <f t="shared" si="1"/>
        <v>0</v>
      </c>
      <c r="H44" s="474"/>
    </row>
    <row r="45" spans="1:8" s="9" customFormat="1" ht="20.100000000000001" customHeight="1">
      <c r="A45" s="471"/>
      <c r="B45" s="477" t="s">
        <v>933</v>
      </c>
      <c r="C45" s="472"/>
      <c r="D45" s="472"/>
      <c r="E45" s="472"/>
      <c r="F45" s="472"/>
      <c r="G45" s="472"/>
      <c r="H45" s="473"/>
    </row>
    <row r="46" spans="1:8" s="9" customFormat="1" ht="30" customHeight="1">
      <c r="A46" s="476">
        <v>14.3</v>
      </c>
      <c r="B46" s="372" t="s">
        <v>977</v>
      </c>
      <c r="C46" s="315" t="s">
        <v>100</v>
      </c>
      <c r="D46" s="979">
        <v>0</v>
      </c>
      <c r="E46" s="979">
        <v>0</v>
      </c>
      <c r="F46" s="219">
        <f>D46</f>
        <v>0</v>
      </c>
      <c r="G46" s="222">
        <f>E46*D46</f>
        <v>0</v>
      </c>
      <c r="H46" s="474"/>
    </row>
    <row r="47" spans="1:8" s="11" customFormat="1" ht="20.100000000000001" customHeight="1">
      <c r="A47" s="479"/>
      <c r="B47" s="477" t="s">
        <v>1003</v>
      </c>
      <c r="C47" s="455"/>
      <c r="D47" s="455"/>
      <c r="E47" s="455"/>
      <c r="F47" s="455"/>
      <c r="G47" s="455"/>
      <c r="H47" s="480"/>
    </row>
    <row r="48" spans="1:8" s="11" customFormat="1" ht="30" customHeight="1">
      <c r="A48" s="476">
        <v>14.31</v>
      </c>
      <c r="B48" s="372" t="s">
        <v>1004</v>
      </c>
      <c r="C48" s="315" t="s">
        <v>491</v>
      </c>
      <c r="D48" s="979">
        <v>0</v>
      </c>
      <c r="E48" s="979">
        <v>0</v>
      </c>
      <c r="F48" s="219"/>
      <c r="G48" s="222">
        <f t="shared" ref="G48:G61" si="3">E48*D48</f>
        <v>0</v>
      </c>
      <c r="H48" s="474"/>
    </row>
    <row r="49" spans="1:8" s="11" customFormat="1" ht="30" customHeight="1">
      <c r="A49" s="476">
        <v>14.32</v>
      </c>
      <c r="B49" s="372" t="s">
        <v>1005</v>
      </c>
      <c r="C49" s="315" t="s">
        <v>491</v>
      </c>
      <c r="D49" s="979">
        <v>0</v>
      </c>
      <c r="E49" s="979">
        <v>0</v>
      </c>
      <c r="F49" s="219"/>
      <c r="G49" s="222">
        <f t="shared" si="3"/>
        <v>0</v>
      </c>
      <c r="H49" s="474"/>
    </row>
    <row r="50" spans="1:8" s="11" customFormat="1" ht="30" customHeight="1">
      <c r="A50" s="476">
        <v>14.33</v>
      </c>
      <c r="B50" s="316" t="s">
        <v>1006</v>
      </c>
      <c r="C50" s="315" t="s">
        <v>491</v>
      </c>
      <c r="D50" s="979">
        <v>0</v>
      </c>
      <c r="E50" s="979">
        <v>0</v>
      </c>
      <c r="F50" s="219"/>
      <c r="G50" s="222">
        <f t="shared" si="3"/>
        <v>0</v>
      </c>
      <c r="H50" s="474"/>
    </row>
    <row r="51" spans="1:8" s="11" customFormat="1" ht="30" customHeight="1">
      <c r="A51" s="476">
        <v>14.34</v>
      </c>
      <c r="B51" s="372" t="s">
        <v>375</v>
      </c>
      <c r="C51" s="315" t="s">
        <v>491</v>
      </c>
      <c r="D51" s="979">
        <v>0</v>
      </c>
      <c r="E51" s="979">
        <v>0</v>
      </c>
      <c r="F51" s="219"/>
      <c r="G51" s="222">
        <f t="shared" si="3"/>
        <v>0</v>
      </c>
      <c r="H51" s="474"/>
    </row>
    <row r="52" spans="1:8" s="11" customFormat="1" ht="30" customHeight="1">
      <c r="A52" s="476">
        <v>14.35</v>
      </c>
      <c r="B52" s="372" t="s">
        <v>1007</v>
      </c>
      <c r="C52" s="315" t="s">
        <v>491</v>
      </c>
      <c r="D52" s="979">
        <v>0</v>
      </c>
      <c r="E52" s="979">
        <v>0</v>
      </c>
      <c r="F52" s="219"/>
      <c r="G52" s="222">
        <f t="shared" si="3"/>
        <v>0</v>
      </c>
      <c r="H52" s="474"/>
    </row>
    <row r="53" spans="1:8" s="11" customFormat="1" ht="30" customHeight="1">
      <c r="A53" s="476">
        <v>14.36</v>
      </c>
      <c r="B53" s="265" t="s">
        <v>348</v>
      </c>
      <c r="C53" s="315" t="s">
        <v>491</v>
      </c>
      <c r="D53" s="979">
        <v>0</v>
      </c>
      <c r="E53" s="979">
        <v>0</v>
      </c>
      <c r="F53" s="219"/>
      <c r="G53" s="222">
        <f t="shared" si="3"/>
        <v>0</v>
      </c>
      <c r="H53" s="474"/>
    </row>
    <row r="54" spans="1:8" s="11" customFormat="1" ht="30" customHeight="1">
      <c r="A54" s="476">
        <v>14.37</v>
      </c>
      <c r="B54" s="265" t="s">
        <v>1008</v>
      </c>
      <c r="C54" s="315" t="s">
        <v>491</v>
      </c>
      <c r="D54" s="979">
        <v>0</v>
      </c>
      <c r="E54" s="979">
        <v>0</v>
      </c>
      <c r="F54" s="219"/>
      <c r="G54" s="222">
        <f t="shared" si="3"/>
        <v>0</v>
      </c>
      <c r="H54" s="474"/>
    </row>
    <row r="55" spans="1:8" s="11" customFormat="1" ht="30" customHeight="1">
      <c r="A55" s="476">
        <v>14.38</v>
      </c>
      <c r="B55" s="265" t="s">
        <v>1009</v>
      </c>
      <c r="C55" s="315" t="s">
        <v>491</v>
      </c>
      <c r="D55" s="979">
        <v>0</v>
      </c>
      <c r="E55" s="979">
        <v>0</v>
      </c>
      <c r="F55" s="219"/>
      <c r="G55" s="222">
        <f t="shared" si="3"/>
        <v>0</v>
      </c>
      <c r="H55" s="474"/>
    </row>
    <row r="56" spans="1:8" s="11" customFormat="1" ht="30" customHeight="1">
      <c r="A56" s="476">
        <v>14.39</v>
      </c>
      <c r="B56" s="265" t="s">
        <v>1010</v>
      </c>
      <c r="C56" s="315" t="s">
        <v>491</v>
      </c>
      <c r="D56" s="979">
        <v>0</v>
      </c>
      <c r="E56" s="979">
        <v>0</v>
      </c>
      <c r="F56" s="219"/>
      <c r="G56" s="222">
        <f t="shared" si="3"/>
        <v>0</v>
      </c>
      <c r="H56" s="474"/>
    </row>
    <row r="57" spans="1:8" s="11" customFormat="1" ht="30" customHeight="1">
      <c r="A57" s="476">
        <v>14.4</v>
      </c>
      <c r="B57" s="372" t="s">
        <v>992</v>
      </c>
      <c r="C57" s="315" t="s">
        <v>100</v>
      </c>
      <c r="D57" s="979">
        <v>0</v>
      </c>
      <c r="E57" s="979">
        <v>0</v>
      </c>
      <c r="F57" s="219">
        <f>D57</f>
        <v>0</v>
      </c>
      <c r="G57" s="222">
        <f t="shared" si="3"/>
        <v>0</v>
      </c>
      <c r="H57" s="474"/>
    </row>
    <row r="58" spans="1:8" s="11" customFormat="1" ht="30" customHeight="1">
      <c r="A58" s="476">
        <v>14.41</v>
      </c>
      <c r="B58" s="372" t="s">
        <v>993</v>
      </c>
      <c r="C58" s="315" t="s">
        <v>100</v>
      </c>
      <c r="D58" s="979">
        <v>0</v>
      </c>
      <c r="E58" s="979">
        <v>0</v>
      </c>
      <c r="F58" s="219">
        <f>D58</f>
        <v>0</v>
      </c>
      <c r="G58" s="222">
        <f t="shared" si="3"/>
        <v>0</v>
      </c>
      <c r="H58" s="474"/>
    </row>
    <row r="59" spans="1:8" s="11" customFormat="1" ht="30" customHeight="1">
      <c r="A59" s="476">
        <v>14.42</v>
      </c>
      <c r="B59" s="372" t="s">
        <v>994</v>
      </c>
      <c r="C59" s="315" t="s">
        <v>100</v>
      </c>
      <c r="D59" s="979">
        <v>0</v>
      </c>
      <c r="E59" s="979">
        <v>0</v>
      </c>
      <c r="F59" s="219">
        <f>D59</f>
        <v>0</v>
      </c>
      <c r="G59" s="222">
        <f t="shared" si="3"/>
        <v>0</v>
      </c>
      <c r="H59" s="474"/>
    </row>
    <row r="60" spans="1:8" s="11" customFormat="1" ht="30" customHeight="1">
      <c r="A60" s="476">
        <v>14.43</v>
      </c>
      <c r="B60" s="372" t="s">
        <v>995</v>
      </c>
      <c r="C60" s="315" t="s">
        <v>100</v>
      </c>
      <c r="D60" s="979">
        <v>0</v>
      </c>
      <c r="E60" s="979">
        <v>0</v>
      </c>
      <c r="F60" s="219">
        <f>D60</f>
        <v>0</v>
      </c>
      <c r="G60" s="222">
        <f t="shared" si="3"/>
        <v>0</v>
      </c>
      <c r="H60" s="474"/>
    </row>
    <row r="61" spans="1:8" s="14" customFormat="1" ht="30" customHeight="1">
      <c r="A61" s="476">
        <v>14.44</v>
      </c>
      <c r="B61" s="372" t="s">
        <v>996</v>
      </c>
      <c r="C61" s="315" t="s">
        <v>100</v>
      </c>
      <c r="D61" s="979">
        <v>0</v>
      </c>
      <c r="E61" s="979">
        <v>0</v>
      </c>
      <c r="F61" s="219">
        <f>D61</f>
        <v>0</v>
      </c>
      <c r="G61" s="222">
        <f t="shared" si="3"/>
        <v>0</v>
      </c>
      <c r="H61" s="474"/>
    </row>
    <row r="62" spans="1:8" s="11" customFormat="1" ht="20.100000000000001" customHeight="1">
      <c r="A62" s="471"/>
      <c r="B62" s="491" t="s">
        <v>1011</v>
      </c>
      <c r="C62" s="472"/>
      <c r="D62" s="472"/>
      <c r="E62" s="472"/>
      <c r="F62" s="472"/>
      <c r="G62" s="472"/>
      <c r="H62" s="473"/>
    </row>
    <row r="63" spans="1:8" s="11" customFormat="1" ht="30" customHeight="1">
      <c r="A63" s="476">
        <v>14.45</v>
      </c>
      <c r="B63" s="372" t="s">
        <v>1004</v>
      </c>
      <c r="C63" s="315" t="s">
        <v>491</v>
      </c>
      <c r="D63" s="979">
        <v>0</v>
      </c>
      <c r="E63" s="979">
        <v>0</v>
      </c>
      <c r="F63" s="219"/>
      <c r="G63" s="222">
        <f t="shared" ref="G63:G82" si="4">E63*D63</f>
        <v>0</v>
      </c>
      <c r="H63" s="474"/>
    </row>
    <row r="64" spans="1:8" s="11" customFormat="1" ht="30" customHeight="1">
      <c r="A64" s="476">
        <v>14.46</v>
      </c>
      <c r="B64" s="372" t="s">
        <v>1005</v>
      </c>
      <c r="C64" s="315" t="s">
        <v>491</v>
      </c>
      <c r="D64" s="979">
        <v>0</v>
      </c>
      <c r="E64" s="979">
        <v>0</v>
      </c>
      <c r="F64" s="219"/>
      <c r="G64" s="222">
        <f t="shared" si="4"/>
        <v>0</v>
      </c>
      <c r="H64" s="474"/>
    </row>
    <row r="65" spans="1:8" s="11" customFormat="1" ht="30" customHeight="1">
      <c r="A65" s="476">
        <v>14.47</v>
      </c>
      <c r="B65" s="316" t="s">
        <v>1006</v>
      </c>
      <c r="C65" s="315" t="s">
        <v>491</v>
      </c>
      <c r="D65" s="979">
        <v>0</v>
      </c>
      <c r="E65" s="979">
        <v>0</v>
      </c>
      <c r="F65" s="219"/>
      <c r="G65" s="222">
        <f t="shared" si="4"/>
        <v>0</v>
      </c>
      <c r="H65" s="474"/>
    </row>
    <row r="66" spans="1:8" s="11" customFormat="1" ht="30" customHeight="1">
      <c r="A66" s="476">
        <v>14.48</v>
      </c>
      <c r="B66" s="372" t="s">
        <v>376</v>
      </c>
      <c r="C66" s="315" t="s">
        <v>491</v>
      </c>
      <c r="D66" s="979">
        <v>0</v>
      </c>
      <c r="E66" s="979">
        <v>0</v>
      </c>
      <c r="F66" s="219"/>
      <c r="G66" s="222">
        <f t="shared" si="4"/>
        <v>0</v>
      </c>
      <c r="H66" s="474"/>
    </row>
    <row r="67" spans="1:8" s="11" customFormat="1" ht="30" customHeight="1">
      <c r="A67" s="476">
        <v>14.49</v>
      </c>
      <c r="B67" s="372" t="s">
        <v>377</v>
      </c>
      <c r="C67" s="315" t="s">
        <v>491</v>
      </c>
      <c r="D67" s="979">
        <v>0</v>
      </c>
      <c r="E67" s="979">
        <v>0</v>
      </c>
      <c r="F67" s="219"/>
      <c r="G67" s="222">
        <f t="shared" si="4"/>
        <v>0</v>
      </c>
      <c r="H67" s="474"/>
    </row>
    <row r="68" spans="1:8" s="11" customFormat="1" ht="30" customHeight="1">
      <c r="A68" s="476">
        <v>14.5</v>
      </c>
      <c r="B68" s="372" t="s">
        <v>1007</v>
      </c>
      <c r="C68" s="315" t="s">
        <v>491</v>
      </c>
      <c r="D68" s="979">
        <v>0</v>
      </c>
      <c r="E68" s="979">
        <v>0</v>
      </c>
      <c r="F68" s="219"/>
      <c r="G68" s="222">
        <f t="shared" si="4"/>
        <v>0</v>
      </c>
      <c r="H68" s="474"/>
    </row>
    <row r="69" spans="1:8" s="11" customFormat="1" ht="30" customHeight="1">
      <c r="A69" s="476">
        <v>14.51</v>
      </c>
      <c r="B69" s="265" t="s">
        <v>348</v>
      </c>
      <c r="C69" s="315" t="s">
        <v>491</v>
      </c>
      <c r="D69" s="979">
        <v>0</v>
      </c>
      <c r="E69" s="979">
        <v>0</v>
      </c>
      <c r="F69" s="219"/>
      <c r="G69" s="222">
        <f t="shared" si="4"/>
        <v>0</v>
      </c>
      <c r="H69" s="474"/>
    </row>
    <row r="70" spans="1:8" s="11" customFormat="1" ht="30" customHeight="1">
      <c r="A70" s="476">
        <v>14.52</v>
      </c>
      <c r="B70" s="265" t="s">
        <v>1008</v>
      </c>
      <c r="C70" s="315" t="s">
        <v>491</v>
      </c>
      <c r="D70" s="979">
        <v>0</v>
      </c>
      <c r="E70" s="979">
        <v>0</v>
      </c>
      <c r="F70" s="219"/>
      <c r="G70" s="222">
        <f t="shared" si="4"/>
        <v>0</v>
      </c>
      <c r="H70" s="474"/>
    </row>
    <row r="71" spans="1:8" s="11" customFormat="1" ht="30" customHeight="1">
      <c r="A71" s="476">
        <v>14.53</v>
      </c>
      <c r="B71" s="265" t="s">
        <v>1009</v>
      </c>
      <c r="C71" s="315" t="s">
        <v>491</v>
      </c>
      <c r="D71" s="979">
        <v>0</v>
      </c>
      <c r="E71" s="979">
        <v>0</v>
      </c>
      <c r="F71" s="219"/>
      <c r="G71" s="222">
        <f t="shared" si="4"/>
        <v>0</v>
      </c>
      <c r="H71" s="474"/>
    </row>
    <row r="72" spans="1:8" s="11" customFormat="1" ht="30" customHeight="1">
      <c r="A72" s="476">
        <v>14.54</v>
      </c>
      <c r="B72" s="265" t="s">
        <v>1010</v>
      </c>
      <c r="C72" s="315" t="s">
        <v>491</v>
      </c>
      <c r="D72" s="979">
        <v>0</v>
      </c>
      <c r="E72" s="979">
        <v>0</v>
      </c>
      <c r="F72" s="219"/>
      <c r="G72" s="222">
        <f t="shared" si="4"/>
        <v>0</v>
      </c>
      <c r="H72" s="474"/>
    </row>
    <row r="73" spans="1:8" s="11" customFormat="1" ht="30" customHeight="1">
      <c r="A73" s="476">
        <v>14.55</v>
      </c>
      <c r="B73" s="372" t="s">
        <v>992</v>
      </c>
      <c r="C73" s="315" t="s">
        <v>100</v>
      </c>
      <c r="D73" s="979">
        <v>0</v>
      </c>
      <c r="E73" s="979">
        <v>0</v>
      </c>
      <c r="F73" s="219">
        <f>D73</f>
        <v>0</v>
      </c>
      <c r="G73" s="222">
        <f t="shared" si="4"/>
        <v>0</v>
      </c>
      <c r="H73" s="474"/>
    </row>
    <row r="74" spans="1:8" s="11" customFormat="1" ht="30" customHeight="1">
      <c r="A74" s="476">
        <v>14.56</v>
      </c>
      <c r="B74" s="372" t="s">
        <v>993</v>
      </c>
      <c r="C74" s="315" t="s">
        <v>100</v>
      </c>
      <c r="D74" s="979">
        <v>0</v>
      </c>
      <c r="E74" s="979">
        <v>0</v>
      </c>
      <c r="F74" s="219">
        <f>D74</f>
        <v>0</v>
      </c>
      <c r="G74" s="222">
        <f t="shared" si="4"/>
        <v>0</v>
      </c>
      <c r="H74" s="474"/>
    </row>
    <row r="75" spans="1:8" s="11" customFormat="1" ht="30" customHeight="1">
      <c r="A75" s="476">
        <v>14.57</v>
      </c>
      <c r="B75" s="372" t="s">
        <v>994</v>
      </c>
      <c r="C75" s="315" t="s">
        <v>100</v>
      </c>
      <c r="D75" s="979">
        <v>0</v>
      </c>
      <c r="E75" s="979">
        <v>0</v>
      </c>
      <c r="F75" s="219">
        <f>D75</f>
        <v>0</v>
      </c>
      <c r="G75" s="222">
        <f t="shared" si="4"/>
        <v>0</v>
      </c>
      <c r="H75" s="474"/>
    </row>
    <row r="76" spans="1:8" s="11" customFormat="1" ht="30" customHeight="1">
      <c r="A76" s="476">
        <v>14.58</v>
      </c>
      <c r="B76" s="372" t="s">
        <v>995</v>
      </c>
      <c r="C76" s="315" t="s">
        <v>100</v>
      </c>
      <c r="D76" s="979">
        <v>0</v>
      </c>
      <c r="E76" s="979">
        <v>0</v>
      </c>
      <c r="F76" s="219">
        <f>D76</f>
        <v>0</v>
      </c>
      <c r="G76" s="222">
        <f t="shared" si="4"/>
        <v>0</v>
      </c>
      <c r="H76" s="474"/>
    </row>
    <row r="77" spans="1:8" s="2" customFormat="1" ht="30" customHeight="1">
      <c r="A77" s="476">
        <v>14.59</v>
      </c>
      <c r="B77" s="372" t="s">
        <v>996</v>
      </c>
      <c r="C77" s="315" t="s">
        <v>100</v>
      </c>
      <c r="D77" s="979">
        <v>0</v>
      </c>
      <c r="E77" s="979">
        <v>0</v>
      </c>
      <c r="F77" s="219">
        <f>D77</f>
        <v>0</v>
      </c>
      <c r="G77" s="222">
        <f t="shared" si="4"/>
        <v>0</v>
      </c>
      <c r="H77" s="474"/>
    </row>
    <row r="78" spans="1:8" s="2" customFormat="1" ht="20.100000000000001" customHeight="1">
      <c r="A78" s="485"/>
      <c r="B78" s="492" t="s">
        <v>1066</v>
      </c>
      <c r="C78" s="486"/>
      <c r="D78" s="486"/>
      <c r="E78" s="486"/>
      <c r="F78" s="486"/>
      <c r="G78" s="486"/>
      <c r="H78" s="487"/>
    </row>
    <row r="79" spans="1:8" s="2" customFormat="1" ht="41.4">
      <c r="A79" s="366">
        <v>14.6</v>
      </c>
      <c r="B79" s="265" t="s">
        <v>1067</v>
      </c>
      <c r="C79" s="315" t="s">
        <v>1068</v>
      </c>
      <c r="D79" s="979">
        <v>0</v>
      </c>
      <c r="E79" s="979">
        <v>0</v>
      </c>
      <c r="F79" s="219"/>
      <c r="G79" s="222">
        <f>E79*D79</f>
        <v>0</v>
      </c>
      <c r="H79" s="496"/>
    </row>
    <row r="80" spans="1:8" s="2" customFormat="1" ht="30" customHeight="1">
      <c r="A80" s="366">
        <v>14.61</v>
      </c>
      <c r="B80" s="265" t="s">
        <v>1069</v>
      </c>
      <c r="C80" s="315" t="s">
        <v>100</v>
      </c>
      <c r="D80" s="979">
        <v>0</v>
      </c>
      <c r="E80" s="979">
        <v>0</v>
      </c>
      <c r="F80" s="219">
        <f>D80</f>
        <v>0</v>
      </c>
      <c r="G80" s="222">
        <f>E80*D80</f>
        <v>0</v>
      </c>
      <c r="H80" s="496"/>
    </row>
    <row r="81" spans="1:8" s="2" customFormat="1" ht="20.100000000000001" customHeight="1">
      <c r="A81" s="485"/>
      <c r="B81" s="492" t="s">
        <v>860</v>
      </c>
      <c r="C81" s="486"/>
      <c r="D81" s="486"/>
      <c r="E81" s="486"/>
      <c r="F81" s="486"/>
      <c r="G81" s="486"/>
      <c r="H81" s="487"/>
    </row>
    <row r="82" spans="1:8" s="2" customFormat="1" ht="30" customHeight="1">
      <c r="A82" s="368">
        <v>14.62</v>
      </c>
      <c r="B82" s="372" t="s">
        <v>860</v>
      </c>
      <c r="C82" s="315" t="s">
        <v>491</v>
      </c>
      <c r="D82" s="979">
        <v>0</v>
      </c>
      <c r="E82" s="979">
        <v>0</v>
      </c>
      <c r="F82" s="219"/>
      <c r="G82" s="222">
        <f t="shared" si="4"/>
        <v>0</v>
      </c>
      <c r="H82" s="496"/>
    </row>
    <row r="83" spans="1:8" ht="20.100000000000001" customHeight="1" thickBot="1">
      <c r="A83" s="2479" t="s">
        <v>379</v>
      </c>
      <c r="B83" s="2480"/>
      <c r="C83" s="2480"/>
      <c r="D83" s="2480"/>
      <c r="E83" s="2481"/>
      <c r="F83" s="467">
        <f>SUM(F10:F82)</f>
        <v>0</v>
      </c>
      <c r="G83" s="248">
        <f>SUM(G10:G82)</f>
        <v>0</v>
      </c>
      <c r="H83" s="387"/>
    </row>
  </sheetData>
  <mergeCells count="10">
    <mergeCell ref="A83:E83"/>
    <mergeCell ref="A4:B4"/>
    <mergeCell ref="C4:F4"/>
    <mergeCell ref="G4:H4"/>
    <mergeCell ref="A5:B5"/>
    <mergeCell ref="C5:F5"/>
    <mergeCell ref="G5:H5"/>
    <mergeCell ref="A6:B6"/>
    <mergeCell ref="C6:F6"/>
    <mergeCell ref="G6:H6"/>
  </mergeCells>
  <phoneticPr fontId="0" type="noConversion"/>
  <printOptions horizontalCentered="1"/>
  <pageMargins left="0.5" right="0.5" top="1" bottom="1" header="0.5" footer="0.5"/>
  <pageSetup scale="59" fitToHeight="0" orientation="landscape" r:id="rId1"/>
  <headerFooter alignWithMargins="0">
    <oddHeader>&amp;C&amp;"Arial,Bold"&amp;12&amp;UProject Activity 14: Structures -Structural Steel</oddHeader>
    <oddFooter>&amp;L&amp;F
&amp;A&amp;CPage &amp;P of &amp;N&amp;R&amp;D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fitToPage="1"/>
  </sheetPr>
  <dimension ref="A1:B30"/>
  <sheetViews>
    <sheetView showGridLines="0" showRuler="0" zoomScale="110" zoomScaleNormal="110" zoomScaleSheetLayoutView="100" workbookViewId="0"/>
  </sheetViews>
  <sheetFormatPr defaultRowHeight="13.2"/>
  <cols>
    <col min="1" max="1" width="2.88671875" customWidth="1"/>
    <col min="2" max="2" width="144.88671875" customWidth="1"/>
  </cols>
  <sheetData>
    <row r="1" spans="1:2" ht="15.6">
      <c r="A1" s="117" t="s">
        <v>256</v>
      </c>
      <c r="B1" s="117"/>
    </row>
    <row r="2" spans="1:2" ht="15" customHeight="1">
      <c r="A2" s="48">
        <v>1</v>
      </c>
      <c r="B2" s="125" t="s">
        <v>572</v>
      </c>
    </row>
    <row r="3" spans="1:2" ht="26.4">
      <c r="A3" s="48">
        <v>2</v>
      </c>
      <c r="B3" s="170" t="s">
        <v>1601</v>
      </c>
    </row>
    <row r="4" spans="1:2" ht="15" customHeight="1">
      <c r="A4" s="120">
        <v>3</v>
      </c>
      <c r="B4" s="169" t="s">
        <v>1167</v>
      </c>
    </row>
    <row r="5" spans="1:2" ht="15" customHeight="1">
      <c r="A5" s="48">
        <v>4</v>
      </c>
      <c r="B5" s="170" t="s">
        <v>2617</v>
      </c>
    </row>
    <row r="6" spans="1:2" ht="15" customHeight="1">
      <c r="A6" s="169">
        <v>5</v>
      </c>
      <c r="B6" s="156" t="s">
        <v>2620</v>
      </c>
    </row>
    <row r="7" spans="1:2" ht="12" customHeight="1">
      <c r="A7" s="118"/>
      <c r="B7" s="118"/>
    </row>
    <row r="8" spans="1:2" ht="15" customHeight="1">
      <c r="A8" s="117" t="s">
        <v>257</v>
      </c>
      <c r="B8" s="117"/>
    </row>
    <row r="9" spans="1:2" ht="15" customHeight="1">
      <c r="A9" s="118">
        <v>1</v>
      </c>
      <c r="B9" s="118" t="s">
        <v>848</v>
      </c>
    </row>
    <row r="10" spans="1:2" ht="15" customHeight="1">
      <c r="A10" s="125">
        <v>2</v>
      </c>
      <c r="B10" s="170" t="s">
        <v>586</v>
      </c>
    </row>
    <row r="11" spans="1:2" ht="15" customHeight="1">
      <c r="A11" s="118">
        <v>3</v>
      </c>
      <c r="B11" s="156" t="s">
        <v>1602</v>
      </c>
    </row>
    <row r="12" spans="1:2" ht="15" customHeight="1">
      <c r="A12" s="125">
        <v>4</v>
      </c>
      <c r="B12" s="156" t="s">
        <v>1619</v>
      </c>
    </row>
    <row r="13" spans="1:2" ht="12" customHeight="1">
      <c r="A13" s="125"/>
      <c r="B13" s="170"/>
    </row>
    <row r="14" spans="1:2" ht="15.6">
      <c r="A14" s="117" t="s">
        <v>258</v>
      </c>
      <c r="B14" s="117"/>
    </row>
    <row r="15" spans="1:2" ht="15" customHeight="1">
      <c r="A15" s="48">
        <v>1</v>
      </c>
      <c r="B15" s="125" t="s">
        <v>572</v>
      </c>
    </row>
    <row r="16" spans="1:2" ht="39.6">
      <c r="A16" s="48">
        <v>2</v>
      </c>
      <c r="B16" s="170" t="s">
        <v>1603</v>
      </c>
    </row>
    <row r="17" spans="1:2" ht="15" customHeight="1">
      <c r="A17" s="48">
        <v>3</v>
      </c>
      <c r="B17" s="170" t="s">
        <v>1168</v>
      </c>
    </row>
    <row r="18" spans="1:2" ht="15" customHeight="1">
      <c r="A18" s="48">
        <v>4</v>
      </c>
      <c r="B18" s="170" t="s">
        <v>2617</v>
      </c>
    </row>
    <row r="19" spans="1:2" ht="15" customHeight="1">
      <c r="A19" s="48">
        <v>5</v>
      </c>
      <c r="B19" s="170" t="s">
        <v>2620</v>
      </c>
    </row>
    <row r="20" spans="1:2" ht="26.4">
      <c r="A20" s="48">
        <v>6</v>
      </c>
      <c r="B20" s="170" t="s">
        <v>2618</v>
      </c>
    </row>
    <row r="21" spans="1:2" ht="12" customHeight="1">
      <c r="A21" s="120"/>
      <c r="B21" s="118"/>
    </row>
    <row r="22" spans="1:2" ht="15.6">
      <c r="A22" s="117" t="s">
        <v>259</v>
      </c>
      <c r="B22" s="118"/>
    </row>
    <row r="23" spans="1:2" ht="15" customHeight="1">
      <c r="A23" s="118">
        <v>1</v>
      </c>
      <c r="B23" s="118" t="s">
        <v>850</v>
      </c>
    </row>
    <row r="24" spans="1:2" ht="26.4">
      <c r="A24" s="125">
        <v>2</v>
      </c>
      <c r="B24" s="170" t="s">
        <v>1599</v>
      </c>
    </row>
    <row r="25" spans="1:2" ht="15" customHeight="1">
      <c r="A25" s="118">
        <v>3</v>
      </c>
      <c r="B25" s="156" t="s">
        <v>1600</v>
      </c>
    </row>
    <row r="26" spans="1:2" ht="15" customHeight="1">
      <c r="A26" s="118">
        <v>4</v>
      </c>
      <c r="B26" s="156" t="s">
        <v>1620</v>
      </c>
    </row>
    <row r="27" spans="1:2" ht="15" customHeight="1">
      <c r="A27" s="118">
        <v>5</v>
      </c>
      <c r="B27" s="118" t="s">
        <v>851</v>
      </c>
    </row>
    <row r="28" spans="1:2" ht="12" customHeight="1">
      <c r="A28" s="120"/>
      <c r="B28" s="118"/>
    </row>
    <row r="29" spans="1:2" ht="15.6">
      <c r="A29" s="117" t="s">
        <v>260</v>
      </c>
      <c r="B29" s="121"/>
    </row>
    <row r="30" spans="1:2" ht="26.4">
      <c r="A30" s="126">
        <v>1</v>
      </c>
      <c r="B30" s="126" t="s">
        <v>849</v>
      </c>
    </row>
  </sheetData>
  <phoneticPr fontId="0" type="noConversion"/>
  <printOptions horizontalCentered="1"/>
  <pageMargins left="0.65" right="0.5" top="1" bottom="0.46" header="0.5" footer="0.26"/>
  <pageSetup scale="86" orientation="landscape" horizontalDpi="4294967292" r:id="rId1"/>
  <headerFooter alignWithMargins="0">
    <oddHeader>&amp;C&amp;"Arial,Bold"&amp;12&amp;USpreadsheet Instructions</oddHeader>
    <oddFooter>Page &amp;P of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1">
    <pageSetUpPr autoPageBreaks="0"/>
  </sheetPr>
  <dimension ref="A1:H99"/>
  <sheetViews>
    <sheetView showGridLines="0" showRuler="0" zoomScaleNormal="100" zoomScaleSheetLayoutView="100" workbookViewId="0"/>
  </sheetViews>
  <sheetFormatPr defaultColWidth="9.109375" defaultRowHeight="13.2"/>
  <cols>
    <col min="1" max="1" width="6.33203125" style="345" customWidth="1"/>
    <col min="2" max="2" width="50.6640625" style="528" customWidth="1"/>
    <col min="3" max="3" width="12.6640625" style="527" customWidth="1"/>
    <col min="4" max="7" width="12.6640625" style="345" customWidth="1"/>
    <col min="8" max="8" width="100.6640625" style="345" customWidth="1"/>
    <col min="9" max="9" width="6.5546875" style="135" customWidth="1"/>
    <col min="10" max="16384" width="9.109375" style="135"/>
  </cols>
  <sheetData>
    <row r="1" spans="1:8" s="511" customFormat="1" ht="20.100000000000001" customHeight="1">
      <c r="A1" s="362" t="s">
        <v>592</v>
      </c>
      <c r="B1" s="509"/>
      <c r="C1" s="510"/>
      <c r="D1" s="509"/>
      <c r="E1" s="509"/>
      <c r="F1" s="509"/>
      <c r="G1" s="509"/>
      <c r="H1" s="897" t="str">
        <f>'Project Information'!$B$3</f>
        <v>Enter project name &amp; description</v>
      </c>
    </row>
    <row r="2" spans="1:8" s="511" customFormat="1" ht="20.100000000000001" customHeight="1">
      <c r="A2" s="362" t="s">
        <v>254</v>
      </c>
      <c r="B2" s="509"/>
      <c r="C2" s="510"/>
      <c r="D2" s="509"/>
      <c r="E2" s="509"/>
      <c r="F2" s="509"/>
      <c r="G2" s="509"/>
      <c r="H2" s="897" t="str">
        <f>'Project Information'!$B$1</f>
        <v>999999-1-32-01</v>
      </c>
    </row>
    <row r="3" spans="1:8" s="225" customFormat="1" ht="14.4" thickBot="1">
      <c r="A3" s="311"/>
      <c r="B3" s="312"/>
      <c r="C3" s="313"/>
      <c r="D3" s="313"/>
      <c r="E3" s="313"/>
      <c r="F3" s="313"/>
      <c r="G3" s="313"/>
      <c r="H3" s="313"/>
    </row>
    <row r="4" spans="1:8" s="225" customFormat="1" ht="28.5" customHeight="1" thickBot="1">
      <c r="A4" s="2086" t="s">
        <v>1396</v>
      </c>
      <c r="B4" s="2087"/>
      <c r="C4" s="2088" t="s">
        <v>1397</v>
      </c>
      <c r="D4" s="2088"/>
      <c r="E4" s="2088"/>
      <c r="F4" s="2088"/>
      <c r="G4" s="2339" t="s">
        <v>1398</v>
      </c>
      <c r="H4" s="2469"/>
    </row>
    <row r="5" spans="1:8" s="225" customFormat="1" ht="28.5" customHeight="1">
      <c r="A5" s="2089" t="s">
        <v>1400</v>
      </c>
      <c r="B5" s="2090"/>
      <c r="C5" s="2091"/>
      <c r="D5" s="2091"/>
      <c r="E5" s="2091"/>
      <c r="F5" s="2091"/>
      <c r="G5" s="2342"/>
      <c r="H5" s="2470"/>
    </row>
    <row r="6" spans="1:8" s="225" customFormat="1" ht="28.5" customHeight="1" thickBot="1">
      <c r="A6" s="2083" t="s">
        <v>1399</v>
      </c>
      <c r="B6" s="2084"/>
      <c r="C6" s="2085"/>
      <c r="D6" s="2085"/>
      <c r="E6" s="2085"/>
      <c r="F6" s="2085"/>
      <c r="G6" s="2329"/>
      <c r="H6" s="2468"/>
    </row>
    <row r="7" spans="1:8" s="225" customFormat="1" ht="15.6">
      <c r="A7" s="898" t="s">
        <v>1430</v>
      </c>
      <c r="B7" s="270"/>
    </row>
    <row r="8" spans="1:8" s="225" customFormat="1" ht="15" customHeight="1" thickBot="1">
      <c r="A8" s="898"/>
      <c r="B8" s="270"/>
    </row>
    <row r="9" spans="1:8" s="505" customFormat="1" ht="48" customHeight="1">
      <c r="A9" s="512" t="s">
        <v>79</v>
      </c>
      <c r="B9" s="300" t="s">
        <v>190</v>
      </c>
      <c r="C9" s="300" t="s">
        <v>171</v>
      </c>
      <c r="D9" s="266" t="s">
        <v>45</v>
      </c>
      <c r="E9" s="266" t="s">
        <v>706</v>
      </c>
      <c r="F9" s="266" t="s">
        <v>165</v>
      </c>
      <c r="G9" s="266" t="s">
        <v>102</v>
      </c>
      <c r="H9" s="319" t="s">
        <v>164</v>
      </c>
    </row>
    <row r="10" spans="1:8" s="504" customFormat="1" ht="20.100000000000001" customHeight="1">
      <c r="A10" s="501"/>
      <c r="B10" s="453" t="s">
        <v>893</v>
      </c>
      <c r="C10" s="502"/>
      <c r="D10" s="502"/>
      <c r="E10" s="502"/>
      <c r="F10" s="502"/>
      <c r="G10" s="502"/>
      <c r="H10" s="503"/>
    </row>
    <row r="11" spans="1:8" s="504" customFormat="1" ht="30" customHeight="1">
      <c r="A11" s="513">
        <v>15.1</v>
      </c>
      <c r="B11" s="226" t="s">
        <v>1012</v>
      </c>
      <c r="C11" s="273" t="s">
        <v>85</v>
      </c>
      <c r="D11" s="219">
        <v>1</v>
      </c>
      <c r="E11" s="962">
        <v>0</v>
      </c>
      <c r="F11" s="220"/>
      <c r="G11" s="222">
        <f>E11*D11</f>
        <v>0</v>
      </c>
      <c r="H11" s="320"/>
    </row>
    <row r="12" spans="1:8" s="504" customFormat="1" ht="30" customHeight="1">
      <c r="A12" s="513">
        <v>15.2</v>
      </c>
      <c r="B12" s="302" t="s">
        <v>1013</v>
      </c>
      <c r="C12" s="273" t="s">
        <v>85</v>
      </c>
      <c r="D12" s="219">
        <v>1</v>
      </c>
      <c r="E12" s="962">
        <v>0</v>
      </c>
      <c r="F12" s="220"/>
      <c r="G12" s="222">
        <f t="shared" ref="G12:G18" si="0">E12*D12</f>
        <v>0</v>
      </c>
      <c r="H12" s="320"/>
    </row>
    <row r="13" spans="1:8" s="504" customFormat="1" ht="30" customHeight="1">
      <c r="A13" s="513">
        <v>15.3</v>
      </c>
      <c r="B13" s="302" t="s">
        <v>1014</v>
      </c>
      <c r="C13" s="273" t="s">
        <v>85</v>
      </c>
      <c r="D13" s="219">
        <v>1</v>
      </c>
      <c r="E13" s="962">
        <v>0</v>
      </c>
      <c r="F13" s="220"/>
      <c r="G13" s="222">
        <f t="shared" si="0"/>
        <v>0</v>
      </c>
      <c r="H13" s="320"/>
    </row>
    <row r="14" spans="1:8" s="504" customFormat="1" ht="30" customHeight="1">
      <c r="A14" s="513">
        <v>15.4</v>
      </c>
      <c r="B14" s="336" t="s">
        <v>930</v>
      </c>
      <c r="C14" s="273" t="s">
        <v>100</v>
      </c>
      <c r="D14" s="962">
        <v>0</v>
      </c>
      <c r="E14" s="962">
        <v>0</v>
      </c>
      <c r="F14" s="219">
        <f>D14</f>
        <v>0</v>
      </c>
      <c r="G14" s="222">
        <f t="shared" si="0"/>
        <v>0</v>
      </c>
      <c r="H14" s="320"/>
    </row>
    <row r="15" spans="1:8" s="504" customFormat="1" ht="30" customHeight="1">
      <c r="A15" s="513">
        <v>15.5</v>
      </c>
      <c r="B15" s="336" t="s">
        <v>1015</v>
      </c>
      <c r="C15" s="273" t="s">
        <v>85</v>
      </c>
      <c r="D15" s="219">
        <v>1</v>
      </c>
      <c r="E15" s="962">
        <v>0</v>
      </c>
      <c r="F15" s="220"/>
      <c r="G15" s="222">
        <f t="shared" si="0"/>
        <v>0</v>
      </c>
      <c r="H15" s="320"/>
    </row>
    <row r="16" spans="1:8" s="420" customFormat="1" ht="30" customHeight="1">
      <c r="A16" s="513">
        <v>15.6</v>
      </c>
      <c r="B16" s="336" t="s">
        <v>896</v>
      </c>
      <c r="C16" s="273" t="s">
        <v>100</v>
      </c>
      <c r="D16" s="962">
        <v>0</v>
      </c>
      <c r="E16" s="962">
        <v>0</v>
      </c>
      <c r="F16" s="219">
        <f>D16</f>
        <v>0</v>
      </c>
      <c r="G16" s="222">
        <f t="shared" si="0"/>
        <v>0</v>
      </c>
      <c r="H16" s="320"/>
    </row>
    <row r="17" spans="1:8" s="420" customFormat="1" ht="30" customHeight="1">
      <c r="A17" s="513">
        <v>15.7</v>
      </c>
      <c r="B17" s="302" t="s">
        <v>897</v>
      </c>
      <c r="C17" s="273" t="s">
        <v>100</v>
      </c>
      <c r="D17" s="962">
        <v>0</v>
      </c>
      <c r="E17" s="962">
        <v>0</v>
      </c>
      <c r="F17" s="219">
        <f>D17</f>
        <v>0</v>
      </c>
      <c r="G17" s="222">
        <f t="shared" si="0"/>
        <v>0</v>
      </c>
      <c r="H17" s="320"/>
    </row>
    <row r="18" spans="1:8" s="420" customFormat="1" ht="30" customHeight="1">
      <c r="A18" s="513">
        <v>15.8</v>
      </c>
      <c r="B18" s="226" t="s">
        <v>898</v>
      </c>
      <c r="C18" s="273" t="s">
        <v>100</v>
      </c>
      <c r="D18" s="962">
        <v>0</v>
      </c>
      <c r="E18" s="962">
        <v>0</v>
      </c>
      <c r="F18" s="219">
        <f>D18</f>
        <v>0</v>
      </c>
      <c r="G18" s="222">
        <f t="shared" si="0"/>
        <v>0</v>
      </c>
      <c r="H18" s="320"/>
    </row>
    <row r="19" spans="1:8" s="505" customFormat="1" ht="30" customHeight="1">
      <c r="A19" s="513">
        <v>15.9</v>
      </c>
      <c r="B19" s="226" t="s">
        <v>873</v>
      </c>
      <c r="C19" s="273" t="s">
        <v>85</v>
      </c>
      <c r="D19" s="219">
        <v>1</v>
      </c>
      <c r="E19" s="962">
        <v>0</v>
      </c>
      <c r="F19" s="220"/>
      <c r="G19" s="222">
        <f>E19*D19</f>
        <v>0</v>
      </c>
      <c r="H19" s="320"/>
    </row>
    <row r="20" spans="1:8" s="505" customFormat="1" ht="20.100000000000001" customHeight="1">
      <c r="A20" s="501"/>
      <c r="B20" s="453" t="s">
        <v>899</v>
      </c>
      <c r="C20" s="502"/>
      <c r="D20" s="502"/>
      <c r="E20" s="502"/>
      <c r="F20" s="502"/>
      <c r="G20" s="502"/>
      <c r="H20" s="503"/>
    </row>
    <row r="21" spans="1:8" s="505" customFormat="1" ht="30" customHeight="1">
      <c r="A21" s="514">
        <v>15.1</v>
      </c>
      <c r="B21" s="336" t="s">
        <v>900</v>
      </c>
      <c r="C21" s="273" t="s">
        <v>944</v>
      </c>
      <c r="D21" s="962">
        <v>0</v>
      </c>
      <c r="E21" s="962">
        <v>0</v>
      </c>
      <c r="F21" s="220"/>
      <c r="G21" s="222">
        <f>E21*D21</f>
        <v>0</v>
      </c>
      <c r="H21" s="320"/>
    </row>
    <row r="22" spans="1:8" s="505" customFormat="1" ht="30" customHeight="1">
      <c r="A22" s="514">
        <v>15.11</v>
      </c>
      <c r="B22" s="464" t="s">
        <v>708</v>
      </c>
      <c r="C22" s="273" t="s">
        <v>944</v>
      </c>
      <c r="D22" s="962">
        <v>0</v>
      </c>
      <c r="E22" s="962">
        <v>0</v>
      </c>
      <c r="F22" s="220"/>
      <c r="G22" s="222">
        <f>E22*D22</f>
        <v>0</v>
      </c>
      <c r="H22" s="320"/>
    </row>
    <row r="23" spans="1:8" s="505" customFormat="1" ht="30" customHeight="1">
      <c r="A23" s="514">
        <v>15.12</v>
      </c>
      <c r="B23" s="336" t="s">
        <v>901</v>
      </c>
      <c r="C23" s="273" t="s">
        <v>620</v>
      </c>
      <c r="D23" s="962">
        <v>0</v>
      </c>
      <c r="E23" s="962">
        <v>0</v>
      </c>
      <c r="F23" s="220"/>
      <c r="G23" s="222">
        <f>E23*D23</f>
        <v>0</v>
      </c>
      <c r="H23" s="320"/>
    </row>
    <row r="24" spans="1:8" s="505" customFormat="1" ht="30" customHeight="1">
      <c r="A24" s="514">
        <v>15.13</v>
      </c>
      <c r="B24" s="336" t="s">
        <v>902</v>
      </c>
      <c r="C24" s="273" t="s">
        <v>100</v>
      </c>
      <c r="D24" s="962">
        <v>0</v>
      </c>
      <c r="E24" s="962">
        <v>0</v>
      </c>
      <c r="F24" s="219">
        <f>D24</f>
        <v>0</v>
      </c>
      <c r="G24" s="222">
        <f>E24*D24</f>
        <v>0</v>
      </c>
      <c r="H24" s="320"/>
    </row>
    <row r="25" spans="1:8" s="505" customFormat="1" ht="30" customHeight="1">
      <c r="A25" s="514">
        <v>15.14</v>
      </c>
      <c r="B25" s="336" t="s">
        <v>903</v>
      </c>
      <c r="C25" s="273" t="s">
        <v>100</v>
      </c>
      <c r="D25" s="962">
        <v>0</v>
      </c>
      <c r="E25" s="962">
        <v>0</v>
      </c>
      <c r="F25" s="219">
        <f>D25</f>
        <v>0</v>
      </c>
      <c r="G25" s="222">
        <f>E25*D25</f>
        <v>0</v>
      </c>
      <c r="H25" s="320"/>
    </row>
    <row r="26" spans="1:8" s="504" customFormat="1" ht="20.100000000000001" customHeight="1">
      <c r="A26" s="501"/>
      <c r="B26" s="453" t="s">
        <v>946</v>
      </c>
      <c r="C26" s="502"/>
      <c r="D26" s="502"/>
      <c r="E26" s="502"/>
      <c r="F26" s="502"/>
      <c r="G26" s="502"/>
      <c r="H26" s="503"/>
    </row>
    <row r="27" spans="1:8" s="420" customFormat="1" ht="30" customHeight="1">
      <c r="A27" s="514">
        <v>15.15</v>
      </c>
      <c r="B27" s="336" t="s">
        <v>947</v>
      </c>
      <c r="C27" s="273" t="s">
        <v>745</v>
      </c>
      <c r="D27" s="962">
        <v>0</v>
      </c>
      <c r="E27" s="962">
        <v>0</v>
      </c>
      <c r="F27" s="220"/>
      <c r="G27" s="222">
        <f t="shared" ref="G27:G47" si="1">E27*D27</f>
        <v>0</v>
      </c>
      <c r="H27" s="320"/>
    </row>
    <row r="28" spans="1:8" s="504" customFormat="1" ht="30" customHeight="1">
      <c r="A28" s="441">
        <v>15.16</v>
      </c>
      <c r="B28" s="226" t="s">
        <v>949</v>
      </c>
      <c r="C28" s="273" t="s">
        <v>626</v>
      </c>
      <c r="D28" s="962">
        <v>0</v>
      </c>
      <c r="E28" s="962">
        <v>0</v>
      </c>
      <c r="F28" s="220"/>
      <c r="G28" s="222">
        <f t="shared" si="1"/>
        <v>0</v>
      </c>
      <c r="H28" s="320"/>
    </row>
    <row r="29" spans="1:8" s="504" customFormat="1" ht="30" customHeight="1">
      <c r="A29" s="514">
        <v>15.17</v>
      </c>
      <c r="B29" s="336" t="s">
        <v>709</v>
      </c>
      <c r="C29" s="273" t="s">
        <v>620</v>
      </c>
      <c r="D29" s="962">
        <v>0</v>
      </c>
      <c r="E29" s="962">
        <v>0</v>
      </c>
      <c r="F29" s="220"/>
      <c r="G29" s="222">
        <f t="shared" si="1"/>
        <v>0</v>
      </c>
      <c r="H29" s="320"/>
    </row>
    <row r="30" spans="1:8" s="504" customFormat="1" ht="30" customHeight="1">
      <c r="A30" s="441">
        <v>15.18</v>
      </c>
      <c r="B30" s="336" t="s">
        <v>950</v>
      </c>
      <c r="C30" s="273" t="s">
        <v>620</v>
      </c>
      <c r="D30" s="962">
        <v>0</v>
      </c>
      <c r="E30" s="962">
        <v>0</v>
      </c>
      <c r="F30" s="220"/>
      <c r="G30" s="222">
        <f t="shared" si="1"/>
        <v>0</v>
      </c>
      <c r="H30" s="320"/>
    </row>
    <row r="31" spans="1:8" s="504" customFormat="1" ht="30" customHeight="1">
      <c r="A31" s="514">
        <v>15.19</v>
      </c>
      <c r="B31" s="336" t="s">
        <v>951</v>
      </c>
      <c r="C31" s="273" t="s">
        <v>100</v>
      </c>
      <c r="D31" s="962">
        <v>0</v>
      </c>
      <c r="E31" s="962">
        <v>0</v>
      </c>
      <c r="F31" s="219">
        <f>D31</f>
        <v>0</v>
      </c>
      <c r="G31" s="222">
        <f t="shared" si="1"/>
        <v>0</v>
      </c>
      <c r="H31" s="320"/>
    </row>
    <row r="32" spans="1:8" s="505" customFormat="1" ht="30" customHeight="1">
      <c r="A32" s="441">
        <v>15.2</v>
      </c>
      <c r="B32" s="336" t="s">
        <v>952</v>
      </c>
      <c r="C32" s="273" t="s">
        <v>100</v>
      </c>
      <c r="D32" s="962">
        <v>0</v>
      </c>
      <c r="E32" s="962">
        <v>0</v>
      </c>
      <c r="F32" s="219">
        <f>D32</f>
        <v>0</v>
      </c>
      <c r="G32" s="222">
        <f t="shared" si="1"/>
        <v>0</v>
      </c>
      <c r="H32" s="320"/>
    </row>
    <row r="33" spans="1:8" s="504" customFormat="1" ht="20.100000000000001" customHeight="1">
      <c r="A33" s="501"/>
      <c r="B33" s="453" t="s">
        <v>261</v>
      </c>
      <c r="C33" s="502"/>
      <c r="D33" s="502"/>
      <c r="E33" s="502"/>
      <c r="F33" s="502"/>
      <c r="G33" s="502"/>
      <c r="H33" s="503"/>
    </row>
    <row r="34" spans="1:8" s="504" customFormat="1" ht="30" customHeight="1">
      <c r="A34" s="514">
        <v>15.21</v>
      </c>
      <c r="B34" s="336" t="s">
        <v>928</v>
      </c>
      <c r="C34" s="273" t="s">
        <v>100</v>
      </c>
      <c r="D34" s="962">
        <v>0</v>
      </c>
      <c r="E34" s="962">
        <v>0</v>
      </c>
      <c r="F34" s="219">
        <f>D34</f>
        <v>0</v>
      </c>
      <c r="G34" s="222">
        <f t="shared" si="1"/>
        <v>0</v>
      </c>
      <c r="H34" s="320"/>
    </row>
    <row r="35" spans="1:8" s="504" customFormat="1" ht="20.100000000000001" customHeight="1">
      <c r="A35" s="501"/>
      <c r="B35" s="453" t="s">
        <v>980</v>
      </c>
      <c r="C35" s="502"/>
      <c r="D35" s="502"/>
      <c r="E35" s="502"/>
      <c r="F35" s="502"/>
      <c r="G35" s="502"/>
      <c r="H35" s="503"/>
    </row>
    <row r="36" spans="1:8" s="504" customFormat="1" ht="30" customHeight="1">
      <c r="A36" s="441">
        <v>15.22</v>
      </c>
      <c r="B36" s="336" t="s">
        <v>981</v>
      </c>
      <c r="C36" s="273" t="s">
        <v>85</v>
      </c>
      <c r="D36" s="219">
        <v>1</v>
      </c>
      <c r="E36" s="962">
        <v>0</v>
      </c>
      <c r="F36" s="220"/>
      <c r="G36" s="222">
        <f t="shared" si="1"/>
        <v>0</v>
      </c>
      <c r="H36" s="320"/>
    </row>
    <row r="37" spans="1:8" s="504" customFormat="1" ht="30" customHeight="1">
      <c r="A37" s="441">
        <v>15.23</v>
      </c>
      <c r="B37" s="336" t="s">
        <v>982</v>
      </c>
      <c r="C37" s="273" t="s">
        <v>85</v>
      </c>
      <c r="D37" s="219">
        <v>1</v>
      </c>
      <c r="E37" s="962">
        <v>0</v>
      </c>
      <c r="F37" s="220"/>
      <c r="G37" s="222">
        <f t="shared" si="1"/>
        <v>0</v>
      </c>
      <c r="H37" s="320"/>
    </row>
    <row r="38" spans="1:8" s="504" customFormat="1" ht="30" customHeight="1">
      <c r="A38" s="441">
        <v>15.24</v>
      </c>
      <c r="B38" s="336" t="s">
        <v>710</v>
      </c>
      <c r="C38" s="273" t="s">
        <v>85</v>
      </c>
      <c r="D38" s="219">
        <v>1</v>
      </c>
      <c r="E38" s="962">
        <v>0</v>
      </c>
      <c r="F38" s="220"/>
      <c r="G38" s="222">
        <f t="shared" si="1"/>
        <v>0</v>
      </c>
      <c r="H38" s="320"/>
    </row>
    <row r="39" spans="1:8" s="504" customFormat="1" ht="30" customHeight="1">
      <c r="A39" s="441">
        <v>15.25</v>
      </c>
      <c r="B39" s="336" t="s">
        <v>983</v>
      </c>
      <c r="C39" s="273" t="s">
        <v>491</v>
      </c>
      <c r="D39" s="962">
        <v>0</v>
      </c>
      <c r="E39" s="962">
        <v>0</v>
      </c>
      <c r="F39" s="220"/>
      <c r="G39" s="222">
        <f t="shared" si="1"/>
        <v>0</v>
      </c>
      <c r="H39" s="320"/>
    </row>
    <row r="40" spans="1:8" s="504" customFormat="1" ht="30" customHeight="1">
      <c r="A40" s="441">
        <v>15.26</v>
      </c>
      <c r="B40" s="336" t="s">
        <v>984</v>
      </c>
      <c r="C40" s="273" t="s">
        <v>491</v>
      </c>
      <c r="D40" s="962">
        <v>0</v>
      </c>
      <c r="E40" s="962">
        <v>0</v>
      </c>
      <c r="F40" s="220"/>
      <c r="G40" s="222">
        <f t="shared" si="1"/>
        <v>0</v>
      </c>
      <c r="H40" s="320"/>
    </row>
    <row r="41" spans="1:8" s="504" customFormat="1" ht="30" customHeight="1">
      <c r="A41" s="441">
        <v>15.27</v>
      </c>
      <c r="B41" s="336" t="s">
        <v>985</v>
      </c>
      <c r="C41" s="273" t="s">
        <v>491</v>
      </c>
      <c r="D41" s="962">
        <v>0</v>
      </c>
      <c r="E41" s="962">
        <v>0</v>
      </c>
      <c r="F41" s="220"/>
      <c r="G41" s="222">
        <f t="shared" si="1"/>
        <v>0</v>
      </c>
      <c r="H41" s="320"/>
    </row>
    <row r="42" spans="1:8" s="504" customFormat="1" ht="30" customHeight="1">
      <c r="A42" s="441">
        <v>15.28</v>
      </c>
      <c r="B42" s="336" t="s">
        <v>986</v>
      </c>
      <c r="C42" s="273" t="s">
        <v>491</v>
      </c>
      <c r="D42" s="962">
        <v>0</v>
      </c>
      <c r="E42" s="962">
        <v>0</v>
      </c>
      <c r="F42" s="220"/>
      <c r="G42" s="222">
        <f t="shared" si="1"/>
        <v>0</v>
      </c>
      <c r="H42" s="320"/>
    </row>
    <row r="43" spans="1:8" s="504" customFormat="1" ht="30" customHeight="1">
      <c r="A43" s="441">
        <v>15.29</v>
      </c>
      <c r="B43" s="336" t="s">
        <v>987</v>
      </c>
      <c r="C43" s="273" t="s">
        <v>491</v>
      </c>
      <c r="D43" s="962">
        <v>0</v>
      </c>
      <c r="E43" s="962">
        <v>0</v>
      </c>
      <c r="F43" s="220"/>
      <c r="G43" s="222">
        <f t="shared" si="1"/>
        <v>0</v>
      </c>
      <c r="H43" s="320"/>
    </row>
    <row r="44" spans="1:8" s="504" customFormat="1" ht="30" customHeight="1">
      <c r="A44" s="441">
        <v>15.3</v>
      </c>
      <c r="B44" s="336" t="s">
        <v>988</v>
      </c>
      <c r="C44" s="273" t="s">
        <v>491</v>
      </c>
      <c r="D44" s="962">
        <v>0</v>
      </c>
      <c r="E44" s="962">
        <v>0</v>
      </c>
      <c r="F44" s="220"/>
      <c r="G44" s="222">
        <f t="shared" si="1"/>
        <v>0</v>
      </c>
      <c r="H44" s="320"/>
    </row>
    <row r="45" spans="1:8" s="504" customFormat="1" ht="30" customHeight="1">
      <c r="A45" s="441">
        <v>15.31</v>
      </c>
      <c r="B45" s="336" t="s">
        <v>989</v>
      </c>
      <c r="C45" s="273" t="s">
        <v>491</v>
      </c>
      <c r="D45" s="962">
        <v>0</v>
      </c>
      <c r="E45" s="962">
        <v>0</v>
      </c>
      <c r="F45" s="220"/>
      <c r="G45" s="222">
        <f t="shared" si="1"/>
        <v>0</v>
      </c>
      <c r="H45" s="320"/>
    </row>
    <row r="46" spans="1:8" s="504" customFormat="1" ht="30" customHeight="1">
      <c r="A46" s="441">
        <v>15.32</v>
      </c>
      <c r="B46" s="336" t="s">
        <v>990</v>
      </c>
      <c r="C46" s="273" t="s">
        <v>491</v>
      </c>
      <c r="D46" s="962">
        <v>0</v>
      </c>
      <c r="E46" s="962">
        <v>0</v>
      </c>
      <c r="F46" s="220"/>
      <c r="G46" s="222">
        <f t="shared" si="1"/>
        <v>0</v>
      </c>
      <c r="H46" s="320"/>
    </row>
    <row r="47" spans="1:8" s="505" customFormat="1" ht="30" customHeight="1">
      <c r="A47" s="441">
        <v>15.33</v>
      </c>
      <c r="B47" s="336" t="s">
        <v>991</v>
      </c>
      <c r="C47" s="273" t="s">
        <v>491</v>
      </c>
      <c r="D47" s="962">
        <v>0</v>
      </c>
      <c r="E47" s="962">
        <v>0</v>
      </c>
      <c r="F47" s="220"/>
      <c r="G47" s="222">
        <f t="shared" si="1"/>
        <v>0</v>
      </c>
      <c r="H47" s="320"/>
    </row>
    <row r="48" spans="1:8" s="504" customFormat="1" ht="20.100000000000001" customHeight="1">
      <c r="A48" s="501"/>
      <c r="B48" s="453" t="s">
        <v>711</v>
      </c>
      <c r="C48" s="502"/>
      <c r="D48" s="502"/>
      <c r="E48" s="502"/>
      <c r="F48" s="502"/>
      <c r="G48" s="502"/>
      <c r="H48" s="503"/>
    </row>
    <row r="49" spans="1:8" s="504" customFormat="1" ht="30" customHeight="1">
      <c r="A49" s="441">
        <v>15.34</v>
      </c>
      <c r="B49" s="336" t="s">
        <v>987</v>
      </c>
      <c r="C49" s="273" t="s">
        <v>494</v>
      </c>
      <c r="D49" s="962">
        <v>0</v>
      </c>
      <c r="E49" s="962">
        <v>0</v>
      </c>
      <c r="F49" s="220"/>
      <c r="G49" s="222">
        <f t="shared" ref="G49:G54" si="2">E49*D49</f>
        <v>0</v>
      </c>
      <c r="H49" s="320"/>
    </row>
    <row r="50" spans="1:8" s="504" customFormat="1" ht="30" customHeight="1">
      <c r="A50" s="441">
        <v>15.35</v>
      </c>
      <c r="B50" s="336" t="s">
        <v>985</v>
      </c>
      <c r="C50" s="273" t="s">
        <v>494</v>
      </c>
      <c r="D50" s="962">
        <v>0</v>
      </c>
      <c r="E50" s="962">
        <v>0</v>
      </c>
      <c r="F50" s="220"/>
      <c r="G50" s="222">
        <f t="shared" si="2"/>
        <v>0</v>
      </c>
      <c r="H50" s="320"/>
    </row>
    <row r="51" spans="1:8" s="504" customFormat="1" ht="30" customHeight="1">
      <c r="A51" s="441">
        <v>15.36</v>
      </c>
      <c r="B51" s="336" t="s">
        <v>986</v>
      </c>
      <c r="C51" s="273" t="s">
        <v>494</v>
      </c>
      <c r="D51" s="962">
        <v>0</v>
      </c>
      <c r="E51" s="962">
        <v>0</v>
      </c>
      <c r="F51" s="220"/>
      <c r="G51" s="222">
        <f t="shared" si="2"/>
        <v>0</v>
      </c>
      <c r="H51" s="320"/>
    </row>
    <row r="52" spans="1:8" s="504" customFormat="1" ht="30" customHeight="1">
      <c r="A52" s="441">
        <v>15.37</v>
      </c>
      <c r="B52" s="336" t="s">
        <v>988</v>
      </c>
      <c r="C52" s="273" t="s">
        <v>494</v>
      </c>
      <c r="D52" s="962">
        <v>0</v>
      </c>
      <c r="E52" s="962">
        <v>0</v>
      </c>
      <c r="F52" s="220"/>
      <c r="G52" s="222">
        <f t="shared" si="2"/>
        <v>0</v>
      </c>
      <c r="H52" s="320"/>
    </row>
    <row r="53" spans="1:8" s="504" customFormat="1" ht="30" customHeight="1">
      <c r="A53" s="441">
        <v>15.38</v>
      </c>
      <c r="B53" s="336" t="s">
        <v>989</v>
      </c>
      <c r="C53" s="273" t="s">
        <v>494</v>
      </c>
      <c r="D53" s="962">
        <v>0</v>
      </c>
      <c r="E53" s="962">
        <v>0</v>
      </c>
      <c r="F53" s="220"/>
      <c r="G53" s="222">
        <f t="shared" si="2"/>
        <v>0</v>
      </c>
      <c r="H53" s="320"/>
    </row>
    <row r="54" spans="1:8" s="505" customFormat="1" ht="30" customHeight="1">
      <c r="A54" s="441">
        <v>15.39</v>
      </c>
      <c r="B54" s="336" t="s">
        <v>991</v>
      </c>
      <c r="C54" s="273" t="s">
        <v>494</v>
      </c>
      <c r="D54" s="962">
        <v>0</v>
      </c>
      <c r="E54" s="962">
        <v>0</v>
      </c>
      <c r="F54" s="220"/>
      <c r="G54" s="222">
        <f t="shared" si="2"/>
        <v>0</v>
      </c>
      <c r="H54" s="320"/>
    </row>
    <row r="55" spans="1:8" s="504" customFormat="1" ht="20.100000000000001" customHeight="1">
      <c r="A55" s="501"/>
      <c r="B55" s="453" t="s">
        <v>712</v>
      </c>
      <c r="C55" s="502"/>
      <c r="D55" s="502"/>
      <c r="E55" s="502"/>
      <c r="F55" s="502"/>
      <c r="G55" s="502"/>
      <c r="H55" s="503"/>
    </row>
    <row r="56" spans="1:8" s="504" customFormat="1" ht="30" customHeight="1">
      <c r="A56" s="514">
        <v>15.4</v>
      </c>
      <c r="B56" s="336" t="s">
        <v>713</v>
      </c>
      <c r="C56" s="273" t="s">
        <v>85</v>
      </c>
      <c r="D56" s="219">
        <v>1</v>
      </c>
      <c r="E56" s="962">
        <v>0</v>
      </c>
      <c r="F56" s="220"/>
      <c r="G56" s="222">
        <f>E56*D56</f>
        <v>0</v>
      </c>
      <c r="H56" s="320"/>
    </row>
    <row r="57" spans="1:8" s="504" customFormat="1" ht="30" customHeight="1">
      <c r="A57" s="441">
        <v>15.41</v>
      </c>
      <c r="B57" s="336" t="s">
        <v>714</v>
      </c>
      <c r="C57" s="273" t="s">
        <v>624</v>
      </c>
      <c r="D57" s="962">
        <v>0</v>
      </c>
      <c r="E57" s="962">
        <v>0</v>
      </c>
      <c r="F57" s="220"/>
      <c r="G57" s="222">
        <f t="shared" ref="G57:G63" si="3">E57*D57</f>
        <v>0</v>
      </c>
      <c r="H57" s="320"/>
    </row>
    <row r="58" spans="1:8" s="504" customFormat="1" ht="30" customHeight="1">
      <c r="A58" s="514">
        <v>15.42</v>
      </c>
      <c r="B58" s="336" t="s">
        <v>16</v>
      </c>
      <c r="C58" s="273" t="s">
        <v>624</v>
      </c>
      <c r="D58" s="962">
        <v>0</v>
      </c>
      <c r="E58" s="962">
        <v>0</v>
      </c>
      <c r="F58" s="220"/>
      <c r="G58" s="222">
        <f t="shared" si="3"/>
        <v>0</v>
      </c>
      <c r="H58" s="320"/>
    </row>
    <row r="59" spans="1:8" s="504" customFormat="1" ht="30" customHeight="1">
      <c r="A59" s="441">
        <v>15.43</v>
      </c>
      <c r="B59" s="336" t="s">
        <v>715</v>
      </c>
      <c r="C59" s="273" t="s">
        <v>624</v>
      </c>
      <c r="D59" s="962">
        <v>0</v>
      </c>
      <c r="E59" s="962">
        <v>0</v>
      </c>
      <c r="F59" s="220"/>
      <c r="G59" s="222">
        <f t="shared" si="3"/>
        <v>0</v>
      </c>
      <c r="H59" s="320"/>
    </row>
    <row r="60" spans="1:8" s="504" customFormat="1" ht="30" customHeight="1">
      <c r="A60" s="514">
        <v>15.44</v>
      </c>
      <c r="B60" s="336" t="s">
        <v>716</v>
      </c>
      <c r="C60" s="273" t="s">
        <v>624</v>
      </c>
      <c r="D60" s="962">
        <v>0</v>
      </c>
      <c r="E60" s="962">
        <v>0</v>
      </c>
      <c r="F60" s="220"/>
      <c r="G60" s="222">
        <f t="shared" si="3"/>
        <v>0</v>
      </c>
      <c r="H60" s="320"/>
    </row>
    <row r="61" spans="1:8" s="504" customFormat="1" ht="30" customHeight="1">
      <c r="A61" s="441">
        <v>15.45</v>
      </c>
      <c r="B61" s="336" t="s">
        <v>717</v>
      </c>
      <c r="C61" s="273" t="s">
        <v>85</v>
      </c>
      <c r="D61" s="219">
        <v>1</v>
      </c>
      <c r="E61" s="962">
        <v>0</v>
      </c>
      <c r="F61" s="220"/>
      <c r="G61" s="222">
        <f t="shared" si="3"/>
        <v>0</v>
      </c>
      <c r="H61" s="320"/>
    </row>
    <row r="62" spans="1:8" s="504" customFormat="1" ht="30" customHeight="1">
      <c r="A62" s="514">
        <v>15.46</v>
      </c>
      <c r="B62" s="336" t="s">
        <v>1001</v>
      </c>
      <c r="C62" s="273" t="s">
        <v>620</v>
      </c>
      <c r="D62" s="962">
        <v>0</v>
      </c>
      <c r="E62" s="962">
        <v>0</v>
      </c>
      <c r="F62" s="220"/>
      <c r="G62" s="222">
        <f t="shared" si="3"/>
        <v>0</v>
      </c>
      <c r="H62" s="320"/>
    </row>
    <row r="63" spans="1:8" s="504" customFormat="1" ht="30" customHeight="1">
      <c r="A63" s="441">
        <v>15.47</v>
      </c>
      <c r="B63" s="336" t="s">
        <v>718</v>
      </c>
      <c r="C63" s="273" t="s">
        <v>495</v>
      </c>
      <c r="D63" s="962">
        <v>0</v>
      </c>
      <c r="E63" s="962">
        <v>0</v>
      </c>
      <c r="F63" s="220"/>
      <c r="G63" s="222">
        <f t="shared" si="3"/>
        <v>0</v>
      </c>
      <c r="H63" s="320"/>
    </row>
    <row r="64" spans="1:8" s="504" customFormat="1" ht="20.100000000000001" customHeight="1">
      <c r="A64" s="501"/>
      <c r="B64" s="453" t="s">
        <v>1000</v>
      </c>
      <c r="C64" s="502"/>
      <c r="D64" s="502"/>
      <c r="E64" s="502"/>
      <c r="F64" s="502"/>
      <c r="G64" s="502"/>
      <c r="H64" s="503"/>
    </row>
    <row r="65" spans="1:8" s="504" customFormat="1" ht="30" customHeight="1">
      <c r="A65" s="515">
        <v>15.48</v>
      </c>
      <c r="B65" s="336" t="s">
        <v>719</v>
      </c>
      <c r="C65" s="273" t="s">
        <v>100</v>
      </c>
      <c r="D65" s="962">
        <v>0</v>
      </c>
      <c r="E65" s="962">
        <v>0</v>
      </c>
      <c r="F65" s="219">
        <f>D65</f>
        <v>0</v>
      </c>
      <c r="G65" s="222">
        <f>E65*D65</f>
        <v>0</v>
      </c>
      <c r="H65" s="320"/>
    </row>
    <row r="66" spans="1:8" s="504" customFormat="1" ht="30" customHeight="1">
      <c r="A66" s="515">
        <v>15.49</v>
      </c>
      <c r="B66" s="336" t="s">
        <v>930</v>
      </c>
      <c r="C66" s="273" t="s">
        <v>100</v>
      </c>
      <c r="D66" s="962">
        <v>0</v>
      </c>
      <c r="E66" s="962">
        <v>0</v>
      </c>
      <c r="F66" s="219">
        <f>D66</f>
        <v>0</v>
      </c>
      <c r="G66" s="222">
        <f t="shared" ref="G66:G74" si="4">E66*D66</f>
        <v>0</v>
      </c>
      <c r="H66" s="320"/>
    </row>
    <row r="67" spans="1:8" s="504" customFormat="1" ht="30" customHeight="1">
      <c r="A67" s="515">
        <v>15.5</v>
      </c>
      <c r="B67" s="336" t="s">
        <v>17</v>
      </c>
      <c r="C67" s="273" t="s">
        <v>100</v>
      </c>
      <c r="D67" s="962">
        <v>0</v>
      </c>
      <c r="E67" s="962">
        <v>0</v>
      </c>
      <c r="F67" s="219">
        <f>D67</f>
        <v>0</v>
      </c>
      <c r="G67" s="222">
        <f t="shared" si="4"/>
        <v>0</v>
      </c>
      <c r="H67" s="320"/>
    </row>
    <row r="68" spans="1:8" s="504" customFormat="1" ht="30" customHeight="1">
      <c r="A68" s="515">
        <v>15.51</v>
      </c>
      <c r="B68" s="336" t="s">
        <v>720</v>
      </c>
      <c r="C68" s="273" t="s">
        <v>100</v>
      </c>
      <c r="D68" s="962">
        <v>0</v>
      </c>
      <c r="E68" s="962">
        <v>0</v>
      </c>
      <c r="F68" s="219">
        <f t="shared" ref="F68:F74" si="5">D68</f>
        <v>0</v>
      </c>
      <c r="G68" s="222">
        <f t="shared" si="4"/>
        <v>0</v>
      </c>
      <c r="H68" s="320"/>
    </row>
    <row r="69" spans="1:8" s="504" customFormat="1" ht="30" customHeight="1">
      <c r="A69" s="515">
        <v>15.52</v>
      </c>
      <c r="B69" s="336" t="s">
        <v>721</v>
      </c>
      <c r="C69" s="273" t="s">
        <v>100</v>
      </c>
      <c r="D69" s="962">
        <v>0</v>
      </c>
      <c r="E69" s="962">
        <v>0</v>
      </c>
      <c r="F69" s="219">
        <f t="shared" si="5"/>
        <v>0</v>
      </c>
      <c r="G69" s="222">
        <f t="shared" si="4"/>
        <v>0</v>
      </c>
      <c r="H69" s="320"/>
    </row>
    <row r="70" spans="1:8" s="504" customFormat="1" ht="30" customHeight="1">
      <c r="A70" s="515">
        <v>15.53</v>
      </c>
      <c r="B70" s="336" t="s">
        <v>722</v>
      </c>
      <c r="C70" s="273" t="s">
        <v>100</v>
      </c>
      <c r="D70" s="962">
        <v>0</v>
      </c>
      <c r="E70" s="962">
        <v>0</v>
      </c>
      <c r="F70" s="219">
        <f t="shared" si="5"/>
        <v>0</v>
      </c>
      <c r="G70" s="222">
        <f t="shared" si="4"/>
        <v>0</v>
      </c>
      <c r="H70" s="320"/>
    </row>
    <row r="71" spans="1:8" s="504" customFormat="1" ht="30" customHeight="1">
      <c r="A71" s="515">
        <v>15.54</v>
      </c>
      <c r="B71" s="336" t="s">
        <v>723</v>
      </c>
      <c r="C71" s="273" t="s">
        <v>100</v>
      </c>
      <c r="D71" s="962">
        <v>0</v>
      </c>
      <c r="E71" s="962">
        <v>0</v>
      </c>
      <c r="F71" s="219">
        <f t="shared" si="5"/>
        <v>0</v>
      </c>
      <c r="G71" s="222">
        <f t="shared" si="4"/>
        <v>0</v>
      </c>
      <c r="H71" s="320"/>
    </row>
    <row r="72" spans="1:8" s="504" customFormat="1" ht="30" customHeight="1">
      <c r="A72" s="515">
        <v>15.55</v>
      </c>
      <c r="B72" s="336" t="s">
        <v>724</v>
      </c>
      <c r="C72" s="273" t="s">
        <v>100</v>
      </c>
      <c r="D72" s="962">
        <v>0</v>
      </c>
      <c r="E72" s="962">
        <v>0</v>
      </c>
      <c r="F72" s="219">
        <f t="shared" si="5"/>
        <v>0</v>
      </c>
      <c r="G72" s="222">
        <f t="shared" si="4"/>
        <v>0</v>
      </c>
      <c r="H72" s="320"/>
    </row>
    <row r="73" spans="1:8" s="504" customFormat="1" ht="30" customHeight="1">
      <c r="A73" s="515">
        <v>15.56</v>
      </c>
      <c r="B73" s="336" t="s">
        <v>725</v>
      </c>
      <c r="C73" s="273" t="s">
        <v>100</v>
      </c>
      <c r="D73" s="962">
        <v>0</v>
      </c>
      <c r="E73" s="962">
        <v>0</v>
      </c>
      <c r="F73" s="219">
        <f t="shared" si="5"/>
        <v>0</v>
      </c>
      <c r="G73" s="222">
        <f t="shared" si="4"/>
        <v>0</v>
      </c>
      <c r="H73" s="320"/>
    </row>
    <row r="74" spans="1:8" s="505" customFormat="1" ht="30" customHeight="1">
      <c r="A74" s="515">
        <v>15.57</v>
      </c>
      <c r="B74" s="336" t="s">
        <v>1719</v>
      </c>
      <c r="C74" s="273" t="s">
        <v>100</v>
      </c>
      <c r="D74" s="962">
        <v>0</v>
      </c>
      <c r="E74" s="962">
        <v>0</v>
      </c>
      <c r="F74" s="219">
        <f t="shared" si="5"/>
        <v>0</v>
      </c>
      <c r="G74" s="222">
        <f t="shared" si="4"/>
        <v>0</v>
      </c>
      <c r="H74" s="320"/>
    </row>
    <row r="75" spans="1:8" s="504" customFormat="1" ht="20.100000000000001" customHeight="1">
      <c r="A75" s="501"/>
      <c r="B75" s="453" t="s">
        <v>726</v>
      </c>
      <c r="C75" s="502"/>
      <c r="D75" s="502"/>
      <c r="E75" s="502"/>
      <c r="F75" s="502"/>
      <c r="G75" s="502"/>
      <c r="H75" s="503"/>
    </row>
    <row r="76" spans="1:8" s="504" customFormat="1" ht="30" customHeight="1">
      <c r="A76" s="516">
        <v>15.58</v>
      </c>
      <c r="B76" s="226" t="s">
        <v>727</v>
      </c>
      <c r="C76" s="273" t="s">
        <v>100</v>
      </c>
      <c r="D76" s="962">
        <v>0</v>
      </c>
      <c r="E76" s="962">
        <v>0</v>
      </c>
      <c r="F76" s="219">
        <f t="shared" ref="F76:F82" si="6">D76</f>
        <v>0</v>
      </c>
      <c r="G76" s="222">
        <f t="shared" ref="G76:G82" si="7">E76*D76</f>
        <v>0</v>
      </c>
      <c r="H76" s="320"/>
    </row>
    <row r="77" spans="1:8" s="504" customFormat="1" ht="30" customHeight="1">
      <c r="A77" s="516">
        <v>15.59</v>
      </c>
      <c r="B77" s="464" t="s">
        <v>383</v>
      </c>
      <c r="C77" s="273" t="s">
        <v>100</v>
      </c>
      <c r="D77" s="962">
        <v>0</v>
      </c>
      <c r="E77" s="962">
        <v>0</v>
      </c>
      <c r="F77" s="219">
        <f t="shared" si="6"/>
        <v>0</v>
      </c>
      <c r="G77" s="222">
        <f t="shared" si="7"/>
        <v>0</v>
      </c>
      <c r="H77" s="320"/>
    </row>
    <row r="78" spans="1:8" s="504" customFormat="1" ht="30" customHeight="1">
      <c r="A78" s="516">
        <v>15.6</v>
      </c>
      <c r="B78" s="464" t="s">
        <v>384</v>
      </c>
      <c r="C78" s="273" t="s">
        <v>100</v>
      </c>
      <c r="D78" s="962">
        <v>0</v>
      </c>
      <c r="E78" s="962">
        <v>0</v>
      </c>
      <c r="F78" s="219">
        <f t="shared" si="6"/>
        <v>0</v>
      </c>
      <c r="G78" s="222">
        <f t="shared" si="7"/>
        <v>0</v>
      </c>
      <c r="H78" s="320"/>
    </row>
    <row r="79" spans="1:8" s="504" customFormat="1" ht="30" customHeight="1">
      <c r="A79" s="516">
        <v>15.61</v>
      </c>
      <c r="B79" s="336" t="s">
        <v>728</v>
      </c>
      <c r="C79" s="273" t="s">
        <v>100</v>
      </c>
      <c r="D79" s="962">
        <v>0</v>
      </c>
      <c r="E79" s="962">
        <v>0</v>
      </c>
      <c r="F79" s="219">
        <f t="shared" si="6"/>
        <v>0</v>
      </c>
      <c r="G79" s="222">
        <f t="shared" si="7"/>
        <v>0</v>
      </c>
      <c r="H79" s="320"/>
    </row>
    <row r="80" spans="1:8" s="504" customFormat="1" ht="30" customHeight="1">
      <c r="A80" s="516">
        <v>15.62</v>
      </c>
      <c r="B80" s="464" t="s">
        <v>385</v>
      </c>
      <c r="C80" s="273" t="s">
        <v>100</v>
      </c>
      <c r="D80" s="962">
        <v>0</v>
      </c>
      <c r="E80" s="962">
        <v>0</v>
      </c>
      <c r="F80" s="219">
        <f t="shared" si="6"/>
        <v>0</v>
      </c>
      <c r="G80" s="222">
        <f t="shared" si="7"/>
        <v>0</v>
      </c>
      <c r="H80" s="320"/>
    </row>
    <row r="81" spans="1:8" s="504" customFormat="1" ht="30" customHeight="1">
      <c r="A81" s="516">
        <v>15.63</v>
      </c>
      <c r="B81" s="464" t="s">
        <v>386</v>
      </c>
      <c r="C81" s="273" t="s">
        <v>100</v>
      </c>
      <c r="D81" s="962">
        <v>0</v>
      </c>
      <c r="E81" s="962">
        <v>0</v>
      </c>
      <c r="F81" s="219">
        <f t="shared" si="6"/>
        <v>0</v>
      </c>
      <c r="G81" s="222">
        <f t="shared" si="7"/>
        <v>0</v>
      </c>
      <c r="H81" s="320"/>
    </row>
    <row r="82" spans="1:8" s="504" customFormat="1" ht="30" customHeight="1">
      <c r="A82" s="516">
        <v>15.64</v>
      </c>
      <c r="B82" s="336" t="s">
        <v>729</v>
      </c>
      <c r="C82" s="273" t="s">
        <v>100</v>
      </c>
      <c r="D82" s="962">
        <v>0</v>
      </c>
      <c r="E82" s="962">
        <v>0</v>
      </c>
      <c r="F82" s="219">
        <f t="shared" si="6"/>
        <v>0</v>
      </c>
      <c r="G82" s="222">
        <f t="shared" si="7"/>
        <v>0</v>
      </c>
      <c r="H82" s="320"/>
    </row>
    <row r="83" spans="1:8" s="504" customFormat="1" ht="30" customHeight="1">
      <c r="A83" s="516">
        <v>15.65</v>
      </c>
      <c r="B83" s="336" t="s">
        <v>730</v>
      </c>
      <c r="C83" s="273" t="s">
        <v>100</v>
      </c>
      <c r="D83" s="962">
        <v>0</v>
      </c>
      <c r="E83" s="962">
        <v>0</v>
      </c>
      <c r="F83" s="219">
        <f>D83</f>
        <v>0</v>
      </c>
      <c r="G83" s="222">
        <f>E83*D83</f>
        <v>0</v>
      </c>
      <c r="H83" s="320"/>
    </row>
    <row r="84" spans="1:8" s="504" customFormat="1" ht="30" customHeight="1">
      <c r="A84" s="516">
        <v>15.66</v>
      </c>
      <c r="B84" s="336" t="s">
        <v>18</v>
      </c>
      <c r="C84" s="273" t="s">
        <v>100</v>
      </c>
      <c r="D84" s="962">
        <v>0</v>
      </c>
      <c r="E84" s="962">
        <v>0</v>
      </c>
      <c r="F84" s="219">
        <f>D84</f>
        <v>0</v>
      </c>
      <c r="G84" s="222">
        <f>E84*D84</f>
        <v>0</v>
      </c>
      <c r="H84" s="320"/>
    </row>
    <row r="85" spans="1:8" s="504" customFormat="1" ht="20.100000000000001" customHeight="1">
      <c r="A85" s="501"/>
      <c r="B85" s="453" t="s">
        <v>898</v>
      </c>
      <c r="C85" s="502"/>
      <c r="D85" s="502"/>
      <c r="E85" s="502"/>
      <c r="F85" s="502"/>
      <c r="G85" s="502"/>
      <c r="H85" s="503"/>
    </row>
    <row r="86" spans="1:8" s="504" customFormat="1" ht="30" customHeight="1">
      <c r="A86" s="516">
        <v>15.67</v>
      </c>
      <c r="B86" s="464" t="s">
        <v>731</v>
      </c>
      <c r="C86" s="273" t="s">
        <v>100</v>
      </c>
      <c r="D86" s="962">
        <v>0</v>
      </c>
      <c r="E86" s="962">
        <v>0</v>
      </c>
      <c r="F86" s="219">
        <f t="shared" ref="F86:F94" si="8">D86</f>
        <v>0</v>
      </c>
      <c r="G86" s="222">
        <f t="shared" ref="G86:G93" si="9">E86*D86</f>
        <v>0</v>
      </c>
      <c r="H86" s="320"/>
    </row>
    <row r="87" spans="1:8" s="504" customFormat="1" ht="30" customHeight="1">
      <c r="A87" s="516">
        <v>15.68</v>
      </c>
      <c r="B87" s="336" t="s">
        <v>732</v>
      </c>
      <c r="C87" s="273" t="s">
        <v>100</v>
      </c>
      <c r="D87" s="962">
        <v>0</v>
      </c>
      <c r="E87" s="962">
        <v>0</v>
      </c>
      <c r="F87" s="219">
        <f t="shared" si="8"/>
        <v>0</v>
      </c>
      <c r="G87" s="222">
        <f t="shared" si="9"/>
        <v>0</v>
      </c>
      <c r="H87" s="320"/>
    </row>
    <row r="88" spans="1:8" s="504" customFormat="1" ht="30" customHeight="1">
      <c r="A88" s="516">
        <v>15.69</v>
      </c>
      <c r="B88" s="336" t="s">
        <v>717</v>
      </c>
      <c r="C88" s="273" t="s">
        <v>100</v>
      </c>
      <c r="D88" s="962">
        <v>0</v>
      </c>
      <c r="E88" s="962">
        <v>0</v>
      </c>
      <c r="F88" s="219">
        <f t="shared" si="8"/>
        <v>0</v>
      </c>
      <c r="G88" s="222">
        <f t="shared" si="9"/>
        <v>0</v>
      </c>
      <c r="H88" s="320"/>
    </row>
    <row r="89" spans="1:8" s="504" customFormat="1" ht="30" customHeight="1">
      <c r="A89" s="516">
        <v>15.7</v>
      </c>
      <c r="B89" s="336" t="s">
        <v>1001</v>
      </c>
      <c r="C89" s="273" t="s">
        <v>100</v>
      </c>
      <c r="D89" s="962">
        <v>0</v>
      </c>
      <c r="E89" s="962">
        <v>0</v>
      </c>
      <c r="F89" s="219">
        <f t="shared" si="8"/>
        <v>0</v>
      </c>
      <c r="G89" s="222">
        <f t="shared" si="9"/>
        <v>0</v>
      </c>
      <c r="H89" s="320"/>
    </row>
    <row r="90" spans="1:8" s="504" customFormat="1" ht="30" customHeight="1">
      <c r="A90" s="516">
        <v>15.71</v>
      </c>
      <c r="B90" s="336" t="s">
        <v>733</v>
      </c>
      <c r="C90" s="273" t="s">
        <v>100</v>
      </c>
      <c r="D90" s="962">
        <v>0</v>
      </c>
      <c r="E90" s="962">
        <v>0</v>
      </c>
      <c r="F90" s="219">
        <f t="shared" si="8"/>
        <v>0</v>
      </c>
      <c r="G90" s="222">
        <f t="shared" si="9"/>
        <v>0</v>
      </c>
      <c r="H90" s="320"/>
    </row>
    <row r="91" spans="1:8" s="504" customFormat="1" ht="30" customHeight="1">
      <c r="A91" s="516">
        <v>15.72</v>
      </c>
      <c r="B91" s="336" t="s">
        <v>734</v>
      </c>
      <c r="C91" s="273" t="s">
        <v>100</v>
      </c>
      <c r="D91" s="962">
        <v>0</v>
      </c>
      <c r="E91" s="962">
        <v>0</v>
      </c>
      <c r="F91" s="219">
        <f t="shared" si="8"/>
        <v>0</v>
      </c>
      <c r="G91" s="222">
        <f t="shared" si="9"/>
        <v>0</v>
      </c>
      <c r="H91" s="320"/>
    </row>
    <row r="92" spans="1:8" s="504" customFormat="1" ht="30" customHeight="1">
      <c r="A92" s="516">
        <v>15.73</v>
      </c>
      <c r="B92" s="336" t="s">
        <v>387</v>
      </c>
      <c r="C92" s="273" t="s">
        <v>100</v>
      </c>
      <c r="D92" s="962">
        <v>0</v>
      </c>
      <c r="E92" s="962">
        <v>0</v>
      </c>
      <c r="F92" s="219">
        <f t="shared" si="8"/>
        <v>0</v>
      </c>
      <c r="G92" s="222">
        <f t="shared" si="9"/>
        <v>0</v>
      </c>
      <c r="H92" s="320"/>
    </row>
    <row r="93" spans="1:8" s="504" customFormat="1" ht="30" customHeight="1">
      <c r="A93" s="516">
        <v>15.74</v>
      </c>
      <c r="B93" s="336" t="s">
        <v>735</v>
      </c>
      <c r="C93" s="273" t="s">
        <v>100</v>
      </c>
      <c r="D93" s="962">
        <v>0</v>
      </c>
      <c r="E93" s="962">
        <v>0</v>
      </c>
      <c r="F93" s="219">
        <f t="shared" si="8"/>
        <v>0</v>
      </c>
      <c r="G93" s="222">
        <f t="shared" si="9"/>
        <v>0</v>
      </c>
      <c r="H93" s="320"/>
    </row>
    <row r="94" spans="1:8" s="505" customFormat="1" ht="30" customHeight="1">
      <c r="A94" s="516">
        <v>15.75</v>
      </c>
      <c r="B94" s="336" t="s">
        <v>736</v>
      </c>
      <c r="C94" s="273" t="s">
        <v>100</v>
      </c>
      <c r="D94" s="962">
        <v>0</v>
      </c>
      <c r="E94" s="962">
        <v>0</v>
      </c>
      <c r="F94" s="219">
        <f t="shared" si="8"/>
        <v>0</v>
      </c>
      <c r="G94" s="222">
        <f>E94*D94</f>
        <v>0</v>
      </c>
      <c r="H94" s="320"/>
    </row>
    <row r="95" spans="1:8" s="116" customFormat="1" ht="20.100000000000001" customHeight="1">
      <c r="A95" s="501"/>
      <c r="B95" s="453" t="s">
        <v>933</v>
      </c>
      <c r="C95" s="502"/>
      <c r="D95" s="502"/>
      <c r="E95" s="502"/>
      <c r="F95" s="502"/>
      <c r="G95" s="502"/>
      <c r="H95" s="503"/>
    </row>
    <row r="96" spans="1:8" ht="30" customHeight="1">
      <c r="A96" s="516">
        <v>15.76</v>
      </c>
      <c r="B96" s="464" t="s">
        <v>19</v>
      </c>
      <c r="C96" s="273" t="s">
        <v>100</v>
      </c>
      <c r="D96" s="962">
        <v>0</v>
      </c>
      <c r="E96" s="962">
        <v>0</v>
      </c>
      <c r="F96" s="219">
        <f>D96</f>
        <v>0</v>
      </c>
      <c r="G96" s="222">
        <f>E96*D96</f>
        <v>0</v>
      </c>
      <c r="H96" s="320"/>
    </row>
    <row r="97" spans="1:8" ht="20.100000000000001" customHeight="1">
      <c r="A97" s="517"/>
      <c r="B97" s="454" t="s">
        <v>860</v>
      </c>
      <c r="C97" s="518"/>
      <c r="D97" s="518"/>
      <c r="E97" s="518"/>
      <c r="F97" s="518"/>
      <c r="G97" s="518"/>
      <c r="H97" s="519"/>
    </row>
    <row r="98" spans="1:8" ht="30" customHeight="1">
      <c r="A98" s="520">
        <v>15.77</v>
      </c>
      <c r="B98" s="521" t="s">
        <v>388</v>
      </c>
      <c r="C98" s="522" t="s">
        <v>491</v>
      </c>
      <c r="D98" s="962">
        <v>0</v>
      </c>
      <c r="E98" s="962">
        <v>0</v>
      </c>
      <c r="F98" s="523"/>
      <c r="G98" s="222">
        <f>E98*D98</f>
        <v>0</v>
      </c>
      <c r="H98" s="524"/>
    </row>
    <row r="99" spans="1:8" ht="20.100000000000001" customHeight="1" thickBot="1">
      <c r="A99" s="525"/>
      <c r="B99" s="2482" t="s">
        <v>378</v>
      </c>
      <c r="C99" s="2482"/>
      <c r="D99" s="2482"/>
      <c r="E99" s="2482"/>
      <c r="F99" s="529">
        <f>SUM(F96:F98,F86:F94,F76:F85,F65:F74,F56:F63,F49:F54,F36:F47,F34:F34,F27:F32,F21:F25,F11:F19)</f>
        <v>0</v>
      </c>
      <c r="G99" s="314">
        <f>SUM(G96:G98,G86:G94,G76:G84,G65:G74,G56:G63,G49:G54,G36:G47,G34:G34,G27:G32,G21:G25,G11:G19)</f>
        <v>0</v>
      </c>
      <c r="H99" s="526"/>
    </row>
  </sheetData>
  <mergeCells count="10">
    <mergeCell ref="B99:E99"/>
    <mergeCell ref="A4:B4"/>
    <mergeCell ref="C4:F4"/>
    <mergeCell ref="G4:H4"/>
    <mergeCell ref="A5:B5"/>
    <mergeCell ref="C5:F5"/>
    <mergeCell ref="G5:H5"/>
    <mergeCell ref="A6:B6"/>
    <mergeCell ref="C6:F6"/>
    <mergeCell ref="G6:H6"/>
  </mergeCells>
  <phoneticPr fontId="0" type="noConversion"/>
  <printOptions horizontalCentered="1"/>
  <pageMargins left="0.5" right="0.5" top="1" bottom="1" header="0.5" footer="0.5"/>
  <pageSetup scale="58" fitToHeight="0" orientation="landscape" r:id="rId1"/>
  <headerFooter alignWithMargins="0">
    <oddHeader>&amp;C&amp;"Arial,Bold"&amp;12&amp;UProject Activity 15: Structures- Segmental Concrete</oddHeader>
    <oddFooter>&amp;L&amp;F
&amp;A&amp;CPage &amp;P of &amp;N&amp;R&amp;D</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2">
    <pageSetUpPr autoPageBreaks="0"/>
  </sheetPr>
  <dimension ref="A1:H127"/>
  <sheetViews>
    <sheetView showGridLines="0" showRuler="0" zoomScaleNormal="100" zoomScaleSheetLayoutView="100" zoomScalePageLayoutView="40" workbookViewId="0"/>
  </sheetViews>
  <sheetFormatPr defaultColWidth="9.109375" defaultRowHeight="13.2"/>
  <cols>
    <col min="1" max="1" width="8" style="4" customWidth="1"/>
    <col min="2" max="2" width="50.6640625" style="4" customWidth="1"/>
    <col min="3" max="5" width="12.6640625" style="4" customWidth="1"/>
    <col min="6" max="6" width="12.6640625" style="390" customWidth="1"/>
    <col min="7" max="7" width="12.6640625" style="4" customWidth="1"/>
    <col min="8" max="8" width="98" style="4" customWidth="1"/>
    <col min="9" max="16384" width="9.109375" style="4"/>
  </cols>
  <sheetData>
    <row r="1" spans="1:8" s="422" customFormat="1" ht="20.100000000000001" customHeight="1">
      <c r="A1" s="362" t="s">
        <v>592</v>
      </c>
      <c r="H1" s="897" t="str">
        <f>'Project Information'!$B$3</f>
        <v>Enter project name &amp; description</v>
      </c>
    </row>
    <row r="2" spans="1:8" s="422" customFormat="1" ht="20.100000000000001" customHeight="1">
      <c r="A2" s="362" t="s">
        <v>254</v>
      </c>
      <c r="H2" s="897" t="str">
        <f>'Project Information'!$B$1</f>
        <v>999999-1-32-01</v>
      </c>
    </row>
    <row r="3" spans="1:8" s="225" customFormat="1" ht="14.4" thickBot="1">
      <c r="A3" s="311"/>
      <c r="B3" s="312"/>
      <c r="C3" s="313"/>
      <c r="D3" s="313"/>
      <c r="E3" s="313"/>
      <c r="F3" s="313"/>
      <c r="G3" s="313"/>
      <c r="H3" s="313"/>
    </row>
    <row r="4" spans="1:8" s="225" customFormat="1" ht="28.5" customHeight="1" thickBot="1">
      <c r="A4" s="2086" t="s">
        <v>1396</v>
      </c>
      <c r="B4" s="2087"/>
      <c r="C4" s="2088" t="s">
        <v>1397</v>
      </c>
      <c r="D4" s="2088"/>
      <c r="E4" s="2088"/>
      <c r="F4" s="2088"/>
      <c r="G4" s="2339" t="s">
        <v>1398</v>
      </c>
      <c r="H4" s="2469"/>
    </row>
    <row r="5" spans="1:8" s="225" customFormat="1" ht="28.5" customHeight="1">
      <c r="A5" s="2089" t="s">
        <v>1400</v>
      </c>
      <c r="B5" s="2090"/>
      <c r="C5" s="2091"/>
      <c r="D5" s="2091"/>
      <c r="E5" s="2091"/>
      <c r="F5" s="2091"/>
      <c r="G5" s="2342"/>
      <c r="H5" s="2470"/>
    </row>
    <row r="6" spans="1:8" s="225" customFormat="1" ht="28.5" customHeight="1" thickBot="1">
      <c r="A6" s="2083" t="s">
        <v>1399</v>
      </c>
      <c r="B6" s="2084"/>
      <c r="C6" s="2085"/>
      <c r="D6" s="2085"/>
      <c r="E6" s="2085"/>
      <c r="F6" s="2085"/>
      <c r="G6" s="2329"/>
      <c r="H6" s="2468"/>
    </row>
    <row r="7" spans="1:8" s="225" customFormat="1" ht="15.6">
      <c r="A7" s="898" t="s">
        <v>1430</v>
      </c>
      <c r="B7" s="270"/>
    </row>
    <row r="8" spans="1:8" s="225" customFormat="1" ht="15" customHeight="1" thickBot="1">
      <c r="A8" s="898"/>
      <c r="B8" s="270"/>
    </row>
    <row r="9" spans="1:8" ht="32.25" customHeight="1">
      <c r="A9" s="434" t="s">
        <v>79</v>
      </c>
      <c r="B9" s="300" t="s">
        <v>190</v>
      </c>
      <c r="C9" s="300" t="s">
        <v>171</v>
      </c>
      <c r="D9" s="266" t="s">
        <v>45</v>
      </c>
      <c r="E9" s="266" t="s">
        <v>706</v>
      </c>
      <c r="F9" s="266" t="s">
        <v>165</v>
      </c>
      <c r="G9" s="266" t="s">
        <v>102</v>
      </c>
      <c r="H9" s="319" t="s">
        <v>164</v>
      </c>
    </row>
    <row r="10" spans="1:8" ht="20.100000000000001" customHeight="1">
      <c r="A10" s="501"/>
      <c r="B10" s="453" t="s">
        <v>737</v>
      </c>
      <c r="C10" s="502"/>
      <c r="D10" s="502"/>
      <c r="E10" s="502"/>
      <c r="F10" s="502"/>
      <c r="G10" s="502"/>
      <c r="H10" s="503"/>
    </row>
    <row r="11" spans="1:8" ht="30" customHeight="1">
      <c r="A11" s="347">
        <v>16.100000000000001</v>
      </c>
      <c r="B11" s="226" t="s">
        <v>738</v>
      </c>
      <c r="C11" s="273" t="s">
        <v>85</v>
      </c>
      <c r="D11" s="219">
        <v>1</v>
      </c>
      <c r="E11" s="962">
        <v>0</v>
      </c>
      <c r="F11" s="220"/>
      <c r="G11" s="222">
        <f>E11*D11</f>
        <v>0</v>
      </c>
      <c r="H11" s="410"/>
    </row>
    <row r="12" spans="1:8" ht="30" customHeight="1">
      <c r="A12" s="347">
        <v>16.2</v>
      </c>
      <c r="B12" s="226" t="s">
        <v>390</v>
      </c>
      <c r="C12" s="273" t="s">
        <v>1413</v>
      </c>
      <c r="D12" s="962">
        <v>0</v>
      </c>
      <c r="E12" s="962">
        <v>0</v>
      </c>
      <c r="F12" s="220"/>
      <c r="G12" s="222">
        <f t="shared" ref="G12:G19" si="0">E12*D12</f>
        <v>0</v>
      </c>
      <c r="H12" s="410"/>
    </row>
    <row r="13" spans="1:8" ht="30" customHeight="1">
      <c r="A13" s="347">
        <v>16.3</v>
      </c>
      <c r="B13" s="336" t="s">
        <v>739</v>
      </c>
      <c r="C13" s="273" t="s">
        <v>85</v>
      </c>
      <c r="D13" s="219">
        <v>1</v>
      </c>
      <c r="E13" s="962">
        <v>0</v>
      </c>
      <c r="F13" s="220"/>
      <c r="G13" s="222">
        <f t="shared" si="0"/>
        <v>0</v>
      </c>
      <c r="H13" s="410"/>
    </row>
    <row r="14" spans="1:8" ht="30" customHeight="1">
      <c r="A14" s="347">
        <v>16.399999999999999</v>
      </c>
      <c r="B14" s="226" t="s">
        <v>740</v>
      </c>
      <c r="C14" s="273" t="s">
        <v>85</v>
      </c>
      <c r="D14" s="219">
        <v>1</v>
      </c>
      <c r="E14" s="962">
        <v>0</v>
      </c>
      <c r="F14" s="220"/>
      <c r="G14" s="222">
        <f t="shared" si="0"/>
        <v>0</v>
      </c>
      <c r="H14" s="410"/>
    </row>
    <row r="15" spans="1:8" ht="30" customHeight="1">
      <c r="A15" s="347">
        <v>16.5</v>
      </c>
      <c r="B15" s="226" t="s">
        <v>741</v>
      </c>
      <c r="C15" s="273" t="s">
        <v>85</v>
      </c>
      <c r="D15" s="219">
        <v>1</v>
      </c>
      <c r="E15" s="962">
        <v>0</v>
      </c>
      <c r="F15" s="220"/>
      <c r="G15" s="222">
        <f t="shared" si="0"/>
        <v>0</v>
      </c>
      <c r="H15" s="410"/>
    </row>
    <row r="16" spans="1:8" ht="30" customHeight="1">
      <c r="A16" s="347">
        <v>16.600000000000001</v>
      </c>
      <c r="B16" s="302" t="s">
        <v>742</v>
      </c>
      <c r="C16" s="273" t="s">
        <v>85</v>
      </c>
      <c r="D16" s="219">
        <v>1</v>
      </c>
      <c r="E16" s="962">
        <v>0</v>
      </c>
      <c r="F16" s="220"/>
      <c r="G16" s="222">
        <f t="shared" si="0"/>
        <v>0</v>
      </c>
      <c r="H16" s="410"/>
    </row>
    <row r="17" spans="1:8" ht="30" customHeight="1">
      <c r="A17" s="347">
        <v>16.7</v>
      </c>
      <c r="B17" s="302" t="s">
        <v>743</v>
      </c>
      <c r="C17" s="273" t="s">
        <v>85</v>
      </c>
      <c r="D17" s="219">
        <v>1</v>
      </c>
      <c r="E17" s="962">
        <v>0</v>
      </c>
      <c r="F17" s="220"/>
      <c r="G17" s="222">
        <f t="shared" si="0"/>
        <v>0</v>
      </c>
      <c r="H17" s="410"/>
    </row>
    <row r="18" spans="1:8" ht="30" customHeight="1">
      <c r="A18" s="347">
        <v>16.8</v>
      </c>
      <c r="B18" s="302" t="s">
        <v>391</v>
      </c>
      <c r="C18" s="273" t="s">
        <v>85</v>
      </c>
      <c r="D18" s="219">
        <v>1</v>
      </c>
      <c r="E18" s="962">
        <v>0</v>
      </c>
      <c r="F18" s="220"/>
      <c r="G18" s="222">
        <f t="shared" si="0"/>
        <v>0</v>
      </c>
      <c r="H18" s="410"/>
    </row>
    <row r="19" spans="1:8" ht="30" customHeight="1">
      <c r="A19" s="347">
        <v>16.899999999999999</v>
      </c>
      <c r="B19" s="302" t="s">
        <v>744</v>
      </c>
      <c r="C19" s="273" t="s">
        <v>745</v>
      </c>
      <c r="D19" s="962">
        <v>0</v>
      </c>
      <c r="E19" s="962">
        <v>0</v>
      </c>
      <c r="F19" s="220"/>
      <c r="G19" s="222">
        <f t="shared" si="0"/>
        <v>0</v>
      </c>
      <c r="H19" s="410"/>
    </row>
    <row r="20" spans="1:8" ht="20.100000000000001" customHeight="1">
      <c r="A20" s="501"/>
      <c r="B20" s="453" t="s">
        <v>638</v>
      </c>
      <c r="C20" s="502"/>
      <c r="D20" s="502"/>
      <c r="E20" s="502"/>
      <c r="F20" s="502"/>
      <c r="G20" s="502"/>
      <c r="H20" s="503"/>
    </row>
    <row r="21" spans="1:8" ht="30" customHeight="1">
      <c r="A21" s="276">
        <v>16.100000000000001</v>
      </c>
      <c r="B21" s="226" t="s">
        <v>746</v>
      </c>
      <c r="C21" s="273" t="s">
        <v>100</v>
      </c>
      <c r="D21" s="962">
        <v>0</v>
      </c>
      <c r="E21" s="962">
        <v>0</v>
      </c>
      <c r="F21" s="219">
        <f>D21</f>
        <v>0</v>
      </c>
      <c r="G21" s="222">
        <f>E21*D21</f>
        <v>0</v>
      </c>
      <c r="H21" s="410"/>
    </row>
    <row r="22" spans="1:8" ht="30" customHeight="1">
      <c r="A22" s="276">
        <v>16.11</v>
      </c>
      <c r="B22" s="226" t="s">
        <v>747</v>
      </c>
      <c r="C22" s="273" t="s">
        <v>100</v>
      </c>
      <c r="D22" s="962">
        <v>0</v>
      </c>
      <c r="E22" s="962">
        <v>0</v>
      </c>
      <c r="F22" s="219">
        <f>D22</f>
        <v>0</v>
      </c>
      <c r="G22" s="222">
        <f>E22*D22</f>
        <v>0</v>
      </c>
      <c r="H22" s="410"/>
    </row>
    <row r="23" spans="1:8" ht="30" customHeight="1">
      <c r="A23" s="276">
        <v>16.12</v>
      </c>
      <c r="B23" s="226" t="s">
        <v>748</v>
      </c>
      <c r="C23" s="273" t="s">
        <v>100</v>
      </c>
      <c r="D23" s="962">
        <v>0</v>
      </c>
      <c r="E23" s="962">
        <v>0</v>
      </c>
      <c r="F23" s="219">
        <f>D23</f>
        <v>0</v>
      </c>
      <c r="G23" s="222">
        <f>E23*D23</f>
        <v>0</v>
      </c>
      <c r="H23" s="410"/>
    </row>
    <row r="24" spans="1:8" ht="20.100000000000001" customHeight="1">
      <c r="A24" s="501"/>
      <c r="B24" s="453" t="s">
        <v>749</v>
      </c>
      <c r="C24" s="502"/>
      <c r="D24" s="502"/>
      <c r="E24" s="502"/>
      <c r="F24" s="502"/>
      <c r="G24" s="502"/>
      <c r="H24" s="503"/>
    </row>
    <row r="25" spans="1:8" ht="30" customHeight="1">
      <c r="A25" s="276">
        <v>16.13</v>
      </c>
      <c r="B25" s="226" t="s">
        <v>750</v>
      </c>
      <c r="C25" s="273" t="s">
        <v>100</v>
      </c>
      <c r="D25" s="962">
        <v>0</v>
      </c>
      <c r="E25" s="962">
        <v>0</v>
      </c>
      <c r="F25" s="219">
        <f>D25</f>
        <v>0</v>
      </c>
      <c r="G25" s="222">
        <f>E25*D25</f>
        <v>0</v>
      </c>
      <c r="H25" s="410"/>
    </row>
    <row r="26" spans="1:8" ht="20.100000000000001" customHeight="1">
      <c r="A26" s="501"/>
      <c r="B26" s="453" t="s">
        <v>751</v>
      </c>
      <c r="C26" s="502"/>
      <c r="D26" s="502"/>
      <c r="E26" s="502"/>
      <c r="F26" s="502"/>
      <c r="G26" s="502"/>
      <c r="H26" s="503"/>
    </row>
    <row r="27" spans="1:8" ht="30" customHeight="1">
      <c r="A27" s="276">
        <v>16.14</v>
      </c>
      <c r="B27" s="226" t="s">
        <v>752</v>
      </c>
      <c r="C27" s="273" t="s">
        <v>100</v>
      </c>
      <c r="D27" s="962">
        <v>0</v>
      </c>
      <c r="E27" s="962">
        <v>0</v>
      </c>
      <c r="F27" s="219">
        <f t="shared" ref="F27:F33" si="1">D27</f>
        <v>0</v>
      </c>
      <c r="G27" s="222">
        <f t="shared" ref="G27:G33" si="2">E27*D27</f>
        <v>0</v>
      </c>
      <c r="H27" s="410"/>
    </row>
    <row r="28" spans="1:8" ht="30" customHeight="1">
      <c r="A28" s="276">
        <v>16.149999999999999</v>
      </c>
      <c r="B28" s="226" t="s">
        <v>753</v>
      </c>
      <c r="C28" s="273" t="s">
        <v>100</v>
      </c>
      <c r="D28" s="962">
        <v>0</v>
      </c>
      <c r="E28" s="962">
        <v>0</v>
      </c>
      <c r="F28" s="219">
        <f t="shared" si="1"/>
        <v>0</v>
      </c>
      <c r="G28" s="222">
        <f t="shared" si="2"/>
        <v>0</v>
      </c>
      <c r="H28" s="410"/>
    </row>
    <row r="29" spans="1:8" ht="30" customHeight="1">
      <c r="A29" s="276">
        <v>16.16</v>
      </c>
      <c r="B29" s="302" t="s">
        <v>754</v>
      </c>
      <c r="C29" s="273" t="s">
        <v>100</v>
      </c>
      <c r="D29" s="962">
        <v>0</v>
      </c>
      <c r="E29" s="962">
        <v>0</v>
      </c>
      <c r="F29" s="219">
        <f t="shared" si="1"/>
        <v>0</v>
      </c>
      <c r="G29" s="222">
        <f t="shared" si="2"/>
        <v>0</v>
      </c>
      <c r="H29" s="410"/>
    </row>
    <row r="30" spans="1:8" ht="30" customHeight="1">
      <c r="A30" s="276">
        <v>16.170000000000002</v>
      </c>
      <c r="B30" s="302" t="s">
        <v>392</v>
      </c>
      <c r="C30" s="273" t="s">
        <v>100</v>
      </c>
      <c r="D30" s="962">
        <v>0</v>
      </c>
      <c r="E30" s="962">
        <v>0</v>
      </c>
      <c r="F30" s="219">
        <f t="shared" si="1"/>
        <v>0</v>
      </c>
      <c r="G30" s="222">
        <f t="shared" si="2"/>
        <v>0</v>
      </c>
      <c r="H30" s="410"/>
    </row>
    <row r="31" spans="1:8" ht="30" customHeight="1">
      <c r="A31" s="276">
        <v>16.18</v>
      </c>
      <c r="B31" s="302" t="s">
        <v>755</v>
      </c>
      <c r="C31" s="273" t="s">
        <v>100</v>
      </c>
      <c r="D31" s="962">
        <v>0</v>
      </c>
      <c r="E31" s="962">
        <v>0</v>
      </c>
      <c r="F31" s="219">
        <f t="shared" si="1"/>
        <v>0</v>
      </c>
      <c r="G31" s="222">
        <f t="shared" si="2"/>
        <v>0</v>
      </c>
      <c r="H31" s="410"/>
    </row>
    <row r="32" spans="1:8" ht="30" customHeight="1">
      <c r="A32" s="276">
        <v>16.190000000000001</v>
      </c>
      <c r="B32" s="302" t="s">
        <v>393</v>
      </c>
      <c r="C32" s="273" t="s">
        <v>100</v>
      </c>
      <c r="D32" s="962">
        <v>0</v>
      </c>
      <c r="E32" s="962">
        <v>0</v>
      </c>
      <c r="F32" s="219">
        <f t="shared" si="1"/>
        <v>0</v>
      </c>
      <c r="G32" s="222">
        <f t="shared" si="2"/>
        <v>0</v>
      </c>
      <c r="H32" s="410"/>
    </row>
    <row r="33" spans="1:8" ht="30" customHeight="1">
      <c r="A33" s="276">
        <v>16.2</v>
      </c>
      <c r="B33" s="226" t="s">
        <v>898</v>
      </c>
      <c r="C33" s="273" t="s">
        <v>100</v>
      </c>
      <c r="D33" s="962">
        <v>0</v>
      </c>
      <c r="E33" s="962">
        <v>0</v>
      </c>
      <c r="F33" s="219">
        <f t="shared" si="1"/>
        <v>0</v>
      </c>
      <c r="G33" s="222">
        <f t="shared" si="2"/>
        <v>0</v>
      </c>
      <c r="H33" s="410"/>
    </row>
    <row r="34" spans="1:8" ht="20.100000000000001" customHeight="1">
      <c r="A34" s="501"/>
      <c r="B34" s="453" t="s">
        <v>756</v>
      </c>
      <c r="C34" s="502"/>
      <c r="D34" s="502"/>
      <c r="E34" s="502"/>
      <c r="F34" s="502"/>
      <c r="G34" s="502"/>
      <c r="H34" s="503"/>
    </row>
    <row r="35" spans="1:8" ht="30" customHeight="1">
      <c r="A35" s="276">
        <v>16.21</v>
      </c>
      <c r="B35" s="226" t="s">
        <v>757</v>
      </c>
      <c r="C35" s="273" t="s">
        <v>85</v>
      </c>
      <c r="D35" s="219">
        <v>1</v>
      </c>
      <c r="E35" s="962">
        <v>0</v>
      </c>
      <c r="F35" s="220"/>
      <c r="G35" s="222">
        <f t="shared" ref="G35:G52" si="3">E35*D35</f>
        <v>0</v>
      </c>
      <c r="H35" s="410"/>
    </row>
    <row r="36" spans="1:8" ht="30" customHeight="1">
      <c r="A36" s="276">
        <v>16.22</v>
      </c>
      <c r="B36" s="226" t="s">
        <v>758</v>
      </c>
      <c r="C36" s="273" t="s">
        <v>85</v>
      </c>
      <c r="D36" s="219">
        <v>1</v>
      </c>
      <c r="E36" s="962">
        <v>0</v>
      </c>
      <c r="F36" s="220"/>
      <c r="G36" s="222">
        <f t="shared" si="3"/>
        <v>0</v>
      </c>
      <c r="H36" s="410"/>
    </row>
    <row r="37" spans="1:8" ht="30" customHeight="1">
      <c r="A37" s="276">
        <v>16.23</v>
      </c>
      <c r="B37" s="226" t="s">
        <v>759</v>
      </c>
      <c r="C37" s="273" t="s">
        <v>85</v>
      </c>
      <c r="D37" s="219">
        <v>1</v>
      </c>
      <c r="E37" s="962">
        <v>0</v>
      </c>
      <c r="F37" s="220"/>
      <c r="G37" s="222">
        <f t="shared" si="3"/>
        <v>0</v>
      </c>
      <c r="H37" s="410"/>
    </row>
    <row r="38" spans="1:8" ht="30" customHeight="1">
      <c r="A38" s="276">
        <v>16.239999999999998</v>
      </c>
      <c r="B38" s="226" t="s">
        <v>760</v>
      </c>
      <c r="C38" s="273" t="s">
        <v>85</v>
      </c>
      <c r="D38" s="219">
        <v>1</v>
      </c>
      <c r="E38" s="962">
        <v>0</v>
      </c>
      <c r="F38" s="220"/>
      <c r="G38" s="222">
        <f t="shared" si="3"/>
        <v>0</v>
      </c>
      <c r="H38" s="410"/>
    </row>
    <row r="39" spans="1:8" ht="30" customHeight="1">
      <c r="A39" s="276">
        <v>16.25</v>
      </c>
      <c r="B39" s="226" t="s">
        <v>761</v>
      </c>
      <c r="C39" s="273" t="s">
        <v>85</v>
      </c>
      <c r="D39" s="219">
        <v>1</v>
      </c>
      <c r="E39" s="962">
        <v>0</v>
      </c>
      <c r="F39" s="220"/>
      <c r="G39" s="222">
        <f t="shared" si="3"/>
        <v>0</v>
      </c>
      <c r="H39" s="410"/>
    </row>
    <row r="40" spans="1:8" ht="30" customHeight="1">
      <c r="A40" s="276">
        <v>16.260000000000002</v>
      </c>
      <c r="B40" s="226" t="s">
        <v>762</v>
      </c>
      <c r="C40" s="273" t="s">
        <v>85</v>
      </c>
      <c r="D40" s="219">
        <v>1</v>
      </c>
      <c r="E40" s="962">
        <v>0</v>
      </c>
      <c r="F40" s="220"/>
      <c r="G40" s="222">
        <f t="shared" si="3"/>
        <v>0</v>
      </c>
      <c r="H40" s="410"/>
    </row>
    <row r="41" spans="1:8" ht="30" customHeight="1">
      <c r="A41" s="276">
        <v>16.27</v>
      </c>
      <c r="B41" s="226" t="s">
        <v>763</v>
      </c>
      <c r="C41" s="273" t="s">
        <v>85</v>
      </c>
      <c r="D41" s="219">
        <v>1</v>
      </c>
      <c r="E41" s="962">
        <v>0</v>
      </c>
      <c r="F41" s="220"/>
      <c r="G41" s="222">
        <f t="shared" si="3"/>
        <v>0</v>
      </c>
      <c r="H41" s="410"/>
    </row>
    <row r="42" spans="1:8" ht="30" customHeight="1">
      <c r="A42" s="276">
        <v>16.28</v>
      </c>
      <c r="B42" s="226" t="s">
        <v>764</v>
      </c>
      <c r="C42" s="273" t="s">
        <v>85</v>
      </c>
      <c r="D42" s="219">
        <v>1</v>
      </c>
      <c r="E42" s="962">
        <v>0</v>
      </c>
      <c r="F42" s="220"/>
      <c r="G42" s="222">
        <f t="shared" si="3"/>
        <v>0</v>
      </c>
      <c r="H42" s="410"/>
    </row>
    <row r="43" spans="1:8" ht="30" customHeight="1">
      <c r="A43" s="276">
        <v>16.29</v>
      </c>
      <c r="B43" s="302" t="s">
        <v>765</v>
      </c>
      <c r="C43" s="273" t="s">
        <v>85</v>
      </c>
      <c r="D43" s="219">
        <v>1</v>
      </c>
      <c r="E43" s="962">
        <v>0</v>
      </c>
      <c r="F43" s="220"/>
      <c r="G43" s="222">
        <f t="shared" si="3"/>
        <v>0</v>
      </c>
      <c r="H43" s="410"/>
    </row>
    <row r="44" spans="1:8" ht="30" customHeight="1">
      <c r="A44" s="276">
        <v>16.3</v>
      </c>
      <c r="B44" s="226" t="s">
        <v>766</v>
      </c>
      <c r="C44" s="273" t="s">
        <v>85</v>
      </c>
      <c r="D44" s="219">
        <v>1</v>
      </c>
      <c r="E44" s="962">
        <v>0</v>
      </c>
      <c r="F44" s="220"/>
      <c r="G44" s="222">
        <f t="shared" si="3"/>
        <v>0</v>
      </c>
      <c r="H44" s="410"/>
    </row>
    <row r="45" spans="1:8" ht="30" customHeight="1">
      <c r="A45" s="276">
        <v>16.309999999999999</v>
      </c>
      <c r="B45" s="226" t="s">
        <v>767</v>
      </c>
      <c r="C45" s="273" t="s">
        <v>85</v>
      </c>
      <c r="D45" s="219">
        <v>1</v>
      </c>
      <c r="E45" s="962">
        <v>0</v>
      </c>
      <c r="F45" s="220"/>
      <c r="G45" s="222">
        <f t="shared" si="3"/>
        <v>0</v>
      </c>
      <c r="H45" s="410"/>
    </row>
    <row r="46" spans="1:8" ht="30" customHeight="1">
      <c r="A46" s="276">
        <v>16.32</v>
      </c>
      <c r="B46" s="226" t="s">
        <v>768</v>
      </c>
      <c r="C46" s="273" t="s">
        <v>85</v>
      </c>
      <c r="D46" s="219">
        <v>1</v>
      </c>
      <c r="E46" s="962">
        <v>0</v>
      </c>
      <c r="F46" s="220"/>
      <c r="G46" s="222">
        <f t="shared" si="3"/>
        <v>0</v>
      </c>
      <c r="H46" s="410"/>
    </row>
    <row r="47" spans="1:8" ht="30" customHeight="1">
      <c r="A47" s="276">
        <v>16.329999999999998</v>
      </c>
      <c r="B47" s="226" t="s">
        <v>779</v>
      </c>
      <c r="C47" s="273" t="s">
        <v>85</v>
      </c>
      <c r="D47" s="219">
        <v>1</v>
      </c>
      <c r="E47" s="962">
        <v>0</v>
      </c>
      <c r="F47" s="220"/>
      <c r="G47" s="222">
        <f t="shared" si="3"/>
        <v>0</v>
      </c>
      <c r="H47" s="410"/>
    </row>
    <row r="48" spans="1:8" ht="30" customHeight="1">
      <c r="A48" s="276">
        <v>16.34</v>
      </c>
      <c r="B48" s="226" t="s">
        <v>780</v>
      </c>
      <c r="C48" s="273" t="s">
        <v>85</v>
      </c>
      <c r="D48" s="219">
        <v>1</v>
      </c>
      <c r="E48" s="962">
        <v>0</v>
      </c>
      <c r="F48" s="220"/>
      <c r="G48" s="222">
        <f t="shared" si="3"/>
        <v>0</v>
      </c>
      <c r="H48" s="410"/>
    </row>
    <row r="49" spans="1:8" ht="30" customHeight="1">
      <c r="A49" s="276">
        <v>16.350000000000001</v>
      </c>
      <c r="B49" s="226" t="s">
        <v>781</v>
      </c>
      <c r="C49" s="273" t="s">
        <v>85</v>
      </c>
      <c r="D49" s="219">
        <v>1</v>
      </c>
      <c r="E49" s="962">
        <v>0</v>
      </c>
      <c r="F49" s="220"/>
      <c r="G49" s="222">
        <f t="shared" si="3"/>
        <v>0</v>
      </c>
      <c r="H49" s="410"/>
    </row>
    <row r="50" spans="1:8" ht="30" customHeight="1">
      <c r="A50" s="276">
        <v>16.36</v>
      </c>
      <c r="B50" s="226" t="s">
        <v>782</v>
      </c>
      <c r="C50" s="273" t="s">
        <v>85</v>
      </c>
      <c r="D50" s="219">
        <v>1</v>
      </c>
      <c r="E50" s="962">
        <v>0</v>
      </c>
      <c r="F50" s="220"/>
      <c r="G50" s="222">
        <f t="shared" si="3"/>
        <v>0</v>
      </c>
      <c r="H50" s="410"/>
    </row>
    <row r="51" spans="1:8" ht="30" customHeight="1">
      <c r="A51" s="276">
        <v>16.37</v>
      </c>
      <c r="B51" s="226" t="s">
        <v>783</v>
      </c>
      <c r="C51" s="273" t="s">
        <v>85</v>
      </c>
      <c r="D51" s="219">
        <v>1</v>
      </c>
      <c r="E51" s="962">
        <v>0</v>
      </c>
      <c r="F51" s="220"/>
      <c r="G51" s="222">
        <f t="shared" si="3"/>
        <v>0</v>
      </c>
      <c r="H51" s="410"/>
    </row>
    <row r="52" spans="1:8" ht="30" customHeight="1">
      <c r="A52" s="276">
        <v>16.38</v>
      </c>
      <c r="B52" s="226" t="s">
        <v>784</v>
      </c>
      <c r="C52" s="273" t="s">
        <v>85</v>
      </c>
      <c r="D52" s="219">
        <v>1</v>
      </c>
      <c r="E52" s="962">
        <v>0</v>
      </c>
      <c r="F52" s="220"/>
      <c r="G52" s="222">
        <f t="shared" si="3"/>
        <v>0</v>
      </c>
      <c r="H52" s="410"/>
    </row>
    <row r="53" spans="1:8" ht="20.100000000000001" customHeight="1">
      <c r="A53" s="501"/>
      <c r="B53" s="453" t="s">
        <v>785</v>
      </c>
      <c r="C53" s="502"/>
      <c r="D53" s="502"/>
      <c r="E53" s="502"/>
      <c r="F53" s="502"/>
      <c r="G53" s="502"/>
      <c r="H53" s="503"/>
    </row>
    <row r="54" spans="1:8" ht="30" customHeight="1">
      <c r="A54" s="276">
        <v>16.39</v>
      </c>
      <c r="B54" s="302" t="s">
        <v>786</v>
      </c>
      <c r="C54" s="273" t="s">
        <v>100</v>
      </c>
      <c r="D54" s="962">
        <v>0</v>
      </c>
      <c r="E54" s="962">
        <v>0</v>
      </c>
      <c r="F54" s="219">
        <f t="shared" ref="F54:F74" si="4">D54</f>
        <v>0</v>
      </c>
      <c r="G54" s="222">
        <f t="shared" ref="G54:G74" si="5">E54*D54</f>
        <v>0</v>
      </c>
      <c r="H54" s="410"/>
    </row>
    <row r="55" spans="1:8" ht="30" customHeight="1">
      <c r="A55" s="276">
        <v>16.399999999999999</v>
      </c>
      <c r="B55" s="226" t="s">
        <v>787</v>
      </c>
      <c r="C55" s="273" t="s">
        <v>100</v>
      </c>
      <c r="D55" s="962">
        <v>0</v>
      </c>
      <c r="E55" s="962">
        <v>0</v>
      </c>
      <c r="F55" s="219">
        <f t="shared" si="4"/>
        <v>0</v>
      </c>
      <c r="G55" s="222">
        <f t="shared" si="5"/>
        <v>0</v>
      </c>
      <c r="H55" s="410"/>
    </row>
    <row r="56" spans="1:8" ht="30" customHeight="1">
      <c r="A56" s="276">
        <v>16.41</v>
      </c>
      <c r="B56" s="226" t="s">
        <v>992</v>
      </c>
      <c r="C56" s="273" t="s">
        <v>100</v>
      </c>
      <c r="D56" s="962">
        <v>0</v>
      </c>
      <c r="E56" s="962">
        <v>0</v>
      </c>
      <c r="F56" s="219">
        <f t="shared" si="4"/>
        <v>0</v>
      </c>
      <c r="G56" s="222">
        <f t="shared" si="5"/>
        <v>0</v>
      </c>
      <c r="H56" s="410"/>
    </row>
    <row r="57" spans="1:8" ht="30" customHeight="1">
      <c r="A57" s="276">
        <v>16.420000000000002</v>
      </c>
      <c r="B57" s="226" t="s">
        <v>396</v>
      </c>
      <c r="C57" s="273" t="s">
        <v>100</v>
      </c>
      <c r="D57" s="962">
        <v>0</v>
      </c>
      <c r="E57" s="962">
        <v>0</v>
      </c>
      <c r="F57" s="219">
        <f t="shared" si="4"/>
        <v>0</v>
      </c>
      <c r="G57" s="222">
        <f t="shared" si="5"/>
        <v>0</v>
      </c>
      <c r="H57" s="410"/>
    </row>
    <row r="58" spans="1:8" ht="30" customHeight="1">
      <c r="A58" s="276">
        <v>16.43</v>
      </c>
      <c r="B58" s="302" t="s">
        <v>397</v>
      </c>
      <c r="C58" s="273" t="s">
        <v>100</v>
      </c>
      <c r="D58" s="962">
        <v>0</v>
      </c>
      <c r="E58" s="962">
        <v>0</v>
      </c>
      <c r="F58" s="219">
        <f t="shared" si="4"/>
        <v>0</v>
      </c>
      <c r="G58" s="222">
        <f t="shared" si="5"/>
        <v>0</v>
      </c>
      <c r="H58" s="410"/>
    </row>
    <row r="59" spans="1:8" ht="30" customHeight="1">
      <c r="A59" s="276">
        <v>16.440000000000001</v>
      </c>
      <c r="B59" s="226" t="s">
        <v>993</v>
      </c>
      <c r="C59" s="273" t="s">
        <v>100</v>
      </c>
      <c r="D59" s="962">
        <v>0</v>
      </c>
      <c r="E59" s="962">
        <v>0</v>
      </c>
      <c r="F59" s="219">
        <f t="shared" si="4"/>
        <v>0</v>
      </c>
      <c r="G59" s="222">
        <f t="shared" si="5"/>
        <v>0</v>
      </c>
      <c r="H59" s="410"/>
    </row>
    <row r="60" spans="1:8" ht="30" customHeight="1">
      <c r="A60" s="276">
        <v>16.45</v>
      </c>
      <c r="B60" s="226" t="s">
        <v>788</v>
      </c>
      <c r="C60" s="273" t="s">
        <v>100</v>
      </c>
      <c r="D60" s="962">
        <v>0</v>
      </c>
      <c r="E60" s="962">
        <v>0</v>
      </c>
      <c r="F60" s="219">
        <f t="shared" si="4"/>
        <v>0</v>
      </c>
      <c r="G60" s="222">
        <f t="shared" si="5"/>
        <v>0</v>
      </c>
      <c r="H60" s="410"/>
    </row>
    <row r="61" spans="1:8" ht="30" customHeight="1">
      <c r="A61" s="276">
        <v>16.46</v>
      </c>
      <c r="B61" s="226" t="s">
        <v>789</v>
      </c>
      <c r="C61" s="273" t="s">
        <v>100</v>
      </c>
      <c r="D61" s="962">
        <v>0</v>
      </c>
      <c r="E61" s="962">
        <v>0</v>
      </c>
      <c r="F61" s="219">
        <f t="shared" si="4"/>
        <v>0</v>
      </c>
      <c r="G61" s="222">
        <f t="shared" si="5"/>
        <v>0</v>
      </c>
      <c r="H61" s="410"/>
    </row>
    <row r="62" spans="1:8" ht="30" customHeight="1">
      <c r="A62" s="276">
        <v>16.47</v>
      </c>
      <c r="B62" s="226" t="s">
        <v>790</v>
      </c>
      <c r="C62" s="273" t="s">
        <v>100</v>
      </c>
      <c r="D62" s="962">
        <v>0</v>
      </c>
      <c r="E62" s="962">
        <v>0</v>
      </c>
      <c r="F62" s="219">
        <f t="shared" si="4"/>
        <v>0</v>
      </c>
      <c r="G62" s="222">
        <f t="shared" si="5"/>
        <v>0</v>
      </c>
      <c r="H62" s="410"/>
    </row>
    <row r="63" spans="1:8" ht="30" customHeight="1">
      <c r="A63" s="276">
        <v>16.48</v>
      </c>
      <c r="B63" s="226" t="s">
        <v>791</v>
      </c>
      <c r="C63" s="273" t="s">
        <v>100</v>
      </c>
      <c r="D63" s="962">
        <v>0</v>
      </c>
      <c r="E63" s="962">
        <v>0</v>
      </c>
      <c r="F63" s="219">
        <f t="shared" si="4"/>
        <v>0</v>
      </c>
      <c r="G63" s="222">
        <f t="shared" si="5"/>
        <v>0</v>
      </c>
      <c r="H63" s="410"/>
    </row>
    <row r="64" spans="1:8" ht="30" customHeight="1">
      <c r="A64" s="276">
        <v>16.489999999999998</v>
      </c>
      <c r="B64" s="226" t="s">
        <v>792</v>
      </c>
      <c r="C64" s="273" t="s">
        <v>100</v>
      </c>
      <c r="D64" s="962">
        <v>0</v>
      </c>
      <c r="E64" s="962">
        <v>0</v>
      </c>
      <c r="F64" s="219">
        <f t="shared" si="4"/>
        <v>0</v>
      </c>
      <c r="G64" s="222">
        <f t="shared" si="5"/>
        <v>0</v>
      </c>
      <c r="H64" s="410"/>
    </row>
    <row r="65" spans="1:8" ht="30" customHeight="1">
      <c r="A65" s="276">
        <v>16.5</v>
      </c>
      <c r="B65" s="226" t="s">
        <v>793</v>
      </c>
      <c r="C65" s="273" t="s">
        <v>100</v>
      </c>
      <c r="D65" s="962">
        <v>0</v>
      </c>
      <c r="E65" s="962">
        <v>0</v>
      </c>
      <c r="F65" s="219">
        <f t="shared" si="4"/>
        <v>0</v>
      </c>
      <c r="G65" s="222">
        <f t="shared" si="5"/>
        <v>0</v>
      </c>
      <c r="H65" s="410"/>
    </row>
    <row r="66" spans="1:8" ht="30" customHeight="1">
      <c r="A66" s="276">
        <v>16.510000000000002</v>
      </c>
      <c r="B66" s="226" t="s">
        <v>794</v>
      </c>
      <c r="C66" s="273" t="s">
        <v>100</v>
      </c>
      <c r="D66" s="962">
        <v>0</v>
      </c>
      <c r="E66" s="962">
        <v>0</v>
      </c>
      <c r="F66" s="219">
        <f t="shared" si="4"/>
        <v>0</v>
      </c>
      <c r="G66" s="222">
        <f t="shared" si="5"/>
        <v>0</v>
      </c>
      <c r="H66" s="410"/>
    </row>
    <row r="67" spans="1:8" ht="30" customHeight="1">
      <c r="A67" s="276">
        <v>16.52</v>
      </c>
      <c r="B67" s="226" t="s">
        <v>795</v>
      </c>
      <c r="C67" s="273" t="s">
        <v>100</v>
      </c>
      <c r="D67" s="962">
        <v>0</v>
      </c>
      <c r="E67" s="962">
        <v>0</v>
      </c>
      <c r="F67" s="219">
        <f t="shared" si="4"/>
        <v>0</v>
      </c>
      <c r="G67" s="222">
        <f t="shared" si="5"/>
        <v>0</v>
      </c>
      <c r="H67" s="410"/>
    </row>
    <row r="68" spans="1:8" ht="30" customHeight="1">
      <c r="A68" s="276">
        <v>16.53</v>
      </c>
      <c r="B68" s="226" t="s">
        <v>796</v>
      </c>
      <c r="C68" s="273" t="s">
        <v>100</v>
      </c>
      <c r="D68" s="962">
        <v>0</v>
      </c>
      <c r="E68" s="962">
        <v>0</v>
      </c>
      <c r="F68" s="219">
        <f t="shared" si="4"/>
        <v>0</v>
      </c>
      <c r="G68" s="222">
        <f t="shared" si="5"/>
        <v>0</v>
      </c>
      <c r="H68" s="410"/>
    </row>
    <row r="69" spans="1:8" ht="30" customHeight="1">
      <c r="A69" s="276">
        <v>16.54</v>
      </c>
      <c r="B69" s="226" t="s">
        <v>797</v>
      </c>
      <c r="C69" s="273" t="s">
        <v>100</v>
      </c>
      <c r="D69" s="962">
        <v>0</v>
      </c>
      <c r="E69" s="962">
        <v>0</v>
      </c>
      <c r="F69" s="219">
        <f t="shared" si="4"/>
        <v>0</v>
      </c>
      <c r="G69" s="222">
        <f t="shared" si="5"/>
        <v>0</v>
      </c>
      <c r="H69" s="410"/>
    </row>
    <row r="70" spans="1:8" ht="30" customHeight="1">
      <c r="A70" s="276">
        <v>16.55</v>
      </c>
      <c r="B70" s="226" t="s">
        <v>798</v>
      </c>
      <c r="C70" s="273" t="s">
        <v>100</v>
      </c>
      <c r="D70" s="962">
        <v>0</v>
      </c>
      <c r="E70" s="962">
        <v>0</v>
      </c>
      <c r="F70" s="219">
        <f t="shared" si="4"/>
        <v>0</v>
      </c>
      <c r="G70" s="222">
        <f t="shared" si="5"/>
        <v>0</v>
      </c>
      <c r="H70" s="410"/>
    </row>
    <row r="71" spans="1:8" ht="30" customHeight="1">
      <c r="A71" s="276">
        <v>16.559999999999999</v>
      </c>
      <c r="B71" s="226" t="s">
        <v>799</v>
      </c>
      <c r="C71" s="273" t="s">
        <v>100</v>
      </c>
      <c r="D71" s="962">
        <v>0</v>
      </c>
      <c r="E71" s="962">
        <v>0</v>
      </c>
      <c r="F71" s="219">
        <f t="shared" si="4"/>
        <v>0</v>
      </c>
      <c r="G71" s="222">
        <f t="shared" si="5"/>
        <v>0</v>
      </c>
      <c r="H71" s="410"/>
    </row>
    <row r="72" spans="1:8" ht="30" customHeight="1">
      <c r="A72" s="276">
        <v>16.57</v>
      </c>
      <c r="B72" s="226" t="s">
        <v>398</v>
      </c>
      <c r="C72" s="273" t="s">
        <v>100</v>
      </c>
      <c r="D72" s="962">
        <v>0</v>
      </c>
      <c r="E72" s="962">
        <v>0</v>
      </c>
      <c r="F72" s="219">
        <f t="shared" si="4"/>
        <v>0</v>
      </c>
      <c r="G72" s="222">
        <f t="shared" si="5"/>
        <v>0</v>
      </c>
      <c r="H72" s="410"/>
    </row>
    <row r="73" spans="1:8" ht="30" customHeight="1">
      <c r="A73" s="276">
        <v>16.579999999999998</v>
      </c>
      <c r="B73" s="226" t="s">
        <v>800</v>
      </c>
      <c r="C73" s="273" t="s">
        <v>100</v>
      </c>
      <c r="D73" s="962">
        <v>0</v>
      </c>
      <c r="E73" s="962">
        <v>0</v>
      </c>
      <c r="F73" s="219">
        <f t="shared" si="4"/>
        <v>0</v>
      </c>
      <c r="G73" s="222">
        <f t="shared" si="5"/>
        <v>0</v>
      </c>
      <c r="H73" s="410"/>
    </row>
    <row r="74" spans="1:8" ht="30" customHeight="1">
      <c r="A74" s="276">
        <v>16.59</v>
      </c>
      <c r="B74" s="226" t="s">
        <v>801</v>
      </c>
      <c r="C74" s="273" t="s">
        <v>100</v>
      </c>
      <c r="D74" s="962">
        <v>0</v>
      </c>
      <c r="E74" s="962">
        <v>0</v>
      </c>
      <c r="F74" s="219">
        <f t="shared" si="4"/>
        <v>0</v>
      </c>
      <c r="G74" s="222">
        <f t="shared" si="5"/>
        <v>0</v>
      </c>
      <c r="H74" s="410"/>
    </row>
    <row r="75" spans="1:8" ht="20.100000000000001" customHeight="1">
      <c r="A75" s="501"/>
      <c r="B75" s="453" t="s">
        <v>802</v>
      </c>
      <c r="C75" s="502"/>
      <c r="D75" s="502"/>
      <c r="E75" s="502"/>
      <c r="F75" s="502"/>
      <c r="G75" s="502"/>
      <c r="H75" s="503"/>
    </row>
    <row r="76" spans="1:8" ht="30" customHeight="1">
      <c r="A76" s="276">
        <v>16.600000000000001</v>
      </c>
      <c r="B76" s="226" t="s">
        <v>803</v>
      </c>
      <c r="C76" s="273" t="s">
        <v>85</v>
      </c>
      <c r="D76" s="219">
        <v>1</v>
      </c>
      <c r="E76" s="962">
        <v>0</v>
      </c>
      <c r="F76" s="220"/>
      <c r="G76" s="222">
        <f>E76*D76</f>
        <v>0</v>
      </c>
      <c r="H76" s="410"/>
    </row>
    <row r="77" spans="1:8" ht="30" customHeight="1">
      <c r="A77" s="276">
        <v>16.61</v>
      </c>
      <c r="B77" s="226" t="s">
        <v>804</v>
      </c>
      <c r="C77" s="273" t="s">
        <v>85</v>
      </c>
      <c r="D77" s="219">
        <v>1</v>
      </c>
      <c r="E77" s="962">
        <v>0</v>
      </c>
      <c r="F77" s="220"/>
      <c r="G77" s="222">
        <f>E77*D77</f>
        <v>0</v>
      </c>
      <c r="H77" s="410"/>
    </row>
    <row r="78" spans="1:8" ht="30" customHeight="1">
      <c r="A78" s="276">
        <v>16.62</v>
      </c>
      <c r="B78" s="226" t="s">
        <v>805</v>
      </c>
      <c r="C78" s="273" t="s">
        <v>85</v>
      </c>
      <c r="D78" s="219">
        <v>1</v>
      </c>
      <c r="E78" s="962">
        <v>0</v>
      </c>
      <c r="F78" s="220"/>
      <c r="G78" s="222">
        <f>E78*D78</f>
        <v>0</v>
      </c>
      <c r="H78" s="410"/>
    </row>
    <row r="79" spans="1:8" ht="30" customHeight="1">
      <c r="A79" s="276">
        <v>16.63</v>
      </c>
      <c r="B79" s="226" t="s">
        <v>806</v>
      </c>
      <c r="C79" s="273" t="s">
        <v>85</v>
      </c>
      <c r="D79" s="219">
        <v>1</v>
      </c>
      <c r="E79" s="962">
        <v>0</v>
      </c>
      <c r="F79" s="220"/>
      <c r="G79" s="222">
        <f>E79*D79</f>
        <v>0</v>
      </c>
      <c r="H79" s="410"/>
    </row>
    <row r="80" spans="1:8" ht="20.100000000000001" customHeight="1">
      <c r="A80" s="501"/>
      <c r="B80" s="453" t="s">
        <v>807</v>
      </c>
      <c r="C80" s="502"/>
      <c r="D80" s="502"/>
      <c r="E80" s="502"/>
      <c r="F80" s="502"/>
      <c r="G80" s="502"/>
      <c r="H80" s="503"/>
    </row>
    <row r="81" spans="1:8" ht="30" customHeight="1">
      <c r="A81" s="276">
        <v>16.64</v>
      </c>
      <c r="B81" s="302" t="s">
        <v>808</v>
      </c>
      <c r="C81" s="273" t="s">
        <v>85</v>
      </c>
      <c r="D81" s="219">
        <v>1</v>
      </c>
      <c r="E81" s="962">
        <v>0</v>
      </c>
      <c r="F81" s="220"/>
      <c r="G81" s="222">
        <f>E81*D81</f>
        <v>0</v>
      </c>
      <c r="H81" s="410"/>
    </row>
    <row r="82" spans="1:8" ht="30" customHeight="1">
      <c r="A82" s="276">
        <v>16.649999999999999</v>
      </c>
      <c r="B82" s="302" t="s">
        <v>809</v>
      </c>
      <c r="C82" s="273" t="s">
        <v>85</v>
      </c>
      <c r="D82" s="219">
        <v>1</v>
      </c>
      <c r="E82" s="962">
        <v>0</v>
      </c>
      <c r="F82" s="220"/>
      <c r="G82" s="222">
        <f>E82*D82</f>
        <v>0</v>
      </c>
      <c r="H82" s="410"/>
    </row>
    <row r="83" spans="1:8" ht="30" customHeight="1">
      <c r="A83" s="276">
        <v>16.66</v>
      </c>
      <c r="B83" s="226" t="s">
        <v>810</v>
      </c>
      <c r="C83" s="273" t="s">
        <v>85</v>
      </c>
      <c r="D83" s="219">
        <v>1</v>
      </c>
      <c r="E83" s="962">
        <v>0</v>
      </c>
      <c r="F83" s="220"/>
      <c r="G83" s="222">
        <f>E83*D83</f>
        <v>0</v>
      </c>
      <c r="H83" s="410"/>
    </row>
    <row r="84" spans="1:8" ht="30" customHeight="1">
      <c r="A84" s="276">
        <v>16.670000000000002</v>
      </c>
      <c r="B84" s="226" t="s">
        <v>811</v>
      </c>
      <c r="C84" s="273" t="s">
        <v>85</v>
      </c>
      <c r="D84" s="219">
        <v>1</v>
      </c>
      <c r="E84" s="962">
        <v>0</v>
      </c>
      <c r="F84" s="220"/>
      <c r="G84" s="222">
        <f>E84*D84</f>
        <v>0</v>
      </c>
      <c r="H84" s="410"/>
    </row>
    <row r="85" spans="1:8" ht="20.100000000000001" customHeight="1">
      <c r="A85" s="501"/>
      <c r="B85" s="453" t="s">
        <v>813</v>
      </c>
      <c r="C85" s="502"/>
      <c r="D85" s="502"/>
      <c r="E85" s="502"/>
      <c r="F85" s="502"/>
      <c r="G85" s="502"/>
      <c r="H85" s="503"/>
    </row>
    <row r="86" spans="1:8" ht="30" customHeight="1">
      <c r="A86" s="276">
        <v>16.68</v>
      </c>
      <c r="B86" s="226" t="s">
        <v>814</v>
      </c>
      <c r="C86" s="273" t="s">
        <v>85</v>
      </c>
      <c r="D86" s="219">
        <v>1</v>
      </c>
      <c r="E86" s="962">
        <v>0</v>
      </c>
      <c r="F86" s="220"/>
      <c r="G86" s="222">
        <f>E86*D86</f>
        <v>0</v>
      </c>
      <c r="H86" s="410"/>
    </row>
    <row r="87" spans="1:8" ht="20.100000000000001" customHeight="1">
      <c r="A87" s="501"/>
      <c r="B87" s="453" t="s">
        <v>815</v>
      </c>
      <c r="C87" s="502"/>
      <c r="D87" s="502"/>
      <c r="E87" s="502"/>
      <c r="F87" s="502"/>
      <c r="G87" s="502"/>
      <c r="H87" s="503"/>
    </row>
    <row r="88" spans="1:8" ht="30" customHeight="1">
      <c r="A88" s="276">
        <v>16.690000000000001</v>
      </c>
      <c r="B88" s="226" t="s">
        <v>816</v>
      </c>
      <c r="C88" s="273" t="s">
        <v>100</v>
      </c>
      <c r="D88" s="962">
        <v>0</v>
      </c>
      <c r="E88" s="962">
        <v>0</v>
      </c>
      <c r="F88" s="219">
        <f t="shared" ref="F88:F93" si="6">D88</f>
        <v>0</v>
      </c>
      <c r="G88" s="222">
        <f t="shared" ref="G88:G93" si="7">E88*D88</f>
        <v>0</v>
      </c>
      <c r="H88" s="410"/>
    </row>
    <row r="89" spans="1:8" ht="30" customHeight="1">
      <c r="A89" s="276">
        <v>16.7</v>
      </c>
      <c r="B89" s="226" t="s">
        <v>817</v>
      </c>
      <c r="C89" s="273" t="s">
        <v>100</v>
      </c>
      <c r="D89" s="962">
        <v>0</v>
      </c>
      <c r="E89" s="962">
        <v>0</v>
      </c>
      <c r="F89" s="219">
        <f t="shared" si="6"/>
        <v>0</v>
      </c>
      <c r="G89" s="222">
        <f t="shared" si="7"/>
        <v>0</v>
      </c>
      <c r="H89" s="410"/>
    </row>
    <row r="90" spans="1:8" ht="30" customHeight="1">
      <c r="A90" s="276">
        <v>16.71</v>
      </c>
      <c r="B90" s="226" t="s">
        <v>818</v>
      </c>
      <c r="C90" s="273" t="s">
        <v>100</v>
      </c>
      <c r="D90" s="962">
        <v>0</v>
      </c>
      <c r="E90" s="962">
        <v>0</v>
      </c>
      <c r="F90" s="219">
        <f t="shared" si="6"/>
        <v>0</v>
      </c>
      <c r="G90" s="222">
        <f t="shared" si="7"/>
        <v>0</v>
      </c>
      <c r="H90" s="410"/>
    </row>
    <row r="91" spans="1:8" ht="30" customHeight="1">
      <c r="A91" s="276">
        <v>16.72</v>
      </c>
      <c r="B91" s="226" t="s">
        <v>804</v>
      </c>
      <c r="C91" s="273" t="s">
        <v>100</v>
      </c>
      <c r="D91" s="962">
        <v>0</v>
      </c>
      <c r="E91" s="962">
        <v>0</v>
      </c>
      <c r="F91" s="219">
        <f t="shared" si="6"/>
        <v>0</v>
      </c>
      <c r="G91" s="222">
        <f t="shared" si="7"/>
        <v>0</v>
      </c>
      <c r="H91" s="410"/>
    </row>
    <row r="92" spans="1:8" ht="30" customHeight="1">
      <c r="A92" s="276">
        <v>16.73</v>
      </c>
      <c r="B92" s="226" t="s">
        <v>819</v>
      </c>
      <c r="C92" s="273" t="s">
        <v>100</v>
      </c>
      <c r="D92" s="962">
        <v>0</v>
      </c>
      <c r="E92" s="962">
        <v>0</v>
      </c>
      <c r="F92" s="219">
        <f t="shared" si="6"/>
        <v>0</v>
      </c>
      <c r="G92" s="222">
        <f t="shared" si="7"/>
        <v>0</v>
      </c>
      <c r="H92" s="410"/>
    </row>
    <row r="93" spans="1:8" ht="30" customHeight="1">
      <c r="A93" s="276">
        <v>16.739999999999998</v>
      </c>
      <c r="B93" s="226" t="s">
        <v>805</v>
      </c>
      <c r="C93" s="273" t="s">
        <v>100</v>
      </c>
      <c r="D93" s="962">
        <v>0</v>
      </c>
      <c r="E93" s="962">
        <v>0</v>
      </c>
      <c r="F93" s="219">
        <f t="shared" si="6"/>
        <v>0</v>
      </c>
      <c r="G93" s="222">
        <f t="shared" si="7"/>
        <v>0</v>
      </c>
      <c r="H93" s="410"/>
    </row>
    <row r="94" spans="1:8" ht="20.100000000000001" customHeight="1">
      <c r="A94" s="501"/>
      <c r="B94" s="453" t="s">
        <v>820</v>
      </c>
      <c r="C94" s="502"/>
      <c r="D94" s="502"/>
      <c r="E94" s="502"/>
      <c r="F94" s="502"/>
      <c r="G94" s="502"/>
      <c r="H94" s="503"/>
    </row>
    <row r="95" spans="1:8" ht="30" customHeight="1">
      <c r="A95" s="276">
        <v>16.75</v>
      </c>
      <c r="B95" s="226" t="s">
        <v>821</v>
      </c>
      <c r="C95" s="273" t="s">
        <v>85</v>
      </c>
      <c r="D95" s="219">
        <v>1</v>
      </c>
      <c r="E95" s="962">
        <v>0</v>
      </c>
      <c r="F95" s="220"/>
      <c r="G95" s="222">
        <f t="shared" ref="G95:G101" si="8">E95*D95</f>
        <v>0</v>
      </c>
      <c r="H95" s="410"/>
    </row>
    <row r="96" spans="1:8" ht="30" customHeight="1">
      <c r="A96" s="276">
        <v>16.760000000000002</v>
      </c>
      <c r="B96" s="226" t="s">
        <v>822</v>
      </c>
      <c r="C96" s="273" t="s">
        <v>85</v>
      </c>
      <c r="D96" s="219">
        <v>1</v>
      </c>
      <c r="E96" s="962">
        <v>0</v>
      </c>
      <c r="F96" s="220"/>
      <c r="G96" s="222">
        <f t="shared" si="8"/>
        <v>0</v>
      </c>
      <c r="H96" s="410"/>
    </row>
    <row r="97" spans="1:8" ht="30" customHeight="1">
      <c r="A97" s="276">
        <v>16.77</v>
      </c>
      <c r="B97" s="226" t="s">
        <v>823</v>
      </c>
      <c r="C97" s="273" t="s">
        <v>85</v>
      </c>
      <c r="D97" s="219">
        <v>1</v>
      </c>
      <c r="E97" s="962">
        <v>0</v>
      </c>
      <c r="F97" s="220"/>
      <c r="G97" s="222">
        <f t="shared" si="8"/>
        <v>0</v>
      </c>
      <c r="H97" s="410"/>
    </row>
    <row r="98" spans="1:8" ht="30" customHeight="1">
      <c r="A98" s="276">
        <v>16.78</v>
      </c>
      <c r="B98" s="226" t="s">
        <v>824</v>
      </c>
      <c r="C98" s="273" t="s">
        <v>85</v>
      </c>
      <c r="D98" s="219">
        <v>1</v>
      </c>
      <c r="E98" s="962">
        <v>0</v>
      </c>
      <c r="F98" s="220"/>
      <c r="G98" s="222">
        <f t="shared" si="8"/>
        <v>0</v>
      </c>
      <c r="H98" s="410"/>
    </row>
    <row r="99" spans="1:8" ht="30" customHeight="1">
      <c r="A99" s="276">
        <v>16.79</v>
      </c>
      <c r="B99" s="226" t="s">
        <v>825</v>
      </c>
      <c r="C99" s="273" t="s">
        <v>85</v>
      </c>
      <c r="D99" s="219">
        <v>1</v>
      </c>
      <c r="E99" s="962">
        <v>0</v>
      </c>
      <c r="F99" s="220"/>
      <c r="G99" s="222">
        <f t="shared" si="8"/>
        <v>0</v>
      </c>
      <c r="H99" s="410"/>
    </row>
    <row r="100" spans="1:8" ht="30" customHeight="1">
      <c r="A100" s="276">
        <v>16.8</v>
      </c>
      <c r="B100" s="226" t="s">
        <v>1022</v>
      </c>
      <c r="C100" s="273" t="s">
        <v>85</v>
      </c>
      <c r="D100" s="219">
        <v>1</v>
      </c>
      <c r="E100" s="962">
        <v>0</v>
      </c>
      <c r="F100" s="220"/>
      <c r="G100" s="222">
        <f t="shared" si="8"/>
        <v>0</v>
      </c>
      <c r="H100" s="410"/>
    </row>
    <row r="101" spans="1:8" ht="30" customHeight="1">
      <c r="A101" s="276">
        <v>16.809999999999999</v>
      </c>
      <c r="B101" s="226" t="s">
        <v>826</v>
      </c>
      <c r="C101" s="273" t="s">
        <v>85</v>
      </c>
      <c r="D101" s="219">
        <v>1</v>
      </c>
      <c r="E101" s="962">
        <v>0</v>
      </c>
      <c r="F101" s="220"/>
      <c r="G101" s="222">
        <f t="shared" si="8"/>
        <v>0</v>
      </c>
      <c r="H101" s="410"/>
    </row>
    <row r="102" spans="1:8" ht="20.100000000000001" customHeight="1">
      <c r="A102" s="501"/>
      <c r="B102" s="453" t="s">
        <v>827</v>
      </c>
      <c r="C102" s="502"/>
      <c r="D102" s="502"/>
      <c r="E102" s="502"/>
      <c r="F102" s="502"/>
      <c r="G102" s="502"/>
      <c r="H102" s="503"/>
    </row>
    <row r="103" spans="1:8" ht="30" customHeight="1">
      <c r="A103" s="276">
        <v>16.82</v>
      </c>
      <c r="B103" s="226" t="s">
        <v>1023</v>
      </c>
      <c r="C103" s="273" t="s">
        <v>100</v>
      </c>
      <c r="D103" s="962">
        <v>0</v>
      </c>
      <c r="E103" s="962">
        <v>0</v>
      </c>
      <c r="F103" s="219">
        <f t="shared" ref="F103:F115" si="9">D103</f>
        <v>0</v>
      </c>
      <c r="G103" s="222">
        <f t="shared" ref="G103:G115" si="10">E103*D103</f>
        <v>0</v>
      </c>
      <c r="H103" s="410"/>
    </row>
    <row r="104" spans="1:8" ht="30" customHeight="1">
      <c r="A104" s="276">
        <v>16.829999999999998</v>
      </c>
      <c r="B104" s="226" t="s">
        <v>828</v>
      </c>
      <c r="C104" s="273" t="s">
        <v>100</v>
      </c>
      <c r="D104" s="962">
        <v>0</v>
      </c>
      <c r="E104" s="962">
        <v>0</v>
      </c>
      <c r="F104" s="219">
        <f t="shared" si="9"/>
        <v>0</v>
      </c>
      <c r="G104" s="222">
        <f t="shared" si="10"/>
        <v>0</v>
      </c>
      <c r="H104" s="410"/>
    </row>
    <row r="105" spans="1:8" ht="30" customHeight="1">
      <c r="A105" s="276">
        <v>16.84</v>
      </c>
      <c r="B105" s="226" t="s">
        <v>829</v>
      </c>
      <c r="C105" s="273" t="s">
        <v>100</v>
      </c>
      <c r="D105" s="962">
        <v>0</v>
      </c>
      <c r="E105" s="962">
        <v>0</v>
      </c>
      <c r="F105" s="219">
        <f t="shared" si="9"/>
        <v>0</v>
      </c>
      <c r="G105" s="222">
        <f t="shared" si="10"/>
        <v>0</v>
      </c>
      <c r="H105" s="410"/>
    </row>
    <row r="106" spans="1:8" ht="30" customHeight="1">
      <c r="A106" s="276">
        <v>16.850000000000001</v>
      </c>
      <c r="B106" s="302" t="s">
        <v>830</v>
      </c>
      <c r="C106" s="273" t="s">
        <v>100</v>
      </c>
      <c r="D106" s="962">
        <v>0</v>
      </c>
      <c r="E106" s="962">
        <v>0</v>
      </c>
      <c r="F106" s="219">
        <f t="shared" si="9"/>
        <v>0</v>
      </c>
      <c r="G106" s="222">
        <f t="shared" si="10"/>
        <v>0</v>
      </c>
      <c r="H106" s="410"/>
    </row>
    <row r="107" spans="1:8" ht="30" customHeight="1">
      <c r="A107" s="276">
        <v>16.86</v>
      </c>
      <c r="B107" s="302" t="s">
        <v>831</v>
      </c>
      <c r="C107" s="273" t="s">
        <v>100</v>
      </c>
      <c r="D107" s="962">
        <v>0</v>
      </c>
      <c r="E107" s="962">
        <v>0</v>
      </c>
      <c r="F107" s="219">
        <f t="shared" si="9"/>
        <v>0</v>
      </c>
      <c r="G107" s="222">
        <f t="shared" si="10"/>
        <v>0</v>
      </c>
      <c r="H107" s="410"/>
    </row>
    <row r="108" spans="1:8" ht="30" customHeight="1">
      <c r="A108" s="276">
        <v>16.87</v>
      </c>
      <c r="B108" s="226" t="s">
        <v>832</v>
      </c>
      <c r="C108" s="273" t="s">
        <v>100</v>
      </c>
      <c r="D108" s="962">
        <v>0</v>
      </c>
      <c r="E108" s="962">
        <v>0</v>
      </c>
      <c r="F108" s="219">
        <f t="shared" si="9"/>
        <v>0</v>
      </c>
      <c r="G108" s="222">
        <f t="shared" si="10"/>
        <v>0</v>
      </c>
      <c r="H108" s="410"/>
    </row>
    <row r="109" spans="1:8" ht="30" customHeight="1">
      <c r="A109" s="276">
        <v>16.88</v>
      </c>
      <c r="B109" s="226" t="s">
        <v>833</v>
      </c>
      <c r="C109" s="273" t="s">
        <v>100</v>
      </c>
      <c r="D109" s="962">
        <v>0</v>
      </c>
      <c r="E109" s="962">
        <v>0</v>
      </c>
      <c r="F109" s="219">
        <f t="shared" si="9"/>
        <v>0</v>
      </c>
      <c r="G109" s="222">
        <f t="shared" si="10"/>
        <v>0</v>
      </c>
      <c r="H109" s="410"/>
    </row>
    <row r="110" spans="1:8" ht="30" customHeight="1">
      <c r="A110" s="276">
        <v>16.89</v>
      </c>
      <c r="B110" s="226" t="s">
        <v>834</v>
      </c>
      <c r="C110" s="273" t="s">
        <v>100</v>
      </c>
      <c r="D110" s="962">
        <v>0</v>
      </c>
      <c r="E110" s="962">
        <v>0</v>
      </c>
      <c r="F110" s="219">
        <f t="shared" si="9"/>
        <v>0</v>
      </c>
      <c r="G110" s="222">
        <f t="shared" si="10"/>
        <v>0</v>
      </c>
      <c r="H110" s="410"/>
    </row>
    <row r="111" spans="1:8" ht="30" customHeight="1">
      <c r="A111" s="276">
        <v>16.899999999999999</v>
      </c>
      <c r="B111" s="226" t="s">
        <v>835</v>
      </c>
      <c r="C111" s="273" t="s">
        <v>100</v>
      </c>
      <c r="D111" s="962">
        <v>0</v>
      </c>
      <c r="E111" s="962">
        <v>0</v>
      </c>
      <c r="F111" s="219">
        <f t="shared" si="9"/>
        <v>0</v>
      </c>
      <c r="G111" s="222">
        <f t="shared" si="10"/>
        <v>0</v>
      </c>
      <c r="H111" s="410"/>
    </row>
    <row r="112" spans="1:8" ht="30" customHeight="1">
      <c r="A112" s="276">
        <v>16.91</v>
      </c>
      <c r="B112" s="226" t="s">
        <v>852</v>
      </c>
      <c r="C112" s="273" t="s">
        <v>100</v>
      </c>
      <c r="D112" s="962">
        <v>0</v>
      </c>
      <c r="E112" s="962">
        <v>0</v>
      </c>
      <c r="F112" s="219">
        <f t="shared" si="9"/>
        <v>0</v>
      </c>
      <c r="G112" s="222">
        <f t="shared" si="10"/>
        <v>0</v>
      </c>
      <c r="H112" s="410"/>
    </row>
    <row r="113" spans="1:8" ht="30" customHeight="1">
      <c r="A113" s="276">
        <v>16.920000000000002</v>
      </c>
      <c r="B113" s="302" t="s">
        <v>853</v>
      </c>
      <c r="C113" s="273" t="s">
        <v>100</v>
      </c>
      <c r="D113" s="962">
        <v>0</v>
      </c>
      <c r="E113" s="962">
        <v>0</v>
      </c>
      <c r="F113" s="219">
        <f t="shared" si="9"/>
        <v>0</v>
      </c>
      <c r="G113" s="222">
        <f t="shared" si="10"/>
        <v>0</v>
      </c>
      <c r="H113" s="410"/>
    </row>
    <row r="114" spans="1:8" ht="30" customHeight="1">
      <c r="A114" s="276">
        <v>16.93</v>
      </c>
      <c r="B114" s="302" t="s">
        <v>854</v>
      </c>
      <c r="C114" s="273" t="s">
        <v>100</v>
      </c>
      <c r="D114" s="962">
        <v>0</v>
      </c>
      <c r="E114" s="962">
        <v>0</v>
      </c>
      <c r="F114" s="219">
        <f t="shared" si="9"/>
        <v>0</v>
      </c>
      <c r="G114" s="222">
        <f t="shared" si="10"/>
        <v>0</v>
      </c>
      <c r="H114" s="410"/>
    </row>
    <row r="115" spans="1:8" ht="30" customHeight="1">
      <c r="A115" s="276">
        <v>16.940000000000001</v>
      </c>
      <c r="B115" s="226" t="s">
        <v>898</v>
      </c>
      <c r="C115" s="273" t="s">
        <v>100</v>
      </c>
      <c r="D115" s="962">
        <v>0</v>
      </c>
      <c r="E115" s="962">
        <v>0</v>
      </c>
      <c r="F115" s="219">
        <f t="shared" si="9"/>
        <v>0</v>
      </c>
      <c r="G115" s="222">
        <f t="shared" si="10"/>
        <v>0</v>
      </c>
      <c r="H115" s="410"/>
    </row>
    <row r="116" spans="1:8" ht="20.100000000000001" customHeight="1">
      <c r="A116" s="501"/>
      <c r="B116" s="453" t="s">
        <v>855</v>
      </c>
      <c r="C116" s="502"/>
      <c r="D116" s="502"/>
      <c r="E116" s="502"/>
      <c r="F116" s="502"/>
      <c r="G116" s="502"/>
      <c r="H116" s="503"/>
    </row>
    <row r="117" spans="1:8" ht="30" customHeight="1">
      <c r="A117" s="276">
        <v>16.95</v>
      </c>
      <c r="B117" s="226" t="s">
        <v>856</v>
      </c>
      <c r="C117" s="273" t="s">
        <v>85</v>
      </c>
      <c r="D117" s="219">
        <v>1</v>
      </c>
      <c r="E117" s="962">
        <v>0</v>
      </c>
      <c r="F117" s="220"/>
      <c r="G117" s="222">
        <f t="shared" ref="G117:G122" si="11">E117*D117</f>
        <v>0</v>
      </c>
      <c r="H117" s="410"/>
    </row>
    <row r="118" spans="1:8" ht="30" customHeight="1">
      <c r="A118" s="276">
        <v>16.96</v>
      </c>
      <c r="B118" s="226" t="s">
        <v>735</v>
      </c>
      <c r="C118" s="273" t="s">
        <v>100</v>
      </c>
      <c r="D118" s="962">
        <v>0</v>
      </c>
      <c r="E118" s="962">
        <v>0</v>
      </c>
      <c r="F118" s="219">
        <f>D118</f>
        <v>0</v>
      </c>
      <c r="G118" s="222">
        <f t="shared" si="11"/>
        <v>0</v>
      </c>
      <c r="H118" s="410"/>
    </row>
    <row r="119" spans="1:8" ht="30" customHeight="1">
      <c r="A119" s="276">
        <v>16.97</v>
      </c>
      <c r="B119" s="226" t="s">
        <v>857</v>
      </c>
      <c r="C119" s="273" t="s">
        <v>85</v>
      </c>
      <c r="D119" s="219">
        <v>1</v>
      </c>
      <c r="E119" s="962">
        <v>0</v>
      </c>
      <c r="F119" s="220"/>
      <c r="G119" s="222">
        <f t="shared" si="11"/>
        <v>0</v>
      </c>
      <c r="H119" s="410"/>
    </row>
    <row r="120" spans="1:8" ht="30" customHeight="1">
      <c r="A120" s="276">
        <v>16.98</v>
      </c>
      <c r="B120" s="226" t="s">
        <v>858</v>
      </c>
      <c r="C120" s="273" t="s">
        <v>100</v>
      </c>
      <c r="D120" s="962">
        <v>0</v>
      </c>
      <c r="E120" s="962">
        <v>0</v>
      </c>
      <c r="F120" s="219">
        <f>D120</f>
        <v>0</v>
      </c>
      <c r="G120" s="222">
        <f t="shared" si="11"/>
        <v>0</v>
      </c>
      <c r="H120" s="410"/>
    </row>
    <row r="121" spans="1:8" ht="30" customHeight="1">
      <c r="A121" s="276">
        <v>16.989999999999998</v>
      </c>
      <c r="B121" s="226" t="s">
        <v>859</v>
      </c>
      <c r="C121" s="273" t="s">
        <v>85</v>
      </c>
      <c r="D121" s="219">
        <v>1</v>
      </c>
      <c r="E121" s="962">
        <v>0</v>
      </c>
      <c r="F121" s="220"/>
      <c r="G121" s="222">
        <f t="shared" si="11"/>
        <v>0</v>
      </c>
      <c r="H121" s="410"/>
    </row>
    <row r="122" spans="1:8" ht="30" customHeight="1">
      <c r="A122" s="530">
        <v>16.100000000000001</v>
      </c>
      <c r="B122" s="226" t="s">
        <v>1178</v>
      </c>
      <c r="C122" s="273" t="s">
        <v>100</v>
      </c>
      <c r="D122" s="962">
        <v>0</v>
      </c>
      <c r="E122" s="962">
        <v>0</v>
      </c>
      <c r="F122" s="219">
        <f>D122</f>
        <v>0</v>
      </c>
      <c r="G122" s="222">
        <f t="shared" si="11"/>
        <v>0</v>
      </c>
      <c r="H122" s="410"/>
    </row>
    <row r="123" spans="1:8" ht="20.100000000000001" customHeight="1">
      <c r="A123" s="501"/>
      <c r="B123" s="453" t="s">
        <v>933</v>
      </c>
      <c r="C123" s="502"/>
      <c r="D123" s="502"/>
      <c r="E123" s="502"/>
      <c r="F123" s="502"/>
      <c r="G123" s="502"/>
      <c r="H123" s="503"/>
    </row>
    <row r="124" spans="1:8" ht="30" customHeight="1">
      <c r="A124" s="530">
        <v>16.100999999999999</v>
      </c>
      <c r="B124" s="226" t="s">
        <v>977</v>
      </c>
      <c r="C124" s="273" t="s">
        <v>100</v>
      </c>
      <c r="D124" s="962">
        <v>0</v>
      </c>
      <c r="E124" s="962">
        <v>0</v>
      </c>
      <c r="F124" s="219">
        <f>D124</f>
        <v>0</v>
      </c>
      <c r="G124" s="222">
        <f>E124*D124</f>
        <v>0</v>
      </c>
      <c r="H124" s="410"/>
    </row>
    <row r="125" spans="1:8" ht="20.100000000000001" customHeight="1">
      <c r="A125" s="501"/>
      <c r="B125" s="453" t="s">
        <v>860</v>
      </c>
      <c r="C125" s="502"/>
      <c r="D125" s="502"/>
      <c r="E125" s="502"/>
      <c r="F125" s="502"/>
      <c r="G125" s="502"/>
      <c r="H125" s="503"/>
    </row>
    <row r="126" spans="1:8" ht="30" customHeight="1">
      <c r="A126" s="530">
        <v>16.102</v>
      </c>
      <c r="B126" s="226" t="s">
        <v>265</v>
      </c>
      <c r="C126" s="273" t="s">
        <v>85</v>
      </c>
      <c r="D126" s="219">
        <v>1</v>
      </c>
      <c r="E126" s="962">
        <v>0</v>
      </c>
      <c r="F126" s="220"/>
      <c r="G126" s="222">
        <f>E126*D126</f>
        <v>0</v>
      </c>
      <c r="H126" s="410"/>
    </row>
    <row r="127" spans="1:8" ht="20.100000000000001" customHeight="1" thickBot="1">
      <c r="A127" s="2476" t="s">
        <v>389</v>
      </c>
      <c r="B127" s="2477"/>
      <c r="C127" s="2477"/>
      <c r="D127" s="2477"/>
      <c r="E127" s="2478"/>
      <c r="F127" s="467">
        <f>SUM(F126:F126,F124,F117:F122,F103:F115,F95:F101,F88:F93,F86,F81:F84,F76:F79,F54:F74,F35:F52,F27:F33,F25,F21:F23,F11:F19)</f>
        <v>0</v>
      </c>
      <c r="G127" s="248">
        <f>SUM(G126:G126,G124,G117:G122,G103:G115,G95:G101,G88:G93,G86,G81:G84,G76:G79,G54:G74,G35:G52,G27:G33,G25,G21:G23,G11:G19)</f>
        <v>0</v>
      </c>
      <c r="H127" s="531"/>
    </row>
  </sheetData>
  <mergeCells count="10">
    <mergeCell ref="A127:E127"/>
    <mergeCell ref="A4:B4"/>
    <mergeCell ref="C4:F4"/>
    <mergeCell ref="G4:H4"/>
    <mergeCell ref="A5:B5"/>
    <mergeCell ref="C5:F5"/>
    <mergeCell ref="G5:H5"/>
    <mergeCell ref="A6:B6"/>
    <mergeCell ref="C6:F6"/>
    <mergeCell ref="G6:H6"/>
  </mergeCells>
  <phoneticPr fontId="0" type="noConversion"/>
  <printOptions horizontalCentered="1"/>
  <pageMargins left="0.5" right="0.5" top="1" bottom="1" header="0.5" footer="0.5"/>
  <pageSetup scale="58" fitToHeight="0" orientation="landscape" r:id="rId1"/>
  <headerFooter alignWithMargins="0">
    <oddHeader>&amp;C&amp;"Arial,Bold"&amp;12&amp;UProject Activity 16: Structures- Movable Span</oddHeader>
    <oddFooter>&amp;L&amp;F
&amp;A&amp;CPage &amp;P of &amp;N&amp;R&amp;D</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3">
    <pageSetUpPr autoPageBreaks="0"/>
  </sheetPr>
  <dimension ref="A1:H36"/>
  <sheetViews>
    <sheetView showGridLines="0" showRuler="0" zoomScaleNormal="100" zoomScaleSheetLayoutView="100" workbookViewId="0"/>
  </sheetViews>
  <sheetFormatPr defaultColWidth="9.109375" defaultRowHeight="13.2"/>
  <cols>
    <col min="1" max="1" width="6.33203125" style="341" customWidth="1"/>
    <col min="2" max="2" width="50.6640625" style="341" customWidth="1"/>
    <col min="3" max="5" width="12.6640625" style="341" customWidth="1"/>
    <col min="6" max="6" width="12.6640625" style="392" customWidth="1"/>
    <col min="7" max="7" width="12.6640625" style="341" customWidth="1"/>
    <col min="8" max="8" width="100.6640625" style="341" customWidth="1"/>
    <col min="9" max="9" width="6.5546875" style="4" customWidth="1"/>
    <col min="10" max="16384" width="9.109375" style="4"/>
  </cols>
  <sheetData>
    <row r="1" spans="1:8" s="422" customFormat="1" ht="20.100000000000001" customHeight="1">
      <c r="A1" s="362" t="s">
        <v>592</v>
      </c>
      <c r="B1" s="430"/>
      <c r="C1" s="430"/>
      <c r="D1" s="430"/>
      <c r="E1" s="430"/>
      <c r="F1" s="430"/>
      <c r="G1" s="430"/>
      <c r="H1" s="897" t="str">
        <f>'Project Information'!$B$3</f>
        <v>Enter project name &amp; description</v>
      </c>
    </row>
    <row r="2" spans="1:8" s="422" customFormat="1" ht="20.100000000000001" customHeight="1">
      <c r="A2" s="423"/>
      <c r="B2" s="430"/>
      <c r="C2" s="430"/>
      <c r="D2" s="430"/>
      <c r="E2" s="430"/>
      <c r="F2" s="430"/>
      <c r="G2" s="430"/>
      <c r="H2" s="897" t="str">
        <f>'Project Information'!$B$1</f>
        <v>999999-1-32-01</v>
      </c>
    </row>
    <row r="3" spans="1:8" s="225" customFormat="1" ht="14.4" thickBot="1">
      <c r="A3" s="311"/>
      <c r="B3" s="312"/>
      <c r="C3" s="313"/>
      <c r="D3" s="313"/>
      <c r="E3" s="313"/>
      <c r="F3" s="313"/>
      <c r="G3" s="313"/>
      <c r="H3" s="313"/>
    </row>
    <row r="4" spans="1:8" s="225" customFormat="1" ht="28.5" customHeight="1" thickBot="1">
      <c r="A4" s="2086" t="s">
        <v>1396</v>
      </c>
      <c r="B4" s="2087"/>
      <c r="C4" s="2088" t="s">
        <v>1397</v>
      </c>
      <c r="D4" s="2088"/>
      <c r="E4" s="2088"/>
      <c r="F4" s="2088"/>
      <c r="G4" s="2339" t="s">
        <v>1398</v>
      </c>
      <c r="H4" s="2469"/>
    </row>
    <row r="5" spans="1:8" s="225" customFormat="1" ht="28.5" customHeight="1">
      <c r="A5" s="2089" t="s">
        <v>1400</v>
      </c>
      <c r="B5" s="2090"/>
      <c r="C5" s="2091"/>
      <c r="D5" s="2091"/>
      <c r="E5" s="2091"/>
      <c r="F5" s="2091"/>
      <c r="G5" s="2342"/>
      <c r="H5" s="2470"/>
    </row>
    <row r="6" spans="1:8" s="225" customFormat="1" ht="28.5" customHeight="1" thickBot="1">
      <c r="A6" s="2083" t="s">
        <v>1399</v>
      </c>
      <c r="B6" s="2084"/>
      <c r="C6" s="2085"/>
      <c r="D6" s="2085"/>
      <c r="E6" s="2085"/>
      <c r="F6" s="2085"/>
      <c r="G6" s="2329"/>
      <c r="H6" s="2468"/>
    </row>
    <row r="7" spans="1:8" s="225" customFormat="1" ht="15.6">
      <c r="A7" s="898" t="s">
        <v>1430</v>
      </c>
      <c r="B7" s="270"/>
    </row>
    <row r="8" spans="1:8" s="225" customFormat="1" ht="15" customHeight="1" thickBot="1">
      <c r="A8" s="898"/>
      <c r="B8" s="270"/>
    </row>
    <row r="9" spans="1:8" ht="34.5" customHeight="1">
      <c r="A9" s="434" t="s">
        <v>79</v>
      </c>
      <c r="B9" s="300" t="s">
        <v>190</v>
      </c>
      <c r="C9" s="300" t="s">
        <v>171</v>
      </c>
      <c r="D9" s="266" t="s">
        <v>45</v>
      </c>
      <c r="E9" s="266" t="s">
        <v>706</v>
      </c>
      <c r="F9" s="266" t="s">
        <v>165</v>
      </c>
      <c r="G9" s="266" t="s">
        <v>102</v>
      </c>
      <c r="H9" s="319" t="s">
        <v>164</v>
      </c>
    </row>
    <row r="10" spans="1:8" ht="20.100000000000001" customHeight="1">
      <c r="A10" s="533"/>
      <c r="B10" s="534" t="s">
        <v>493</v>
      </c>
      <c r="C10" s="535"/>
      <c r="D10" s="535"/>
      <c r="E10" s="535"/>
      <c r="F10" s="535"/>
      <c r="G10" s="535"/>
      <c r="H10" s="536"/>
    </row>
    <row r="11" spans="1:8" s="420" customFormat="1" ht="30" customHeight="1">
      <c r="A11" s="532">
        <v>17.100000000000001</v>
      </c>
      <c r="B11" s="468" t="s">
        <v>94</v>
      </c>
      <c r="C11" s="340" t="s">
        <v>100</v>
      </c>
      <c r="D11" s="964">
        <v>0</v>
      </c>
      <c r="E11" s="964">
        <v>0</v>
      </c>
      <c r="F11" s="273">
        <f>D11</f>
        <v>0</v>
      </c>
      <c r="G11" s="538">
        <f>D11*E11</f>
        <v>0</v>
      </c>
      <c r="H11" s="415"/>
    </row>
    <row r="12" spans="1:8" s="420" customFormat="1" ht="30" customHeight="1">
      <c r="A12" s="436">
        <v>17.2</v>
      </c>
      <c r="B12" s="226" t="s">
        <v>863</v>
      </c>
      <c r="C12" s="220" t="s">
        <v>864</v>
      </c>
      <c r="D12" s="964">
        <v>0</v>
      </c>
      <c r="E12" s="964">
        <v>0</v>
      </c>
      <c r="F12" s="220"/>
      <c r="G12" s="222">
        <f>D12*E12</f>
        <v>0</v>
      </c>
      <c r="H12" s="410"/>
    </row>
    <row r="13" spans="1:8" s="420" customFormat="1" ht="20.100000000000001" customHeight="1">
      <c r="A13" s="497"/>
      <c r="B13" s="453" t="s">
        <v>865</v>
      </c>
      <c r="C13" s="498"/>
      <c r="D13" s="498"/>
      <c r="E13" s="498"/>
      <c r="F13" s="498"/>
      <c r="G13" s="498"/>
      <c r="H13" s="499"/>
    </row>
    <row r="14" spans="1:8" s="420" customFormat="1" ht="30" customHeight="1">
      <c r="A14" s="436">
        <v>17.3</v>
      </c>
      <c r="B14" s="226" t="s">
        <v>866</v>
      </c>
      <c r="C14" s="220" t="s">
        <v>864</v>
      </c>
      <c r="D14" s="964">
        <v>0</v>
      </c>
      <c r="E14" s="964">
        <v>0</v>
      </c>
      <c r="F14" s="220"/>
      <c r="G14" s="222">
        <f>D14*E14</f>
        <v>0</v>
      </c>
      <c r="H14" s="410"/>
    </row>
    <row r="15" spans="1:8" s="420" customFormat="1" ht="30" customHeight="1">
      <c r="A15" s="436">
        <v>17.399999999999999</v>
      </c>
      <c r="B15" s="336" t="s">
        <v>867</v>
      </c>
      <c r="C15" s="220" t="s">
        <v>100</v>
      </c>
      <c r="D15" s="964">
        <v>0</v>
      </c>
      <c r="E15" s="964">
        <v>0</v>
      </c>
      <c r="F15" s="273">
        <f>D15</f>
        <v>0</v>
      </c>
      <c r="G15" s="222">
        <f>D15*E15</f>
        <v>0</v>
      </c>
      <c r="H15" s="410"/>
    </row>
    <row r="16" spans="1:8" s="420" customFormat="1" ht="30" customHeight="1">
      <c r="A16" s="436">
        <v>17.5</v>
      </c>
      <c r="B16" s="336" t="s">
        <v>868</v>
      </c>
      <c r="C16" s="273" t="s">
        <v>100</v>
      </c>
      <c r="D16" s="964">
        <v>0</v>
      </c>
      <c r="E16" s="964">
        <v>0</v>
      </c>
      <c r="F16" s="273">
        <f>D16</f>
        <v>0</v>
      </c>
      <c r="G16" s="222">
        <f>D16*E16</f>
        <v>0</v>
      </c>
      <c r="H16" s="410"/>
    </row>
    <row r="17" spans="1:8" s="420" customFormat="1" ht="30" customHeight="1">
      <c r="A17" s="436">
        <v>17.600000000000001</v>
      </c>
      <c r="B17" s="336" t="s">
        <v>617</v>
      </c>
      <c r="C17" s="220" t="s">
        <v>100</v>
      </c>
      <c r="D17" s="964">
        <v>0</v>
      </c>
      <c r="E17" s="964">
        <v>0</v>
      </c>
      <c r="F17" s="273">
        <f>D17</f>
        <v>0</v>
      </c>
      <c r="G17" s="222">
        <f>D17*E17</f>
        <v>0</v>
      </c>
      <c r="H17" s="410"/>
    </row>
    <row r="18" spans="1:8" s="420" customFormat="1" ht="20.100000000000001" customHeight="1">
      <c r="A18" s="497"/>
      <c r="B18" s="453" t="s">
        <v>618</v>
      </c>
      <c r="C18" s="498"/>
      <c r="D18" s="498"/>
      <c r="E18" s="498"/>
      <c r="F18" s="498"/>
      <c r="G18" s="498"/>
      <c r="H18" s="499"/>
    </row>
    <row r="19" spans="1:8" s="420" customFormat="1" ht="30" customHeight="1">
      <c r="A19" s="436">
        <v>17.7</v>
      </c>
      <c r="B19" s="226" t="s">
        <v>866</v>
      </c>
      <c r="C19" s="220" t="s">
        <v>864</v>
      </c>
      <c r="D19" s="964">
        <v>0</v>
      </c>
      <c r="E19" s="964">
        <v>0</v>
      </c>
      <c r="F19" s="220"/>
      <c r="G19" s="222">
        <f>D19*E19</f>
        <v>0</v>
      </c>
      <c r="H19" s="410"/>
    </row>
    <row r="20" spans="1:8" s="420" customFormat="1" ht="30" customHeight="1">
      <c r="A20" s="436">
        <v>17.8</v>
      </c>
      <c r="B20" s="336" t="s">
        <v>867</v>
      </c>
      <c r="C20" s="220" t="s">
        <v>100</v>
      </c>
      <c r="D20" s="964">
        <v>0</v>
      </c>
      <c r="E20" s="964">
        <v>0</v>
      </c>
      <c r="F20" s="273">
        <f>D20</f>
        <v>0</v>
      </c>
      <c r="G20" s="222">
        <f>D20*E20</f>
        <v>0</v>
      </c>
      <c r="H20" s="410"/>
    </row>
    <row r="21" spans="1:8" s="420" customFormat="1" ht="30" customHeight="1">
      <c r="A21" s="457">
        <v>17.899999999999999</v>
      </c>
      <c r="B21" s="336" t="s">
        <v>868</v>
      </c>
      <c r="C21" s="273" t="s">
        <v>100</v>
      </c>
      <c r="D21" s="964">
        <v>0</v>
      </c>
      <c r="E21" s="964">
        <v>0</v>
      </c>
      <c r="F21" s="273">
        <f>D21</f>
        <v>0</v>
      </c>
      <c r="G21" s="222">
        <f>D21*E21</f>
        <v>0</v>
      </c>
      <c r="H21" s="410"/>
    </row>
    <row r="22" spans="1:8" s="420" customFormat="1" ht="30" customHeight="1">
      <c r="A22" s="441">
        <v>17.100000000000001</v>
      </c>
      <c r="B22" s="336" t="s">
        <v>617</v>
      </c>
      <c r="C22" s="220" t="s">
        <v>100</v>
      </c>
      <c r="D22" s="964">
        <v>0</v>
      </c>
      <c r="E22" s="964">
        <v>0</v>
      </c>
      <c r="F22" s="273">
        <f>D22</f>
        <v>0</v>
      </c>
      <c r="G22" s="222">
        <f>D22*E22</f>
        <v>0</v>
      </c>
      <c r="H22" s="410"/>
    </row>
    <row r="23" spans="1:8" s="420" customFormat="1" ht="20.100000000000001" customHeight="1">
      <c r="A23" s="497"/>
      <c r="B23" s="453" t="s">
        <v>1024</v>
      </c>
      <c r="C23" s="498"/>
      <c r="D23" s="498"/>
      <c r="E23" s="498"/>
      <c r="F23" s="498"/>
      <c r="G23" s="498"/>
      <c r="H23" s="499"/>
    </row>
    <row r="24" spans="1:8" s="420" customFormat="1" ht="30" customHeight="1">
      <c r="A24" s="441">
        <v>17.11</v>
      </c>
      <c r="B24" s="336" t="s">
        <v>619</v>
      </c>
      <c r="C24" s="273" t="s">
        <v>620</v>
      </c>
      <c r="D24" s="964">
        <v>0</v>
      </c>
      <c r="E24" s="964">
        <v>0</v>
      </c>
      <c r="F24" s="220"/>
      <c r="G24" s="222">
        <f t="shared" ref="G24:G29" si="0">D24*E24</f>
        <v>0</v>
      </c>
      <c r="H24" s="410"/>
    </row>
    <row r="25" spans="1:8" s="420" customFormat="1" ht="30" customHeight="1">
      <c r="A25" s="441">
        <v>17.12</v>
      </c>
      <c r="B25" s="226" t="s">
        <v>866</v>
      </c>
      <c r="C25" s="220" t="s">
        <v>496</v>
      </c>
      <c r="D25" s="964">
        <v>0</v>
      </c>
      <c r="E25" s="964">
        <v>0</v>
      </c>
      <c r="F25" s="220"/>
      <c r="G25" s="222">
        <f t="shared" si="0"/>
        <v>0</v>
      </c>
      <c r="H25" s="410"/>
    </row>
    <row r="26" spans="1:8" s="420" customFormat="1" ht="30" customHeight="1">
      <c r="A26" s="441">
        <v>17.13</v>
      </c>
      <c r="B26" s="336" t="s">
        <v>621</v>
      </c>
      <c r="C26" s="220" t="s">
        <v>100</v>
      </c>
      <c r="D26" s="964">
        <v>0</v>
      </c>
      <c r="E26" s="964">
        <v>0</v>
      </c>
      <c r="F26" s="273">
        <f>D26</f>
        <v>0</v>
      </c>
      <c r="G26" s="222">
        <f t="shared" si="0"/>
        <v>0</v>
      </c>
      <c r="H26" s="410"/>
    </row>
    <row r="27" spans="1:8" s="420" customFormat="1" ht="30" customHeight="1">
      <c r="A27" s="441">
        <v>17.14</v>
      </c>
      <c r="B27" s="336" t="s">
        <v>868</v>
      </c>
      <c r="C27" s="273" t="s">
        <v>100</v>
      </c>
      <c r="D27" s="964">
        <v>0</v>
      </c>
      <c r="E27" s="964">
        <v>0</v>
      </c>
      <c r="F27" s="273">
        <f>D27</f>
        <v>0</v>
      </c>
      <c r="G27" s="222">
        <f t="shared" si="0"/>
        <v>0</v>
      </c>
      <c r="H27" s="410"/>
    </row>
    <row r="28" spans="1:8" s="420" customFormat="1" ht="30" customHeight="1">
      <c r="A28" s="441">
        <v>17.149999999999999</v>
      </c>
      <c r="B28" s="336" t="s">
        <v>622</v>
      </c>
      <c r="C28" s="220" t="s">
        <v>100</v>
      </c>
      <c r="D28" s="964">
        <v>0</v>
      </c>
      <c r="E28" s="964">
        <v>0</v>
      </c>
      <c r="F28" s="273">
        <f>D28</f>
        <v>0</v>
      </c>
      <c r="G28" s="222">
        <f t="shared" si="0"/>
        <v>0</v>
      </c>
      <c r="H28" s="410"/>
    </row>
    <row r="29" spans="1:8" s="420" customFormat="1" ht="30" customHeight="1">
      <c r="A29" s="441">
        <v>17.16</v>
      </c>
      <c r="B29" s="336" t="s">
        <v>934</v>
      </c>
      <c r="C29" s="220" t="s">
        <v>100</v>
      </c>
      <c r="D29" s="964">
        <v>0</v>
      </c>
      <c r="E29" s="964">
        <v>0</v>
      </c>
      <c r="F29" s="273">
        <f>D29</f>
        <v>0</v>
      </c>
      <c r="G29" s="222">
        <f t="shared" si="0"/>
        <v>0</v>
      </c>
      <c r="H29" s="410"/>
    </row>
    <row r="30" spans="1:8" s="420" customFormat="1" ht="20.100000000000001" customHeight="1">
      <c r="A30" s="497"/>
      <c r="B30" s="453" t="s">
        <v>661</v>
      </c>
      <c r="C30" s="498"/>
      <c r="D30" s="498"/>
      <c r="E30" s="498"/>
      <c r="F30" s="498"/>
      <c r="G30" s="498"/>
      <c r="H30" s="499"/>
    </row>
    <row r="31" spans="1:8" s="420" customFormat="1" ht="30" customHeight="1">
      <c r="A31" s="441">
        <v>17.170000000000002</v>
      </c>
      <c r="B31" s="336" t="s">
        <v>619</v>
      </c>
      <c r="C31" s="273" t="s">
        <v>620</v>
      </c>
      <c r="D31" s="964">
        <v>0</v>
      </c>
      <c r="E31" s="964">
        <v>0</v>
      </c>
      <c r="F31" s="220"/>
      <c r="G31" s="222">
        <f>D31*E31</f>
        <v>0</v>
      </c>
      <c r="H31" s="410"/>
    </row>
    <row r="32" spans="1:8" s="420" customFormat="1" ht="30" customHeight="1">
      <c r="A32" s="441">
        <v>17.18</v>
      </c>
      <c r="B32" s="226" t="s">
        <v>866</v>
      </c>
      <c r="C32" s="220" t="s">
        <v>496</v>
      </c>
      <c r="D32" s="964">
        <v>0</v>
      </c>
      <c r="E32" s="964">
        <v>0</v>
      </c>
      <c r="F32" s="220"/>
      <c r="G32" s="222">
        <f>D32*E32</f>
        <v>0</v>
      </c>
      <c r="H32" s="410"/>
    </row>
    <row r="33" spans="1:8" s="420" customFormat="1" ht="30" customHeight="1">
      <c r="A33" s="441">
        <v>17.190000000000001</v>
      </c>
      <c r="B33" s="336" t="s">
        <v>1025</v>
      </c>
      <c r="C33" s="220" t="s">
        <v>100</v>
      </c>
      <c r="D33" s="964">
        <v>0</v>
      </c>
      <c r="E33" s="964">
        <v>0</v>
      </c>
      <c r="F33" s="273">
        <f>D33</f>
        <v>0</v>
      </c>
      <c r="G33" s="222">
        <f>D33*E33</f>
        <v>0</v>
      </c>
      <c r="H33" s="410"/>
    </row>
    <row r="34" spans="1:8" s="420" customFormat="1" ht="30" customHeight="1">
      <c r="A34" s="276">
        <v>17.2</v>
      </c>
      <c r="B34" s="336" t="s">
        <v>676</v>
      </c>
      <c r="C34" s="273" t="s">
        <v>100</v>
      </c>
      <c r="D34" s="964">
        <v>0</v>
      </c>
      <c r="E34" s="964">
        <v>0</v>
      </c>
      <c r="F34" s="273">
        <f>D34</f>
        <v>0</v>
      </c>
      <c r="G34" s="222">
        <f>D34*E34</f>
        <v>0</v>
      </c>
      <c r="H34" s="410"/>
    </row>
    <row r="35" spans="1:8" s="420" customFormat="1" ht="30" customHeight="1">
      <c r="A35" s="276">
        <v>17.21</v>
      </c>
      <c r="B35" s="336" t="s">
        <v>617</v>
      </c>
      <c r="C35" s="220" t="s">
        <v>100</v>
      </c>
      <c r="D35" s="964">
        <v>0</v>
      </c>
      <c r="E35" s="964">
        <v>0</v>
      </c>
      <c r="F35" s="273">
        <f>D35</f>
        <v>0</v>
      </c>
      <c r="G35" s="222">
        <f>D35*E35</f>
        <v>0</v>
      </c>
      <c r="H35" s="410"/>
    </row>
    <row r="36" spans="1:8" ht="20.100000000000001" customHeight="1" thickBot="1">
      <c r="A36" s="2462" t="s">
        <v>639</v>
      </c>
      <c r="B36" s="2463"/>
      <c r="C36" s="2463"/>
      <c r="D36" s="2463"/>
      <c r="E36" s="2464"/>
      <c r="F36" s="467">
        <f>SUM(F11:F12,F14:F17,F19:F22,F24:F29,F31:F35)</f>
        <v>0</v>
      </c>
      <c r="G36" s="248">
        <f>SUM(G11:G12,G14:G17,G19:G22,G24:G29,G31:G35)</f>
        <v>0</v>
      </c>
      <c r="H36" s="537"/>
    </row>
  </sheetData>
  <mergeCells count="10">
    <mergeCell ref="A36:E36"/>
    <mergeCell ref="A4:B4"/>
    <mergeCell ref="C4:F4"/>
    <mergeCell ref="G4:H4"/>
    <mergeCell ref="A5:B5"/>
    <mergeCell ref="C5:F5"/>
    <mergeCell ref="G5:H5"/>
    <mergeCell ref="A6:B6"/>
    <mergeCell ref="C6:F6"/>
    <mergeCell ref="G6:H6"/>
  </mergeCells>
  <phoneticPr fontId="0" type="noConversion"/>
  <printOptions horizontalCentered="1"/>
  <pageMargins left="0.5" right="0.5" top="1" bottom="1" header="0.5" footer="0.5"/>
  <pageSetup scale="58" fitToHeight="0" orientation="landscape" r:id="rId1"/>
  <headerFooter alignWithMargins="0">
    <oddHeader>&amp;C&amp;"Arial,Bold"&amp;12&amp;UProject Activity 17: Retaining Walls</oddHeader>
    <oddFooter>&amp;L&amp;F
&amp;A&amp;CPage &amp;P of &amp;N&amp;R&amp;D</oddFooter>
  </headerFooter>
  <rowBreaks count="1" manualBreakCount="1">
    <brk id="29"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4">
    <pageSetUpPr autoPageBreaks="0"/>
  </sheetPr>
  <dimension ref="A1:H55"/>
  <sheetViews>
    <sheetView showGridLines="0" showRuler="0" zoomScaleNormal="100" zoomScaleSheetLayoutView="85" workbookViewId="0"/>
  </sheetViews>
  <sheetFormatPr defaultColWidth="17.6640625" defaultRowHeight="13.2"/>
  <cols>
    <col min="1" max="1" width="7" style="341" customWidth="1"/>
    <col min="2" max="2" width="50.6640625" style="393" customWidth="1"/>
    <col min="3" max="7" width="12.6640625" style="341" customWidth="1"/>
    <col min="8" max="8" width="100.6640625" style="341" customWidth="1"/>
    <col min="9" max="16384" width="17.6640625" style="4"/>
  </cols>
  <sheetData>
    <row r="1" spans="1:8" s="267" customFormat="1" ht="20.100000000000001" customHeight="1">
      <c r="A1" s="333" t="s">
        <v>592</v>
      </c>
      <c r="B1" s="291"/>
      <c r="C1" s="388"/>
      <c r="D1" s="388"/>
      <c r="E1" s="388"/>
      <c r="F1" s="388"/>
      <c r="G1" s="388"/>
      <c r="H1" s="897" t="str">
        <f>'Project Information'!$B$3</f>
        <v>Enter project name &amp; description</v>
      </c>
    </row>
    <row r="2" spans="1:8" s="267" customFormat="1" ht="20.100000000000001" customHeight="1">
      <c r="A2" s="269"/>
      <c r="B2" s="291"/>
      <c r="C2" s="388"/>
      <c r="D2" s="388"/>
      <c r="E2" s="388"/>
      <c r="F2" s="388"/>
      <c r="G2" s="388"/>
      <c r="H2" s="897" t="str">
        <f>'Project Information'!$B$1</f>
        <v>999999-1-32-01</v>
      </c>
    </row>
    <row r="3" spans="1:8" s="225" customFormat="1" ht="14.4" thickBot="1">
      <c r="A3" s="311"/>
      <c r="B3" s="312"/>
      <c r="C3" s="313"/>
      <c r="D3" s="313"/>
      <c r="E3" s="313"/>
      <c r="F3" s="313"/>
      <c r="G3" s="313"/>
      <c r="H3" s="313"/>
    </row>
    <row r="4" spans="1:8" s="225" customFormat="1" ht="28.5" customHeight="1" thickBot="1">
      <c r="A4" s="2086" t="s">
        <v>1396</v>
      </c>
      <c r="B4" s="2087"/>
      <c r="C4" s="2088" t="s">
        <v>1397</v>
      </c>
      <c r="D4" s="2088"/>
      <c r="E4" s="2088"/>
      <c r="F4" s="2088"/>
      <c r="G4" s="2339" t="s">
        <v>1398</v>
      </c>
      <c r="H4" s="2469"/>
    </row>
    <row r="5" spans="1:8" s="225" customFormat="1" ht="28.5" customHeight="1">
      <c r="A5" s="2089" t="s">
        <v>1400</v>
      </c>
      <c r="B5" s="2090"/>
      <c r="C5" s="2091"/>
      <c r="D5" s="2091"/>
      <c r="E5" s="2091"/>
      <c r="F5" s="2091"/>
      <c r="G5" s="2342"/>
      <c r="H5" s="2470"/>
    </row>
    <row r="6" spans="1:8" s="225" customFormat="1" ht="28.5" customHeight="1" thickBot="1">
      <c r="A6" s="2083" t="s">
        <v>1399</v>
      </c>
      <c r="B6" s="2084"/>
      <c r="C6" s="2085"/>
      <c r="D6" s="2085"/>
      <c r="E6" s="2085"/>
      <c r="F6" s="2085"/>
      <c r="G6" s="2329"/>
      <c r="H6" s="2468"/>
    </row>
    <row r="7" spans="1:8" s="225" customFormat="1" ht="15.6">
      <c r="A7" s="898" t="s">
        <v>1430</v>
      </c>
      <c r="B7" s="270"/>
    </row>
    <row r="8" spans="1:8" s="225" customFormat="1" ht="15" customHeight="1" thickBot="1">
      <c r="A8" s="898"/>
      <c r="B8" s="270"/>
    </row>
    <row r="9" spans="1:8" ht="32.25" customHeight="1">
      <c r="A9" s="434" t="s">
        <v>79</v>
      </c>
      <c r="B9" s="266" t="s">
        <v>190</v>
      </c>
      <c r="C9" s="300" t="s">
        <v>171</v>
      </c>
      <c r="D9" s="266" t="s">
        <v>45</v>
      </c>
      <c r="E9" s="266" t="s">
        <v>706</v>
      </c>
      <c r="F9" s="266" t="s">
        <v>165</v>
      </c>
      <c r="G9" s="266" t="s">
        <v>102</v>
      </c>
      <c r="H9" s="319" t="s">
        <v>164</v>
      </c>
    </row>
    <row r="10" spans="1:8" ht="20.100000000000001" customHeight="1">
      <c r="A10" s="449"/>
      <c r="B10" s="450" t="s">
        <v>497</v>
      </c>
      <c r="C10" s="451"/>
      <c r="D10" s="451"/>
      <c r="E10" s="451"/>
      <c r="F10" s="451"/>
      <c r="G10" s="451"/>
      <c r="H10" s="452"/>
    </row>
    <row r="11" spans="1:8" s="420" customFormat="1" ht="19.5" customHeight="1">
      <c r="A11" s="436">
        <v>18.100000000000001</v>
      </c>
      <c r="B11" s="302" t="s">
        <v>677</v>
      </c>
      <c r="C11" s="220" t="s">
        <v>141</v>
      </c>
      <c r="D11" s="962">
        <v>0</v>
      </c>
      <c r="E11" s="962">
        <v>0</v>
      </c>
      <c r="F11" s="273"/>
      <c r="G11" s="542">
        <f>ROUND(D11*E11,0)</f>
        <v>0</v>
      </c>
      <c r="H11" s="410"/>
    </row>
    <row r="12" spans="1:8" s="420" customFormat="1" ht="27.6">
      <c r="A12" s="436">
        <v>18.2</v>
      </c>
      <c r="B12" s="302" t="s">
        <v>678</v>
      </c>
      <c r="C12" s="273" t="s">
        <v>662</v>
      </c>
      <c r="D12" s="962">
        <v>0</v>
      </c>
      <c r="E12" s="962">
        <v>0</v>
      </c>
      <c r="F12" s="273"/>
      <c r="G12" s="542">
        <f t="shared" ref="G12:G36" si="0">ROUND(D12*E12,0)</f>
        <v>0</v>
      </c>
      <c r="H12" s="410"/>
    </row>
    <row r="13" spans="1:8" s="420" customFormat="1" ht="30" customHeight="1">
      <c r="A13" s="436">
        <v>18.3</v>
      </c>
      <c r="B13" s="265" t="s">
        <v>1434</v>
      </c>
      <c r="C13" s="315" t="s">
        <v>100</v>
      </c>
      <c r="D13" s="962">
        <v>0</v>
      </c>
      <c r="E13" s="962">
        <v>0</v>
      </c>
      <c r="F13" s="220">
        <f>SUM(D13)</f>
        <v>0</v>
      </c>
      <c r="G13" s="220">
        <f>ROUND(D13*E13,0)</f>
        <v>0</v>
      </c>
      <c r="H13" s="899"/>
    </row>
    <row r="14" spans="1:8" s="420" customFormat="1" ht="30" customHeight="1">
      <c r="A14" s="436">
        <v>18.399999999999999</v>
      </c>
      <c r="B14" s="265" t="s">
        <v>1435</v>
      </c>
      <c r="C14" s="315" t="s">
        <v>100</v>
      </c>
      <c r="D14" s="962">
        <v>0</v>
      </c>
      <c r="E14" s="962">
        <v>0</v>
      </c>
      <c r="F14" s="220">
        <f>SUM(D14)</f>
        <v>0</v>
      </c>
      <c r="G14" s="220">
        <f>ROUND(D14*E14,0)</f>
        <v>0</v>
      </c>
      <c r="H14" s="899"/>
    </row>
    <row r="15" spans="1:8" s="420" customFormat="1" ht="20.100000000000001" customHeight="1">
      <c r="A15" s="501"/>
      <c r="B15" s="453" t="s">
        <v>498</v>
      </c>
      <c r="C15" s="502"/>
      <c r="D15" s="502"/>
      <c r="E15" s="502"/>
      <c r="F15" s="502"/>
      <c r="G15" s="502"/>
      <c r="H15" s="503"/>
    </row>
    <row r="16" spans="1:8" s="420" customFormat="1" ht="19.5" customHeight="1">
      <c r="A16" s="2483">
        <v>18.5</v>
      </c>
      <c r="B16" s="2070" t="s">
        <v>679</v>
      </c>
      <c r="C16" s="273" t="s">
        <v>442</v>
      </c>
      <c r="D16" s="962">
        <v>0</v>
      </c>
      <c r="E16" s="962">
        <v>0</v>
      </c>
      <c r="F16" s="917"/>
      <c r="G16" s="542">
        <f t="shared" si="0"/>
        <v>0</v>
      </c>
      <c r="H16" s="410"/>
    </row>
    <row r="17" spans="1:8" s="420" customFormat="1" ht="27.6">
      <c r="A17" s="2483"/>
      <c r="B17" s="2074"/>
      <c r="C17" s="273" t="s">
        <v>443</v>
      </c>
      <c r="D17" s="962">
        <v>0</v>
      </c>
      <c r="E17" s="962">
        <v>0</v>
      </c>
      <c r="F17" s="917"/>
      <c r="G17" s="542">
        <f t="shared" si="0"/>
        <v>0</v>
      </c>
      <c r="H17" s="410"/>
    </row>
    <row r="18" spans="1:8" s="420" customFormat="1" ht="19.5" customHeight="1">
      <c r="A18" s="2483">
        <v>18.600000000000001</v>
      </c>
      <c r="B18" s="2070" t="s">
        <v>680</v>
      </c>
      <c r="C18" s="273" t="s">
        <v>442</v>
      </c>
      <c r="D18" s="962">
        <v>0</v>
      </c>
      <c r="E18" s="962">
        <v>0</v>
      </c>
      <c r="F18" s="917"/>
      <c r="G18" s="542">
        <f t="shared" si="0"/>
        <v>0</v>
      </c>
      <c r="H18" s="410"/>
    </row>
    <row r="19" spans="1:8" s="420" customFormat="1" ht="27.6">
      <c r="A19" s="2483"/>
      <c r="B19" s="2074"/>
      <c r="C19" s="273" t="s">
        <v>443</v>
      </c>
      <c r="D19" s="962">
        <v>0</v>
      </c>
      <c r="E19" s="962">
        <v>0</v>
      </c>
      <c r="F19" s="917"/>
      <c r="G19" s="542">
        <f t="shared" si="0"/>
        <v>0</v>
      </c>
      <c r="H19" s="410"/>
    </row>
    <row r="20" spans="1:8" s="420" customFormat="1" ht="30" customHeight="1">
      <c r="A20" s="424">
        <v>18.7</v>
      </c>
      <c r="B20" s="265" t="s">
        <v>1436</v>
      </c>
      <c r="C20" s="315" t="s">
        <v>100</v>
      </c>
      <c r="D20" s="962">
        <v>0</v>
      </c>
      <c r="E20" s="962">
        <v>0</v>
      </c>
      <c r="F20" s="220">
        <f>SUM(D20)</f>
        <v>0</v>
      </c>
      <c r="G20" s="220">
        <f>ROUND(D20*E20,0)</f>
        <v>0</v>
      </c>
      <c r="H20" s="899"/>
    </row>
    <row r="21" spans="1:8" s="420" customFormat="1" ht="30" customHeight="1">
      <c r="A21" s="424">
        <v>18.8</v>
      </c>
      <c r="B21" s="265" t="s">
        <v>1437</v>
      </c>
      <c r="C21" s="315" t="s">
        <v>100</v>
      </c>
      <c r="D21" s="962">
        <v>0</v>
      </c>
      <c r="E21" s="962">
        <v>0</v>
      </c>
      <c r="F21" s="220">
        <f>SUM(D21)</f>
        <v>0</v>
      </c>
      <c r="G21" s="220">
        <f>ROUND(D21*E21,0)</f>
        <v>0</v>
      </c>
      <c r="H21" s="899"/>
    </row>
    <row r="22" spans="1:8" s="420" customFormat="1" ht="20.100000000000001" customHeight="1">
      <c r="A22" s="501"/>
      <c r="B22" s="453" t="s">
        <v>681</v>
      </c>
      <c r="C22" s="502"/>
      <c r="D22" s="502"/>
      <c r="E22" s="502"/>
      <c r="F22" s="502"/>
      <c r="G22" s="502"/>
      <c r="H22" s="503"/>
    </row>
    <row r="23" spans="1:8" s="420" customFormat="1" ht="30" customHeight="1">
      <c r="A23" s="424">
        <v>18.899999999999999</v>
      </c>
      <c r="B23" s="265" t="s">
        <v>681</v>
      </c>
      <c r="C23" s="315" t="s">
        <v>620</v>
      </c>
      <c r="D23" s="962">
        <v>0</v>
      </c>
      <c r="E23" s="962">
        <v>0</v>
      </c>
      <c r="F23" s="221"/>
      <c r="G23" s="542">
        <f t="shared" si="0"/>
        <v>0</v>
      </c>
      <c r="H23" s="410"/>
    </row>
    <row r="24" spans="1:8" s="420" customFormat="1" ht="30" customHeight="1">
      <c r="A24" s="366">
        <v>18.100000000000001</v>
      </c>
      <c r="B24" s="265" t="s">
        <v>1438</v>
      </c>
      <c r="C24" s="315" t="s">
        <v>100</v>
      </c>
      <c r="D24" s="962">
        <v>0</v>
      </c>
      <c r="E24" s="962">
        <v>0</v>
      </c>
      <c r="F24" s="220">
        <f>SUM(D24)</f>
        <v>0</v>
      </c>
      <c r="G24" s="220">
        <f t="shared" si="0"/>
        <v>0</v>
      </c>
      <c r="H24" s="899"/>
    </row>
    <row r="25" spans="1:8" s="420" customFormat="1" ht="30" customHeight="1">
      <c r="A25" s="424">
        <v>18.11</v>
      </c>
      <c r="B25" s="265" t="s">
        <v>1439</v>
      </c>
      <c r="C25" s="315" t="s">
        <v>100</v>
      </c>
      <c r="D25" s="962">
        <v>0</v>
      </c>
      <c r="E25" s="962">
        <v>0</v>
      </c>
      <c r="F25" s="220">
        <f>SUM(D25)</f>
        <v>0</v>
      </c>
      <c r="G25" s="220">
        <f t="shared" si="0"/>
        <v>0</v>
      </c>
      <c r="H25" s="899"/>
    </row>
    <row r="26" spans="1:8" s="420" customFormat="1" ht="20.100000000000001" customHeight="1">
      <c r="A26" s="501"/>
      <c r="B26" s="453" t="s">
        <v>1027</v>
      </c>
      <c r="C26" s="502"/>
      <c r="D26" s="502"/>
      <c r="E26" s="502"/>
      <c r="F26" s="502"/>
      <c r="G26" s="502"/>
      <c r="H26" s="503"/>
    </row>
    <row r="27" spans="1:8" s="420" customFormat="1" ht="19.5" customHeight="1">
      <c r="A27" s="424">
        <v>18.12</v>
      </c>
      <c r="B27" s="265" t="s">
        <v>682</v>
      </c>
      <c r="C27" s="315" t="s">
        <v>620</v>
      </c>
      <c r="D27" s="962">
        <v>0</v>
      </c>
      <c r="E27" s="962">
        <v>0</v>
      </c>
      <c r="F27" s="273"/>
      <c r="G27" s="542">
        <f t="shared" si="0"/>
        <v>0</v>
      </c>
      <c r="H27" s="410"/>
    </row>
    <row r="28" spans="1:8" s="420" customFormat="1" ht="19.5" customHeight="1">
      <c r="A28" s="424">
        <v>18.13</v>
      </c>
      <c r="B28" s="265" t="s">
        <v>683</v>
      </c>
      <c r="C28" s="315" t="s">
        <v>620</v>
      </c>
      <c r="D28" s="962">
        <v>0</v>
      </c>
      <c r="E28" s="962">
        <v>0</v>
      </c>
      <c r="F28" s="273"/>
      <c r="G28" s="542">
        <f t="shared" si="0"/>
        <v>0</v>
      </c>
      <c r="H28" s="410"/>
    </row>
    <row r="29" spans="1:8" s="420" customFormat="1" ht="13.8">
      <c r="A29" s="424">
        <v>18.14</v>
      </c>
      <c r="B29" s="265" t="s">
        <v>1440</v>
      </c>
      <c r="C29" s="315" t="s">
        <v>620</v>
      </c>
      <c r="D29" s="962">
        <v>0</v>
      </c>
      <c r="E29" s="962">
        <v>0</v>
      </c>
      <c r="F29" s="273"/>
      <c r="G29" s="542">
        <f t="shared" si="0"/>
        <v>0</v>
      </c>
      <c r="H29" s="410"/>
    </row>
    <row r="30" spans="1:8" s="420" customFormat="1" ht="19.5" customHeight="1">
      <c r="A30" s="424">
        <v>18.149999999999999</v>
      </c>
      <c r="B30" s="265" t="s">
        <v>684</v>
      </c>
      <c r="C30" s="315" t="s">
        <v>620</v>
      </c>
      <c r="D30" s="962">
        <v>0</v>
      </c>
      <c r="E30" s="962">
        <v>0</v>
      </c>
      <c r="F30" s="273"/>
      <c r="G30" s="542">
        <f t="shared" si="0"/>
        <v>0</v>
      </c>
      <c r="H30" s="410"/>
    </row>
    <row r="31" spans="1:8" s="420" customFormat="1" ht="19.5" customHeight="1">
      <c r="A31" s="918">
        <v>18.16</v>
      </c>
      <c r="B31" s="265" t="s">
        <v>685</v>
      </c>
      <c r="C31" s="315" t="s">
        <v>620</v>
      </c>
      <c r="D31" s="962">
        <v>0</v>
      </c>
      <c r="E31" s="962">
        <v>0</v>
      </c>
      <c r="F31" s="273"/>
      <c r="G31" s="542">
        <f t="shared" si="0"/>
        <v>0</v>
      </c>
      <c r="H31" s="410"/>
    </row>
    <row r="32" spans="1:8" s="420" customFormat="1" ht="30" customHeight="1">
      <c r="A32" s="424">
        <v>18.170000000000002</v>
      </c>
      <c r="B32" s="265" t="s">
        <v>1441</v>
      </c>
      <c r="C32" s="315" t="s">
        <v>100</v>
      </c>
      <c r="D32" s="962">
        <v>0</v>
      </c>
      <c r="E32" s="962">
        <v>0</v>
      </c>
      <c r="F32" s="220">
        <f>SUM(D32)</f>
        <v>0</v>
      </c>
      <c r="G32" s="220">
        <f>ROUND(D32*E32,0)</f>
        <v>0</v>
      </c>
      <c r="H32" s="899"/>
    </row>
    <row r="33" spans="1:8" s="420" customFormat="1" ht="30" customHeight="1">
      <c r="A33" s="424">
        <v>18.18</v>
      </c>
      <c r="B33" s="265" t="s">
        <v>1442</v>
      </c>
      <c r="C33" s="315" t="s">
        <v>100</v>
      </c>
      <c r="D33" s="962">
        <v>0</v>
      </c>
      <c r="E33" s="962">
        <v>0</v>
      </c>
      <c r="F33" s="220">
        <f>SUM(D33)</f>
        <v>0</v>
      </c>
      <c r="G33" s="220">
        <f>ROUND(D33*E33,0)</f>
        <v>0</v>
      </c>
      <c r="H33" s="899"/>
    </row>
    <row r="34" spans="1:8" s="420" customFormat="1" ht="20.100000000000001" customHeight="1">
      <c r="A34" s="545"/>
      <c r="B34" s="546" t="s">
        <v>613</v>
      </c>
      <c r="C34" s="547"/>
      <c r="D34" s="547"/>
      <c r="E34" s="547"/>
      <c r="F34" s="547"/>
      <c r="G34" s="547"/>
      <c r="H34" s="548"/>
    </row>
    <row r="35" spans="1:8" s="420" customFormat="1" ht="19.5" customHeight="1">
      <c r="A35" s="424">
        <v>18.190000000000001</v>
      </c>
      <c r="B35" s="265" t="s">
        <v>1179</v>
      </c>
      <c r="C35" s="315" t="s">
        <v>620</v>
      </c>
      <c r="D35" s="962">
        <v>0</v>
      </c>
      <c r="E35" s="962">
        <v>0</v>
      </c>
      <c r="F35" s="273"/>
      <c r="G35" s="542">
        <f t="shared" si="0"/>
        <v>0</v>
      </c>
      <c r="H35" s="410"/>
    </row>
    <row r="36" spans="1:8" s="420" customFormat="1" ht="30" customHeight="1">
      <c r="A36" s="366">
        <v>18.2</v>
      </c>
      <c r="B36" s="265" t="s">
        <v>1443</v>
      </c>
      <c r="C36" s="315" t="s">
        <v>100</v>
      </c>
      <c r="D36" s="962">
        <v>0</v>
      </c>
      <c r="E36" s="962">
        <v>0</v>
      </c>
      <c r="F36" s="220">
        <f>SUM(D36)</f>
        <v>0</v>
      </c>
      <c r="G36" s="220">
        <f t="shared" si="0"/>
        <v>0</v>
      </c>
      <c r="H36" s="899"/>
    </row>
    <row r="37" spans="1:8" s="420" customFormat="1" ht="20.100000000000001" customHeight="1">
      <c r="A37" s="501"/>
      <c r="B37" s="453" t="s">
        <v>1119</v>
      </c>
      <c r="C37" s="502"/>
      <c r="D37" s="502"/>
      <c r="E37" s="502"/>
      <c r="F37" s="502"/>
      <c r="G37" s="502"/>
      <c r="H37" s="503"/>
    </row>
    <row r="38" spans="1:8" s="420" customFormat="1" ht="19.5" customHeight="1">
      <c r="A38" s="919">
        <v>18.21</v>
      </c>
      <c r="B38" s="302" t="s">
        <v>863</v>
      </c>
      <c r="C38" s="220" t="s">
        <v>496</v>
      </c>
      <c r="D38" s="962">
        <v>0</v>
      </c>
      <c r="E38" s="962">
        <v>0</v>
      </c>
      <c r="F38" s="273"/>
      <c r="G38" s="542">
        <f t="shared" ref="G38:G49" si="1">ROUND(D38*E38,0)</f>
        <v>0</v>
      </c>
      <c r="H38" s="410"/>
    </row>
    <row r="39" spans="1:8" s="420" customFormat="1" ht="19.5" customHeight="1">
      <c r="A39" s="920">
        <v>18.22</v>
      </c>
      <c r="B39" s="302" t="s">
        <v>866</v>
      </c>
      <c r="C39" s="273" t="s">
        <v>496</v>
      </c>
      <c r="D39" s="962">
        <v>0</v>
      </c>
      <c r="E39" s="962">
        <v>0</v>
      </c>
      <c r="F39" s="273"/>
      <c r="G39" s="542">
        <f t="shared" si="1"/>
        <v>0</v>
      </c>
      <c r="H39" s="410"/>
    </row>
    <row r="40" spans="1:8" s="420" customFormat="1" ht="30" customHeight="1">
      <c r="A40" s="919">
        <v>18.23</v>
      </c>
      <c r="B40" s="464" t="s">
        <v>599</v>
      </c>
      <c r="C40" s="220" t="s">
        <v>100</v>
      </c>
      <c r="D40" s="962">
        <v>0</v>
      </c>
      <c r="E40" s="962">
        <v>0</v>
      </c>
      <c r="F40" s="220">
        <f>SUM(D40)</f>
        <v>0</v>
      </c>
      <c r="G40" s="542">
        <f>ROUND(D40*E40,0)</f>
        <v>0</v>
      </c>
      <c r="H40" s="410"/>
    </row>
    <row r="41" spans="1:8" s="420" customFormat="1" ht="30" customHeight="1">
      <c r="A41" s="920">
        <v>18.239999999999998</v>
      </c>
      <c r="B41" s="302" t="s">
        <v>686</v>
      </c>
      <c r="C41" s="273" t="s">
        <v>100</v>
      </c>
      <c r="D41" s="962">
        <v>0</v>
      </c>
      <c r="E41" s="962">
        <v>0</v>
      </c>
      <c r="F41" s="220">
        <f>SUM(D41)</f>
        <v>0</v>
      </c>
      <c r="G41" s="542">
        <f t="shared" si="1"/>
        <v>0</v>
      </c>
      <c r="H41" s="410"/>
    </row>
    <row r="42" spans="1:8" s="420" customFormat="1" ht="13.8">
      <c r="A42" s="919">
        <v>18.25</v>
      </c>
      <c r="B42" s="464" t="s">
        <v>1180</v>
      </c>
      <c r="C42" s="273" t="s">
        <v>620</v>
      </c>
      <c r="D42" s="962">
        <v>0</v>
      </c>
      <c r="E42" s="962">
        <v>0</v>
      </c>
      <c r="F42" s="273"/>
      <c r="G42" s="542">
        <f t="shared" si="1"/>
        <v>0</v>
      </c>
      <c r="H42" s="410"/>
    </row>
    <row r="43" spans="1:8" s="420" customFormat="1" ht="27.6">
      <c r="A43" s="920">
        <v>18.260000000000002</v>
      </c>
      <c r="B43" s="464" t="s">
        <v>1181</v>
      </c>
      <c r="C43" s="273" t="s">
        <v>620</v>
      </c>
      <c r="D43" s="962">
        <v>0</v>
      </c>
      <c r="E43" s="962">
        <v>0</v>
      </c>
      <c r="F43" s="273"/>
      <c r="G43" s="542">
        <f t="shared" si="1"/>
        <v>0</v>
      </c>
      <c r="H43" s="410"/>
    </row>
    <row r="44" spans="1:8" s="420" customFormat="1" ht="30" customHeight="1">
      <c r="A44" s="919">
        <v>18.27</v>
      </c>
      <c r="B44" s="464" t="s">
        <v>687</v>
      </c>
      <c r="C44" s="220" t="s">
        <v>85</v>
      </c>
      <c r="D44" s="962">
        <v>1</v>
      </c>
      <c r="E44" s="962">
        <v>0</v>
      </c>
      <c r="F44" s="220"/>
      <c r="G44" s="542">
        <f t="shared" si="1"/>
        <v>0</v>
      </c>
      <c r="H44" s="410"/>
    </row>
    <row r="45" spans="1:8" s="420" customFormat="1" ht="20.100000000000001" customHeight="1">
      <c r="A45" s="501"/>
      <c r="B45" s="453" t="s">
        <v>688</v>
      </c>
      <c r="C45" s="502"/>
      <c r="D45" s="502"/>
      <c r="E45" s="502"/>
      <c r="F45" s="502"/>
      <c r="G45" s="502"/>
      <c r="H45" s="503"/>
    </row>
    <row r="46" spans="1:8" s="420" customFormat="1" ht="30" customHeight="1">
      <c r="A46" s="366">
        <v>18.28</v>
      </c>
      <c r="B46" s="302" t="s">
        <v>600</v>
      </c>
      <c r="C46" s="220" t="s">
        <v>85</v>
      </c>
      <c r="D46" s="220">
        <v>1</v>
      </c>
      <c r="E46" s="962">
        <v>0</v>
      </c>
      <c r="F46" s="220"/>
      <c r="G46" s="542">
        <f t="shared" si="1"/>
        <v>0</v>
      </c>
      <c r="H46" s="410"/>
    </row>
    <row r="47" spans="1:8" s="420" customFormat="1" ht="30" customHeight="1">
      <c r="A47" s="366">
        <v>18.29</v>
      </c>
      <c r="B47" s="302" t="s">
        <v>601</v>
      </c>
      <c r="C47" s="220" t="s">
        <v>85</v>
      </c>
      <c r="D47" s="220">
        <v>1</v>
      </c>
      <c r="E47" s="962">
        <v>0</v>
      </c>
      <c r="F47" s="220"/>
      <c r="G47" s="542">
        <f t="shared" si="1"/>
        <v>0</v>
      </c>
      <c r="H47" s="411"/>
    </row>
    <row r="48" spans="1:8" s="420" customFormat="1" ht="30" customHeight="1">
      <c r="A48" s="366">
        <v>18.3</v>
      </c>
      <c r="B48" s="302" t="s">
        <v>688</v>
      </c>
      <c r="C48" s="220" t="s">
        <v>85</v>
      </c>
      <c r="D48" s="220">
        <v>1</v>
      </c>
      <c r="E48" s="962">
        <v>0</v>
      </c>
      <c r="F48" s="220"/>
      <c r="G48" s="542">
        <f t="shared" si="1"/>
        <v>0</v>
      </c>
      <c r="H48" s="411"/>
    </row>
    <row r="49" spans="1:8" s="420" customFormat="1" ht="30" customHeight="1">
      <c r="A49" s="366">
        <v>18.309999999999999</v>
      </c>
      <c r="B49" s="302" t="s">
        <v>579</v>
      </c>
      <c r="C49" s="220" t="s">
        <v>85</v>
      </c>
      <c r="D49" s="220">
        <v>1</v>
      </c>
      <c r="E49" s="962">
        <v>0</v>
      </c>
      <c r="F49" s="220"/>
      <c r="G49" s="542">
        <f t="shared" si="1"/>
        <v>0</v>
      </c>
      <c r="H49" s="411"/>
    </row>
    <row r="50" spans="1:8" ht="20.100000000000001" customHeight="1">
      <c r="A50" s="501"/>
      <c r="B50" s="453" t="s">
        <v>1632</v>
      </c>
      <c r="C50" s="502"/>
      <c r="D50" s="502"/>
      <c r="E50" s="502"/>
      <c r="F50" s="502"/>
      <c r="G50" s="502"/>
      <c r="H50" s="503"/>
    </row>
    <row r="51" spans="1:8" ht="34.950000000000003" customHeight="1">
      <c r="A51" s="366">
        <v>18.32</v>
      </c>
      <c r="B51" s="302" t="s">
        <v>1633</v>
      </c>
      <c r="C51" s="138" t="s">
        <v>1636</v>
      </c>
      <c r="D51" s="962">
        <v>0</v>
      </c>
      <c r="E51" s="962">
        <v>0</v>
      </c>
      <c r="F51" s="220">
        <f>SUM(D51)</f>
        <v>0</v>
      </c>
      <c r="G51" s="542">
        <f>ROUND(D51*E51,0)</f>
        <v>0</v>
      </c>
      <c r="H51" s="410"/>
    </row>
    <row r="52" spans="1:8" ht="51" customHeight="1">
      <c r="A52" s="366">
        <v>18.329999999999998</v>
      </c>
      <c r="B52" s="302" t="s">
        <v>1634</v>
      </c>
      <c r="C52" s="138" t="s">
        <v>1636</v>
      </c>
      <c r="D52" s="962">
        <v>0</v>
      </c>
      <c r="E52" s="962">
        <v>0</v>
      </c>
      <c r="F52" s="220">
        <f>SUM(D52)</f>
        <v>0</v>
      </c>
      <c r="G52" s="542">
        <f>ROUND(D52*E52,0)</f>
        <v>0</v>
      </c>
      <c r="H52" s="410"/>
    </row>
    <row r="53" spans="1:8" ht="38.4" customHeight="1">
      <c r="A53" s="366">
        <v>18.34</v>
      </c>
      <c r="B53" s="302" t="s">
        <v>1635</v>
      </c>
      <c r="C53" s="138" t="s">
        <v>1636</v>
      </c>
      <c r="D53" s="962">
        <v>0</v>
      </c>
      <c r="E53" s="962">
        <v>0</v>
      </c>
      <c r="F53" s="220">
        <f>SUM(D53)</f>
        <v>0</v>
      </c>
      <c r="G53" s="542">
        <f>ROUND(D53*E53,0)</f>
        <v>0</v>
      </c>
      <c r="H53" s="410"/>
    </row>
    <row r="54" spans="1:8" ht="25.95" customHeight="1">
      <c r="A54" s="366">
        <v>18.350000000000001</v>
      </c>
      <c r="B54" s="302" t="s">
        <v>1632</v>
      </c>
      <c r="C54" s="220" t="s">
        <v>85</v>
      </c>
      <c r="D54" s="220">
        <v>1</v>
      </c>
      <c r="E54" s="962">
        <v>0</v>
      </c>
      <c r="F54" s="220"/>
      <c r="G54" s="542">
        <f>ROUND(D54*E54,0)</f>
        <v>0</v>
      </c>
      <c r="H54" s="410"/>
    </row>
    <row r="55" spans="1:8" ht="16.2" thickBot="1">
      <c r="A55" s="2462" t="s">
        <v>1026</v>
      </c>
      <c r="B55" s="2463"/>
      <c r="C55" s="2463"/>
      <c r="D55" s="2463"/>
      <c r="E55" s="2464"/>
      <c r="F55" s="549">
        <f>SUM(F11:F54)</f>
        <v>0</v>
      </c>
      <c r="G55" s="549">
        <f>SUM(G11:G54)</f>
        <v>0</v>
      </c>
      <c r="H55" s="460"/>
    </row>
  </sheetData>
  <mergeCells count="14">
    <mergeCell ref="A55:E55"/>
    <mergeCell ref="A16:A17"/>
    <mergeCell ref="B16:B17"/>
    <mergeCell ref="A18:A19"/>
    <mergeCell ref="B18:B19"/>
    <mergeCell ref="A6:B6"/>
    <mergeCell ref="C6:F6"/>
    <mergeCell ref="G6:H6"/>
    <mergeCell ref="A4:B4"/>
    <mergeCell ref="C4:F4"/>
    <mergeCell ref="G4:H4"/>
    <mergeCell ref="A5:B5"/>
    <mergeCell ref="C5:F5"/>
    <mergeCell ref="G5:H5"/>
  </mergeCells>
  <phoneticPr fontId="0" type="noConversion"/>
  <printOptions horizontalCentered="1"/>
  <pageMargins left="0.5" right="0.5" top="0.76" bottom="0.89" header="0.5" footer="0.5"/>
  <pageSetup scale="46" fitToHeight="0" orientation="landscape" r:id="rId1"/>
  <headerFooter alignWithMargins="0">
    <oddHeader>&amp;C&amp;"Arial,Bold"&amp;12&amp;UProject Activity 18: Miscellaneous Structures</oddHeader>
    <oddFooter>&amp;L&amp;F
&amp;A&amp;CPage &amp;P of &amp;N&amp;R&amp;D</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5"/>
  <dimension ref="A1:M44"/>
  <sheetViews>
    <sheetView showGridLines="0" workbookViewId="0"/>
  </sheetViews>
  <sheetFormatPr defaultColWidth="9.109375" defaultRowHeight="13.2"/>
  <cols>
    <col min="1" max="1" width="118.33203125" style="237" customWidth="1"/>
    <col min="2" max="16384" width="9.109375" style="230"/>
  </cols>
  <sheetData>
    <row r="1" spans="1:13">
      <c r="A1" s="1045" t="s">
        <v>1294</v>
      </c>
    </row>
    <row r="2" spans="1:13">
      <c r="A2" s="19"/>
      <c r="M2" s="230" t="s">
        <v>400</v>
      </c>
    </row>
    <row r="3" spans="1:13" ht="66">
      <c r="A3" s="19" t="s">
        <v>1295</v>
      </c>
    </row>
    <row r="4" spans="1:13">
      <c r="A4" s="19"/>
    </row>
    <row r="5" spans="1:13" ht="39.6">
      <c r="A5" s="19" t="s">
        <v>1296</v>
      </c>
    </row>
    <row r="6" spans="1:13">
      <c r="A6" s="19"/>
    </row>
    <row r="7" spans="1:13">
      <c r="A7" s="1046" t="s">
        <v>1297</v>
      </c>
    </row>
    <row r="8" spans="1:13">
      <c r="A8" s="19"/>
    </row>
    <row r="9" spans="1:13">
      <c r="A9" s="1044" t="s">
        <v>1707</v>
      </c>
    </row>
    <row r="10" spans="1:13">
      <c r="A10" s="1044" t="s">
        <v>1708</v>
      </c>
    </row>
    <row r="11" spans="1:13">
      <c r="A11" s="1044" t="s">
        <v>1709</v>
      </c>
    </row>
    <row r="12" spans="1:13">
      <c r="A12" s="19"/>
    </row>
    <row r="13" spans="1:13">
      <c r="A13" s="1046" t="s">
        <v>1298</v>
      </c>
    </row>
    <row r="14" spans="1:13">
      <c r="A14" s="19"/>
    </row>
    <row r="15" spans="1:13">
      <c r="A15" s="1044" t="s">
        <v>1710</v>
      </c>
    </row>
    <row r="16" spans="1:13">
      <c r="A16" s="1044" t="s">
        <v>1711</v>
      </c>
    </row>
    <row r="17" spans="1:1">
      <c r="A17" s="1047" t="s">
        <v>1712</v>
      </c>
    </row>
    <row r="18" spans="1:1">
      <c r="A18" s="19"/>
    </row>
    <row r="19" spans="1:1">
      <c r="A19" s="1046" t="s">
        <v>1299</v>
      </c>
    </row>
    <row r="20" spans="1:1">
      <c r="A20" s="19"/>
    </row>
    <row r="21" spans="1:1">
      <c r="A21" s="1044" t="s">
        <v>1714</v>
      </c>
    </row>
    <row r="22" spans="1:1">
      <c r="A22" s="1044" t="s">
        <v>1713</v>
      </c>
    </row>
    <row r="23" spans="1:1">
      <c r="A23" s="19"/>
    </row>
    <row r="24" spans="1:1">
      <c r="A24" s="19"/>
    </row>
    <row r="25" spans="1:1">
      <c r="A25" s="19"/>
    </row>
    <row r="26" spans="1:1">
      <c r="A26" s="19"/>
    </row>
    <row r="27" spans="1:1">
      <c r="A27" s="19"/>
    </row>
    <row r="28" spans="1:1">
      <c r="A28" s="19"/>
    </row>
    <row r="29" spans="1:1">
      <c r="A29" s="19"/>
    </row>
    <row r="30" spans="1:1">
      <c r="A30" s="19"/>
    </row>
    <row r="31" spans="1:1">
      <c r="A31" s="19"/>
    </row>
    <row r="32" spans="1:1">
      <c r="A32" s="19"/>
    </row>
    <row r="33" spans="1:1">
      <c r="A33" s="19"/>
    </row>
    <row r="34" spans="1:1">
      <c r="A34" s="19"/>
    </row>
    <row r="35" spans="1:1">
      <c r="A35" s="19"/>
    </row>
    <row r="36" spans="1:1">
      <c r="A36" s="19"/>
    </row>
    <row r="37" spans="1:1">
      <c r="A37" s="19"/>
    </row>
    <row r="38" spans="1:1">
      <c r="A38" s="19"/>
    </row>
    <row r="39" spans="1:1">
      <c r="A39" s="19"/>
    </row>
    <row r="40" spans="1:1">
      <c r="A40" s="19"/>
    </row>
    <row r="41" spans="1:1">
      <c r="A41" s="19"/>
    </row>
    <row r="42" spans="1:1">
      <c r="A42" s="19"/>
    </row>
    <row r="43" spans="1:1">
      <c r="A43" s="19"/>
    </row>
    <row r="44" spans="1:1">
      <c r="A44" s="19"/>
    </row>
  </sheetData>
  <pageMargins left="0.75" right="0.75" top="1" bottom="1" header="0.5" footer="0.5"/>
  <pageSetup orientation="landscape" horizontalDpi="400" verticalDpi="400" r:id="rId1"/>
  <headerFooter alignWithMargins="0">
    <oddFooter>&amp;CPage &amp;P of &amp;N</oddFooter>
  </headerFooter>
  <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6A43D-A416-4AF5-B6F8-DC8A79BF70DC}">
  <sheetPr codeName="Sheet36">
    <pageSetUpPr autoPageBreaks="0" fitToPage="1"/>
  </sheetPr>
  <dimension ref="A1:T41"/>
  <sheetViews>
    <sheetView showGridLines="0" showRuler="0" zoomScale="85" zoomScaleNormal="85" zoomScaleSheetLayoutView="130" workbookViewId="0"/>
  </sheetViews>
  <sheetFormatPr defaultColWidth="9.109375" defaultRowHeight="13.2"/>
  <cols>
    <col min="1" max="1" width="6.33203125" style="5" customWidth="1"/>
    <col min="2" max="2" width="50.6640625" style="5" customWidth="1"/>
    <col min="3" max="6" width="12.6640625" style="5" customWidth="1"/>
    <col min="7" max="7" width="31.33203125" style="5" customWidth="1"/>
    <col min="8" max="8" width="53.88671875" style="5" customWidth="1"/>
    <col min="9" max="9" width="22.5546875" style="5" customWidth="1"/>
    <col min="10" max="10" width="9.109375" style="5"/>
    <col min="11" max="11" width="10.77734375" style="5" hidden="1" customWidth="1"/>
    <col min="12" max="12" width="12.21875" style="5" hidden="1" customWidth="1"/>
    <col min="13" max="13" width="9.109375" style="5" hidden="1" customWidth="1"/>
    <col min="14" max="14" width="11.21875" style="5" hidden="1" customWidth="1"/>
    <col min="15" max="15" width="10.33203125" style="5" hidden="1" customWidth="1"/>
    <col min="16" max="16" width="11.33203125" style="5" hidden="1" customWidth="1"/>
    <col min="17" max="17" width="9.109375" style="5" hidden="1" customWidth="1"/>
    <col min="18" max="18" width="16.88671875" style="5" customWidth="1"/>
    <col min="19" max="16384" width="9.109375" style="5"/>
  </cols>
  <sheetData>
    <row r="1" spans="1:20" s="552" customFormat="1" ht="20.100000000000001" customHeight="1">
      <c r="A1" s="362" t="s">
        <v>592</v>
      </c>
      <c r="B1" s="422"/>
      <c r="C1" s="422"/>
      <c r="D1" s="422"/>
      <c r="E1" s="422"/>
      <c r="F1" s="422"/>
      <c r="G1" s="422"/>
      <c r="I1" s="897" t="str">
        <f>'Project Information'!B3</f>
        <v>Enter project name &amp; description</v>
      </c>
    </row>
    <row r="2" spans="1:20" s="552" customFormat="1" ht="20.100000000000001" customHeight="1">
      <c r="A2" s="423"/>
      <c r="B2" s="422"/>
      <c r="C2" s="422"/>
      <c r="D2" s="422"/>
      <c r="E2" s="422"/>
      <c r="F2" s="422"/>
      <c r="G2" s="422"/>
      <c r="I2" s="897" t="str">
        <f>'Project Information'!B1</f>
        <v>999999-1-32-01</v>
      </c>
    </row>
    <row r="3" spans="1:20" s="225" customFormat="1" ht="14.4" thickBot="1">
      <c r="A3" s="311"/>
      <c r="B3" s="312"/>
      <c r="C3" s="313"/>
      <c r="D3" s="313"/>
      <c r="E3" s="313"/>
      <c r="F3" s="313"/>
      <c r="G3" s="313"/>
      <c r="H3" s="313"/>
      <c r="I3" s="313"/>
    </row>
    <row r="4" spans="1:20" s="225" customFormat="1" ht="28.5" customHeight="1" thickBot="1">
      <c r="A4" s="2086" t="s">
        <v>1396</v>
      </c>
      <c r="B4" s="2087"/>
      <c r="C4" s="2088" t="s">
        <v>1397</v>
      </c>
      <c r="D4" s="2088"/>
      <c r="E4" s="2088"/>
      <c r="F4" s="2088"/>
      <c r="G4" s="2414" t="s">
        <v>1398</v>
      </c>
      <c r="H4" s="2415"/>
      <c r="I4" s="2486"/>
    </row>
    <row r="5" spans="1:20" s="225" customFormat="1" ht="28.5" customHeight="1">
      <c r="A5" s="2089" t="s">
        <v>1400</v>
      </c>
      <c r="B5" s="2090"/>
      <c r="C5" s="2091"/>
      <c r="D5" s="2091"/>
      <c r="E5" s="2091"/>
      <c r="F5" s="2091"/>
      <c r="G5" s="2342"/>
      <c r="H5" s="2343"/>
      <c r="I5" s="2344"/>
    </row>
    <row r="6" spans="1:20" s="225" customFormat="1" ht="28.5" customHeight="1" thickBot="1">
      <c r="A6" s="2083" t="s">
        <v>1399</v>
      </c>
      <c r="B6" s="2084"/>
      <c r="C6" s="2085"/>
      <c r="D6" s="2085"/>
      <c r="E6" s="2085"/>
      <c r="F6" s="2085"/>
      <c r="G6" s="2329"/>
      <c r="H6" s="2330"/>
      <c r="I6" s="2331"/>
    </row>
    <row r="7" spans="1:20" s="225" customFormat="1" ht="15.6">
      <c r="A7" s="898" t="s">
        <v>1430</v>
      </c>
      <c r="B7" s="270"/>
    </row>
    <row r="8" spans="1:20" s="225" customFormat="1" ht="15" customHeight="1" thickBot="1">
      <c r="A8" s="898"/>
      <c r="B8" s="270"/>
    </row>
    <row r="9" spans="1:20" ht="31.95" customHeight="1">
      <c r="A9" s="434" t="s">
        <v>79</v>
      </c>
      <c r="B9" s="266" t="s">
        <v>190</v>
      </c>
      <c r="C9" s="300" t="s">
        <v>87</v>
      </c>
      <c r="D9" s="266" t="s">
        <v>45</v>
      </c>
      <c r="E9" s="266" t="s">
        <v>46</v>
      </c>
      <c r="F9" s="266" t="s">
        <v>102</v>
      </c>
      <c r="G9" s="2337" t="s">
        <v>164</v>
      </c>
      <c r="H9" s="2487"/>
      <c r="I9" s="2488"/>
      <c r="P9" s="1262"/>
      <c r="Q9" s="1264"/>
      <c r="R9" s="1561"/>
    </row>
    <row r="10" spans="1:20" s="553" customFormat="1" ht="30" customHeight="1">
      <c r="A10" s="271">
        <v>19.100000000000001</v>
      </c>
      <c r="B10" s="302" t="s">
        <v>88</v>
      </c>
      <c r="C10" s="220" t="s">
        <v>85</v>
      </c>
      <c r="D10" s="219">
        <v>1</v>
      </c>
      <c r="E10" s="962">
        <v>0</v>
      </c>
      <c r="F10" s="222">
        <f t="shared" ref="F10:F15" si="0">ROUND(D10*E10,0)</f>
        <v>0</v>
      </c>
      <c r="G10" s="2369"/>
      <c r="H10" s="2484"/>
      <c r="I10" s="2485"/>
      <c r="S10" s="5"/>
    </row>
    <row r="11" spans="1:20" ht="30" customHeight="1">
      <c r="A11" s="271">
        <v>19.2</v>
      </c>
      <c r="B11" s="302" t="s">
        <v>93</v>
      </c>
      <c r="C11" s="220" t="s">
        <v>85</v>
      </c>
      <c r="D11" s="219">
        <v>1</v>
      </c>
      <c r="E11" s="962">
        <v>0</v>
      </c>
      <c r="F11" s="222">
        <f t="shared" si="0"/>
        <v>0</v>
      </c>
      <c r="G11" s="2369"/>
      <c r="H11" s="2484"/>
      <c r="I11" s="2485"/>
      <c r="R11" s="1265"/>
    </row>
    <row r="12" spans="1:20" ht="30" customHeight="1">
      <c r="A12" s="271">
        <v>19.3</v>
      </c>
      <c r="B12" s="265" t="s">
        <v>1715</v>
      </c>
      <c r="C12" s="220" t="s">
        <v>85</v>
      </c>
      <c r="D12" s="219">
        <v>1</v>
      </c>
      <c r="E12" s="962">
        <v>0</v>
      </c>
      <c r="F12" s="222">
        <f t="shared" si="0"/>
        <v>0</v>
      </c>
      <c r="G12" s="2369"/>
      <c r="H12" s="2484"/>
      <c r="I12" s="2485"/>
      <c r="R12" s="1265"/>
    </row>
    <row r="13" spans="1:20" ht="30" customHeight="1">
      <c r="A13" s="271">
        <v>19.399999999999999</v>
      </c>
      <c r="B13" s="302" t="s">
        <v>1030</v>
      </c>
      <c r="C13" s="220" t="s">
        <v>141</v>
      </c>
      <c r="D13" s="962">
        <v>1</v>
      </c>
      <c r="E13" s="962">
        <v>0</v>
      </c>
      <c r="F13" s="222">
        <f t="shared" si="0"/>
        <v>0</v>
      </c>
      <c r="G13" s="2369"/>
      <c r="H13" s="2484"/>
      <c r="I13" s="2485"/>
      <c r="K13" s="1262" t="s">
        <v>1915</v>
      </c>
      <c r="L13" s="1263">
        <f>+ROUNDUP(D16,2)</f>
        <v>0</v>
      </c>
      <c r="O13" s="2509" t="s">
        <v>1916</v>
      </c>
      <c r="Q13" s="1264"/>
    </row>
    <row r="14" spans="1:20" ht="30" customHeight="1">
      <c r="A14" s="271">
        <v>19.5</v>
      </c>
      <c r="B14" s="302" t="s">
        <v>204</v>
      </c>
      <c r="C14" s="220" t="s">
        <v>141</v>
      </c>
      <c r="D14" s="962">
        <v>1</v>
      </c>
      <c r="E14" s="962">
        <v>0</v>
      </c>
      <c r="F14" s="222">
        <f t="shared" si="0"/>
        <v>0</v>
      </c>
      <c r="G14" s="2369"/>
      <c r="H14" s="2484"/>
      <c r="I14" s="2485"/>
      <c r="K14" s="5" t="s">
        <v>1825</v>
      </c>
      <c r="L14" s="1553" t="s">
        <v>2023</v>
      </c>
      <c r="M14" s="1553" t="s">
        <v>1917</v>
      </c>
      <c r="N14" s="1266" t="s">
        <v>2024</v>
      </c>
      <c r="O14" s="2509"/>
      <c r="P14" s="1553" t="s">
        <v>1918</v>
      </c>
      <c r="R14" s="1264"/>
    </row>
    <row r="15" spans="1:20" ht="30" customHeight="1">
      <c r="A15" s="271">
        <v>19.600000000000001</v>
      </c>
      <c r="B15" s="302" t="s">
        <v>205</v>
      </c>
      <c r="C15" s="220" t="s">
        <v>141</v>
      </c>
      <c r="D15" s="962">
        <v>1</v>
      </c>
      <c r="E15" s="962">
        <v>0</v>
      </c>
      <c r="F15" s="222">
        <f t="shared" si="0"/>
        <v>0</v>
      </c>
      <c r="G15" s="2369"/>
      <c r="H15" s="2484"/>
      <c r="I15" s="2485"/>
      <c r="K15" s="5" t="s">
        <v>1831</v>
      </c>
      <c r="L15" s="1267">
        <v>16</v>
      </c>
      <c r="M15" s="1267">
        <v>2</v>
      </c>
      <c r="N15" s="1267">
        <v>1</v>
      </c>
      <c r="O15" s="1268">
        <f>IF(($L$13)=0,0,ROUNDUP(IF((($L$13)&lt;=10), (L15+(M15*(($L$13)-1))),(L15+((10-1)*M15)+(($L$13)-10)*N15)),0))</f>
        <v>0</v>
      </c>
      <c r="P15" s="1268">
        <v>4</v>
      </c>
      <c r="S15" s="1262"/>
    </row>
    <row r="16" spans="1:20" ht="30" customHeight="1" thickBot="1">
      <c r="A16" s="2095">
        <v>19.7</v>
      </c>
      <c r="B16" s="2097" t="s">
        <v>2039</v>
      </c>
      <c r="C16" s="315" t="s">
        <v>1830</v>
      </c>
      <c r="D16" s="1256">
        <v>0</v>
      </c>
      <c r="E16" s="2498" t="s">
        <v>1868</v>
      </c>
      <c r="F16" s="2490">
        <v>0</v>
      </c>
      <c r="G16" s="2492"/>
      <c r="H16" s="2493"/>
      <c r="I16" s="2494"/>
      <c r="K16" s="5" t="s">
        <v>1832</v>
      </c>
      <c r="L16" s="1267">
        <v>20</v>
      </c>
      <c r="M16" s="1267">
        <v>4</v>
      </c>
      <c r="N16" s="1267">
        <v>2</v>
      </c>
      <c r="O16" s="1268">
        <f>IF(($L$13)=0,0,ROUNDUP(IF((($L$13)&lt;=10), (L16+(M16*(($L$13)-1))),(L16+((10-1)*M16)+(($L$13)-10)*N16)),0))</f>
        <v>0</v>
      </c>
      <c r="P16" s="1268">
        <v>4</v>
      </c>
      <c r="S16" s="268"/>
      <c r="T16" s="1282"/>
    </row>
    <row r="17" spans="1:17" ht="30" customHeight="1" thickBot="1">
      <c r="A17" s="2489"/>
      <c r="B17" s="2445"/>
      <c r="C17" s="315" t="s">
        <v>1825</v>
      </c>
      <c r="D17" s="1424"/>
      <c r="E17" s="2499"/>
      <c r="F17" s="2491"/>
      <c r="G17" s="2495"/>
      <c r="H17" s="2496"/>
      <c r="I17" s="2497"/>
      <c r="K17" s="5" t="s">
        <v>1299</v>
      </c>
      <c r="L17" s="1267">
        <v>20</v>
      </c>
      <c r="M17" s="1267">
        <v>4</v>
      </c>
      <c r="N17" s="1283">
        <v>2</v>
      </c>
      <c r="O17" s="1268">
        <f>IF(($L$13)=0,0,ROUNDUP(IF((($L$13)&lt;=10), (L17+(M17*(($L$13)-1))),(L17+((10-1)*M17)+(($L$13)-10)*N17)),0))</f>
        <v>0</v>
      </c>
      <c r="P17" s="1284">
        <v>4</v>
      </c>
      <c r="Q17" s="1285" t="s">
        <v>879</v>
      </c>
    </row>
    <row r="18" spans="1:17" ht="30" customHeight="1" thickBot="1">
      <c r="A18" s="2489"/>
      <c r="B18" s="2445"/>
      <c r="C18" s="374" t="s">
        <v>2028</v>
      </c>
      <c r="D18" s="1562">
        <v>0</v>
      </c>
      <c r="E18" s="1564">
        <f>Q18</f>
        <v>0</v>
      </c>
      <c r="F18" s="2491"/>
      <c r="G18" s="2495"/>
      <c r="H18" s="2496"/>
      <c r="I18" s="2497"/>
      <c r="L18" s="1282"/>
      <c r="N18" s="1286" t="s">
        <v>1920</v>
      </c>
      <c r="O18" s="1287">
        <f>IF(D17="Low Range",O15,(IF(D17="Mid Range",O16,(IF(D17="Upper Range",O17,0)))))</f>
        <v>0</v>
      </c>
      <c r="P18" s="1288">
        <f>IF(D18&gt;0,(4*D18),0)</f>
        <v>0</v>
      </c>
      <c r="Q18" s="1289">
        <f>(O18+P18)</f>
        <v>0</v>
      </c>
    </row>
    <row r="19" spans="1:17" s="554" customFormat="1" ht="30" customHeight="1">
      <c r="A19" s="271">
        <v>19.8</v>
      </c>
      <c r="B19" s="1555" t="s">
        <v>189</v>
      </c>
      <c r="C19" s="542" t="s">
        <v>85</v>
      </c>
      <c r="D19" s="219">
        <v>1</v>
      </c>
      <c r="E19" s="962">
        <v>0</v>
      </c>
      <c r="F19" s="222">
        <f>ROUND(D19*E19,0)</f>
        <v>0</v>
      </c>
      <c r="G19" s="2369"/>
      <c r="H19" s="2484"/>
      <c r="I19" s="2485"/>
    </row>
    <row r="20" spans="1:17" ht="30" customHeight="1">
      <c r="A20" s="271">
        <v>19.899999999999999</v>
      </c>
      <c r="B20" s="302" t="s">
        <v>1637</v>
      </c>
      <c r="C20" s="220" t="s">
        <v>85</v>
      </c>
      <c r="D20" s="219">
        <v>1</v>
      </c>
      <c r="E20" s="962">
        <v>0</v>
      </c>
      <c r="F20" s="222">
        <f>ROUND(D20*E20,0)</f>
        <v>0</v>
      </c>
      <c r="G20" s="2369"/>
      <c r="H20" s="2484"/>
      <c r="I20" s="2485"/>
    </row>
    <row r="21" spans="1:17" ht="30" customHeight="1">
      <c r="A21" s="274">
        <v>19.100000000000001</v>
      </c>
      <c r="B21" s="302" t="s">
        <v>580</v>
      </c>
      <c r="C21" s="220" t="s">
        <v>85</v>
      </c>
      <c r="D21" s="219">
        <v>1</v>
      </c>
      <c r="E21" s="962">
        <v>0</v>
      </c>
      <c r="F21" s="222">
        <f>ROUND(D21*E21,0)</f>
        <v>0</v>
      </c>
      <c r="G21" s="2369"/>
      <c r="H21" s="2484"/>
      <c r="I21" s="2485"/>
    </row>
    <row r="22" spans="1:17" s="554" customFormat="1" ht="20.100000000000001" customHeight="1">
      <c r="A22" s="2504" t="s">
        <v>1028</v>
      </c>
      <c r="B22" s="2505"/>
      <c r="C22" s="2505"/>
      <c r="D22" s="2505"/>
      <c r="E22" s="2505"/>
      <c r="F22" s="247">
        <f>SUM(F10:F21)</f>
        <v>0</v>
      </c>
      <c r="G22" s="2506"/>
      <c r="H22" s="2507"/>
      <c r="I22" s="2508"/>
    </row>
    <row r="23" spans="1:17" s="554" customFormat="1" ht="30" customHeight="1">
      <c r="A23" s="274">
        <v>19.11</v>
      </c>
      <c r="B23" s="555" t="s">
        <v>133</v>
      </c>
      <c r="C23" s="542" t="s">
        <v>85</v>
      </c>
      <c r="D23" s="219">
        <v>1</v>
      </c>
      <c r="E23" s="962">
        <v>0</v>
      </c>
      <c r="F23" s="222">
        <f>ROUND(D23*E23,0)</f>
        <v>0</v>
      </c>
      <c r="G23" s="2369"/>
      <c r="H23" s="2484"/>
      <c r="I23" s="2485"/>
    </row>
    <row r="24" spans="1:17" ht="30" customHeight="1">
      <c r="A24" s="274">
        <v>19.12</v>
      </c>
      <c r="B24" s="302" t="s">
        <v>707</v>
      </c>
      <c r="C24" s="220" t="s">
        <v>85</v>
      </c>
      <c r="D24" s="219">
        <v>1</v>
      </c>
      <c r="E24" s="542">
        <f>F40</f>
        <v>0</v>
      </c>
      <c r="F24" s="222">
        <f>ROUND(D24*E24,0)</f>
        <v>0</v>
      </c>
      <c r="G24" s="2369" t="s">
        <v>578</v>
      </c>
      <c r="H24" s="2484"/>
      <c r="I24" s="2485"/>
    </row>
    <row r="25" spans="1:17" ht="30" customHeight="1">
      <c r="A25" s="274">
        <v>19.13</v>
      </c>
      <c r="B25" s="302" t="s">
        <v>307</v>
      </c>
      <c r="C25" s="220" t="s">
        <v>85</v>
      </c>
      <c r="D25" s="219" t="s">
        <v>878</v>
      </c>
      <c r="E25" s="965">
        <v>0</v>
      </c>
      <c r="F25" s="222">
        <f>ROUND(E25*F22,0)</f>
        <v>0</v>
      </c>
      <c r="G25" s="2369"/>
      <c r="H25" s="2484"/>
      <c r="I25" s="2485"/>
    </row>
    <row r="26" spans="1:17" ht="30" customHeight="1">
      <c r="A26" s="274">
        <v>19.14</v>
      </c>
      <c r="B26" s="605" t="s">
        <v>92</v>
      </c>
      <c r="C26" s="542" t="s">
        <v>85</v>
      </c>
      <c r="D26" s="222" t="s">
        <v>878</v>
      </c>
      <c r="E26" s="965">
        <v>0</v>
      </c>
      <c r="F26" s="222">
        <f>ROUND(E26*F22,0)</f>
        <v>0</v>
      </c>
      <c r="G26" s="2369"/>
      <c r="H26" s="2484"/>
      <c r="I26" s="2485"/>
    </row>
    <row r="27" spans="1:17" ht="30" customHeight="1">
      <c r="A27" s="274">
        <v>19.149999999999999</v>
      </c>
      <c r="B27" s="302" t="s">
        <v>169</v>
      </c>
      <c r="C27" s="220" t="s">
        <v>85</v>
      </c>
      <c r="D27" s="219" t="s">
        <v>878</v>
      </c>
      <c r="E27" s="965">
        <v>0</v>
      </c>
      <c r="F27" s="222">
        <f>ROUND(E27*F22,0)</f>
        <v>0</v>
      </c>
      <c r="G27" s="2369"/>
      <c r="H27" s="2484"/>
      <c r="I27" s="2485"/>
    </row>
    <row r="28" spans="1:17" ht="20.100000000000001" customHeight="1">
      <c r="A28" s="2512" t="s">
        <v>640</v>
      </c>
      <c r="B28" s="2513"/>
      <c r="C28" s="2513"/>
      <c r="D28" s="2513"/>
      <c r="E28" s="2513"/>
      <c r="F28" s="247">
        <f>SUM(F23:F27)</f>
        <v>0</v>
      </c>
      <c r="G28" s="2506"/>
      <c r="H28" s="2507"/>
      <c r="I28" s="2508"/>
    </row>
    <row r="29" spans="1:17" ht="30" customHeight="1">
      <c r="A29" s="274">
        <v>19.16</v>
      </c>
      <c r="B29" s="605" t="s">
        <v>78</v>
      </c>
      <c r="C29" s="542" t="s">
        <v>85</v>
      </c>
      <c r="D29" s="222" t="s">
        <v>878</v>
      </c>
      <c r="E29" s="965">
        <v>0</v>
      </c>
      <c r="F29" s="222">
        <f>ROUND(E29*(F28+F22),0)</f>
        <v>0</v>
      </c>
      <c r="G29" s="2369"/>
      <c r="H29" s="2484"/>
      <c r="I29" s="2485"/>
    </row>
    <row r="30" spans="1:17" ht="20.100000000000001" customHeight="1" thickBot="1">
      <c r="A30" s="2518" t="s">
        <v>1029</v>
      </c>
      <c r="B30" s="2519"/>
      <c r="C30" s="2519"/>
      <c r="D30" s="2519"/>
      <c r="E30" s="2519"/>
      <c r="F30" s="248">
        <f>SUM(F22,F28:F29)</f>
        <v>0</v>
      </c>
      <c r="G30" s="2520"/>
      <c r="H30" s="2367"/>
      <c r="I30" s="2368"/>
    </row>
    <row r="31" spans="1:17" ht="20.100000000000001" customHeight="1" thickBot="1"/>
    <row r="32" spans="1:17" s="268" customFormat="1" ht="36.75" customHeight="1" thickBot="1">
      <c r="A32" s="2389" t="s">
        <v>82</v>
      </c>
      <c r="B32" s="2088"/>
      <c r="C32" s="279" t="s">
        <v>87</v>
      </c>
      <c r="D32" s="279" t="s">
        <v>101</v>
      </c>
      <c r="E32" s="279" t="s">
        <v>706</v>
      </c>
      <c r="F32" s="279" t="s">
        <v>102</v>
      </c>
      <c r="G32" s="279" t="s">
        <v>164</v>
      </c>
      <c r="H32" s="279" t="s">
        <v>575</v>
      </c>
      <c r="I32" s="280" t="s">
        <v>576</v>
      </c>
    </row>
    <row r="33" spans="1:9" s="268" customFormat="1" ht="20.100000000000001" customHeight="1">
      <c r="A33" s="2500" t="s">
        <v>1031</v>
      </c>
      <c r="B33" s="2501"/>
      <c r="C33" s="281" t="s">
        <v>141</v>
      </c>
      <c r="D33" s="974">
        <v>0</v>
      </c>
      <c r="E33" s="974">
        <v>0</v>
      </c>
      <c r="F33" s="244">
        <f>E33*D33</f>
        <v>0</v>
      </c>
      <c r="G33" s="998"/>
      <c r="H33" s="282"/>
      <c r="I33" s="977">
        <v>0</v>
      </c>
    </row>
    <row r="34" spans="1:9" s="268" customFormat="1" ht="20.100000000000001" customHeight="1">
      <c r="A34" s="2502" t="s">
        <v>1032</v>
      </c>
      <c r="B34" s="2503"/>
      <c r="C34" s="283" t="s">
        <v>141</v>
      </c>
      <c r="D34" s="975">
        <v>0</v>
      </c>
      <c r="E34" s="975">
        <v>0</v>
      </c>
      <c r="F34" s="245">
        <f>E34*D34</f>
        <v>0</v>
      </c>
      <c r="G34" s="999"/>
      <c r="H34" s="284"/>
      <c r="I34" s="978">
        <v>0</v>
      </c>
    </row>
    <row r="35" spans="1:9" s="268" customFormat="1" ht="20.100000000000001" customHeight="1">
      <c r="A35" s="2510" t="s">
        <v>159</v>
      </c>
      <c r="B35" s="2511"/>
      <c r="C35" s="283" t="s">
        <v>141</v>
      </c>
      <c r="D35" s="975">
        <v>0</v>
      </c>
      <c r="E35" s="975">
        <v>0</v>
      </c>
      <c r="F35" s="245">
        <f>E35*D35</f>
        <v>0</v>
      </c>
      <c r="G35" s="999"/>
      <c r="H35" s="284"/>
      <c r="I35" s="978">
        <v>0</v>
      </c>
    </row>
    <row r="36" spans="1:9" s="268" customFormat="1" ht="20.100000000000001" customHeight="1">
      <c r="A36" s="2502" t="s">
        <v>231</v>
      </c>
      <c r="B36" s="2503"/>
      <c r="C36" s="283" t="s">
        <v>141</v>
      </c>
      <c r="D36" s="975">
        <v>0</v>
      </c>
      <c r="E36" s="975">
        <v>0</v>
      </c>
      <c r="F36" s="245">
        <f>E36*D36</f>
        <v>0</v>
      </c>
      <c r="G36" s="999"/>
      <c r="H36" s="284"/>
      <c r="I36" s="978">
        <v>0</v>
      </c>
    </row>
    <row r="37" spans="1:9" s="268" customFormat="1" ht="20.100000000000001" customHeight="1" thickBot="1">
      <c r="A37" s="2383" t="s">
        <v>238</v>
      </c>
      <c r="B37" s="2384"/>
      <c r="C37" s="285"/>
      <c r="D37" s="285"/>
      <c r="E37" s="285"/>
      <c r="F37" s="249">
        <f>SUM(F33:F36)</f>
        <v>0</v>
      </c>
      <c r="G37" s="1000"/>
      <c r="H37" s="556" t="s">
        <v>1402</v>
      </c>
      <c r="I37" s="250">
        <f>SUM(I33:I36)</f>
        <v>0</v>
      </c>
    </row>
    <row r="38" spans="1:9" s="268" customFormat="1" ht="20.100000000000001" customHeight="1" thickTop="1">
      <c r="A38" s="2385" t="s">
        <v>861</v>
      </c>
      <c r="B38" s="2386"/>
      <c r="C38" s="281" t="s">
        <v>141</v>
      </c>
      <c r="D38" s="974">
        <v>0</v>
      </c>
      <c r="E38" s="974">
        <v>0</v>
      </c>
      <c r="F38" s="244">
        <f>E38*D38</f>
        <v>0</v>
      </c>
      <c r="G38" s="2514" t="s">
        <v>1403</v>
      </c>
      <c r="H38" s="2515"/>
      <c r="I38" s="293" t="s">
        <v>1116</v>
      </c>
    </row>
    <row r="39" spans="1:9" s="268" customFormat="1" ht="20.100000000000001" customHeight="1" thickBot="1">
      <c r="A39" s="2387" t="s">
        <v>155</v>
      </c>
      <c r="B39" s="2388"/>
      <c r="C39" s="286" t="s">
        <v>141</v>
      </c>
      <c r="D39" s="976">
        <v>0</v>
      </c>
      <c r="E39" s="976">
        <v>0</v>
      </c>
      <c r="F39" s="246">
        <f>E39*D39</f>
        <v>0</v>
      </c>
      <c r="G39" s="2516" t="s">
        <v>1404</v>
      </c>
      <c r="H39" s="2517"/>
      <c r="I39" s="294" t="s">
        <v>1116</v>
      </c>
    </row>
    <row r="40" spans="1:9" s="288" customFormat="1" ht="20.100000000000001" customHeight="1" thickTop="1" thickBot="1">
      <c r="A40" s="2067" t="s">
        <v>156</v>
      </c>
      <c r="B40" s="2068"/>
      <c r="C40" s="287"/>
      <c r="D40" s="287"/>
      <c r="E40" s="287"/>
      <c r="F40" s="251">
        <f>SUM(F37:F39)</f>
        <v>0</v>
      </c>
      <c r="G40" s="1002"/>
      <c r="H40" s="557" t="s">
        <v>1414</v>
      </c>
      <c r="I40" s="296">
        <f>I37</f>
        <v>0</v>
      </c>
    </row>
    <row r="41" spans="1:9" s="268" customFormat="1" ht="15.6">
      <c r="A41" s="289"/>
      <c r="C41" s="290"/>
      <c r="D41" s="290"/>
      <c r="E41" s="290"/>
      <c r="F41" s="346" t="s">
        <v>1182</v>
      </c>
      <c r="G41" s="346"/>
      <c r="H41" s="3"/>
      <c r="I41" s="346" t="s">
        <v>1405</v>
      </c>
    </row>
  </sheetData>
  <mergeCells count="48">
    <mergeCell ref="O13:O14"/>
    <mergeCell ref="A40:B40"/>
    <mergeCell ref="A35:B35"/>
    <mergeCell ref="A36:B36"/>
    <mergeCell ref="A37:B37"/>
    <mergeCell ref="A38:B38"/>
    <mergeCell ref="G27:I27"/>
    <mergeCell ref="A28:E28"/>
    <mergeCell ref="G28:I28"/>
    <mergeCell ref="G38:H38"/>
    <mergeCell ref="A39:B39"/>
    <mergeCell ref="G39:H39"/>
    <mergeCell ref="G29:I29"/>
    <mergeCell ref="A30:E30"/>
    <mergeCell ref="G30:I30"/>
    <mergeCell ref="A32:B32"/>
    <mergeCell ref="A33:B33"/>
    <mergeCell ref="A34:B34"/>
    <mergeCell ref="A22:E22"/>
    <mergeCell ref="G22:I22"/>
    <mergeCell ref="G24:I24"/>
    <mergeCell ref="G25:I25"/>
    <mergeCell ref="G26:I26"/>
    <mergeCell ref="G23:I23"/>
    <mergeCell ref="G12:I12"/>
    <mergeCell ref="G13:I13"/>
    <mergeCell ref="G14:I14"/>
    <mergeCell ref="G15:I15"/>
    <mergeCell ref="G19:I19"/>
    <mergeCell ref="G20:I20"/>
    <mergeCell ref="G21:I21"/>
    <mergeCell ref="A16:A18"/>
    <mergeCell ref="B16:B18"/>
    <mergeCell ref="F16:F18"/>
    <mergeCell ref="G16:I18"/>
    <mergeCell ref="E16:E17"/>
    <mergeCell ref="G11:I11"/>
    <mergeCell ref="A4:B4"/>
    <mergeCell ref="C4:F4"/>
    <mergeCell ref="G4:I4"/>
    <mergeCell ref="A5:B5"/>
    <mergeCell ref="C5:F5"/>
    <mergeCell ref="G5:I5"/>
    <mergeCell ref="A6:B6"/>
    <mergeCell ref="C6:F6"/>
    <mergeCell ref="G6:I6"/>
    <mergeCell ref="G9:I9"/>
    <mergeCell ref="G10:I10"/>
  </mergeCells>
  <conditionalFormatting sqref="K15:P15">
    <cfRule type="expression" dxfId="2" priority="1">
      <formula>$D$17="Low Range"</formula>
    </cfRule>
  </conditionalFormatting>
  <conditionalFormatting sqref="K16:P16">
    <cfRule type="expression" dxfId="1" priority="3">
      <formula>$D$17="Mid Range"</formula>
    </cfRule>
  </conditionalFormatting>
  <conditionalFormatting sqref="K17:P17">
    <cfRule type="expression" dxfId="0" priority="2">
      <formula>$D$17="Upper Range"</formula>
    </cfRule>
  </conditionalFormatting>
  <dataValidations count="3">
    <dataValidation type="decimal" operator="greaterThanOrEqual" allowBlank="1" showInputMessage="1" showErrorMessage="1" error="Input a positive number to an accuracy of 2 decimal places." sqref="D16" xr:uid="{DC84CA09-DD78-4894-BBCB-59F557744352}">
      <formula1>0</formula1>
    </dataValidation>
    <dataValidation type="list" allowBlank="1" showInputMessage="1" showErrorMessage="1" sqref="H33:H36" xr:uid="{FE45D507-41E7-4235-A641-A5819563D2C7}">
      <formula1>yesno</formula1>
    </dataValidation>
    <dataValidation type="list" allowBlank="1" showInputMessage="1" showErrorMessage="1" prompt="What is the estimated complexity of the S&amp;PM project?" sqref="D17" xr:uid="{A41C8F26-DDD2-4638-A8A9-2815BC3F8420}">
      <formula1>$K$15:$K$17</formula1>
    </dataValidation>
  </dataValidations>
  <printOptions horizontalCentered="1"/>
  <pageMargins left="0.5" right="0.5" top="1" bottom="0.86" header="0.5" footer="0.34"/>
  <pageSetup fitToHeight="0" orientation="landscape" r:id="rId1"/>
  <headerFooter alignWithMargins="0">
    <oddHeader>&amp;C&amp;"Arial,Bold"&amp;12&amp;UProject Activity 19: Signing and Pavement Marking Analysis</oddHeader>
    <oddFooter>&amp;L&amp;F
&amp;A&amp;CPage &amp;P of &amp;N&amp;R&amp;D</odd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03C8B-AA42-404C-B2F6-DADDD65629F0}">
  <sheetPr codeName="Sheet37"/>
  <dimension ref="A1:AO32"/>
  <sheetViews>
    <sheetView showGridLines="0" topLeftCell="B1" zoomScale="85" zoomScaleNormal="85" workbookViewId="0">
      <selection activeCell="C15" sqref="C15:C18"/>
    </sheetView>
  </sheetViews>
  <sheetFormatPr defaultColWidth="9.109375" defaultRowHeight="15.6"/>
  <cols>
    <col min="1" max="1" width="12.88671875" style="1077" hidden="1" customWidth="1"/>
    <col min="2" max="2" width="6.88671875" style="1084" customWidth="1"/>
    <col min="3" max="3" width="50.77734375" style="1085" customWidth="1"/>
    <col min="4" max="4" width="15" style="1085" customWidth="1"/>
    <col min="5" max="5" width="14.77734375" style="1084" customWidth="1"/>
    <col min="6" max="7" width="14.77734375" style="1086" customWidth="1"/>
    <col min="8" max="9" width="14.77734375" style="1087" customWidth="1"/>
    <col min="10" max="10" width="14.77734375" style="1077" customWidth="1"/>
    <col min="11" max="11" width="100.77734375" style="1077" customWidth="1"/>
    <col min="12" max="12" width="70.77734375" style="1077" customWidth="1"/>
    <col min="13" max="13" width="8.6640625" style="348" customWidth="1"/>
    <col min="14" max="14" width="15.5546875" style="348" customWidth="1"/>
    <col min="15" max="15" width="9.88671875" style="348" hidden="1" customWidth="1"/>
    <col min="16" max="24" width="12.77734375" style="348" hidden="1" customWidth="1"/>
    <col min="25" max="29" width="12.77734375" style="1076" hidden="1" customWidth="1"/>
    <col min="30" max="35" width="9.109375" style="1076"/>
    <col min="36" max="16384" width="9.109375" style="1077"/>
  </cols>
  <sheetData>
    <row r="1" spans="1:41" s="1075" customFormat="1" ht="15" customHeight="1">
      <c r="B1" s="2136" t="s">
        <v>592</v>
      </c>
      <c r="C1" s="2137"/>
      <c r="D1" s="2133" t="s">
        <v>2570</v>
      </c>
      <c r="E1" s="2133"/>
      <c r="F1" s="2133"/>
      <c r="G1" s="2133"/>
      <c r="H1" s="2133"/>
      <c r="I1" s="2133"/>
      <c r="J1" s="2133"/>
      <c r="K1" s="1055" t="str">
        <f>'Project Information'!B3</f>
        <v>Enter project name &amp; description</v>
      </c>
      <c r="L1" s="2120" t="s">
        <v>1819</v>
      </c>
      <c r="M1" s="1142"/>
      <c r="N1" s="1142"/>
      <c r="O1" s="1142"/>
      <c r="P1" s="1142"/>
      <c r="Q1" s="1143"/>
      <c r="R1" s="1143"/>
      <c r="S1" s="1143"/>
      <c r="T1" s="1143"/>
      <c r="U1" s="1143"/>
      <c r="V1" s="1142"/>
      <c r="W1" s="1142"/>
      <c r="X1" s="1142"/>
      <c r="Y1" s="1147"/>
      <c r="Z1" s="1147"/>
      <c r="AA1" s="1147"/>
      <c r="AB1" s="1147"/>
      <c r="AC1" s="1098"/>
      <c r="AD1" s="1098"/>
      <c r="AE1" s="1098"/>
      <c r="AF1" s="1098"/>
      <c r="AG1" s="1098"/>
      <c r="AH1" s="1098"/>
      <c r="AI1" s="1098"/>
    </row>
    <row r="2" spans="1:41" s="1075" customFormat="1" ht="15" customHeight="1">
      <c r="B2" s="2138"/>
      <c r="C2" s="2139"/>
      <c r="D2" s="2134"/>
      <c r="E2" s="2134"/>
      <c r="F2" s="2134"/>
      <c r="G2" s="2134"/>
      <c r="H2" s="2134"/>
      <c r="I2" s="2134"/>
      <c r="J2" s="2134"/>
      <c r="K2" s="1056" t="str">
        <f>'Project Information'!B1</f>
        <v>999999-1-32-01</v>
      </c>
      <c r="L2" s="2121"/>
      <c r="M2" s="1142"/>
      <c r="N2" s="1142"/>
      <c r="O2" s="1142"/>
      <c r="P2" s="1142"/>
      <c r="Q2" s="1143"/>
      <c r="R2" s="1143"/>
      <c r="S2" s="1143"/>
      <c r="T2" s="1143"/>
      <c r="U2" s="1143"/>
      <c r="V2" s="1142"/>
      <c r="W2" s="1142"/>
      <c r="X2" s="1142"/>
      <c r="Y2" s="1147"/>
      <c r="Z2" s="1147"/>
      <c r="AA2" s="1147"/>
      <c r="AB2" s="1147"/>
      <c r="AC2" s="1098"/>
      <c r="AD2" s="1098"/>
      <c r="AE2" s="1098"/>
      <c r="AF2" s="1098"/>
      <c r="AG2" s="1098"/>
      <c r="AH2" s="1098"/>
      <c r="AI2" s="1098"/>
    </row>
    <row r="3" spans="1:41" s="1058" customFormat="1" ht="15" customHeight="1" thickBot="1">
      <c r="B3" s="2140"/>
      <c r="C3" s="2141"/>
      <c r="D3" s="2135"/>
      <c r="E3" s="2135"/>
      <c r="F3" s="2135"/>
      <c r="G3" s="2135"/>
      <c r="H3" s="2135"/>
      <c r="I3" s="2135"/>
      <c r="J3" s="2135"/>
      <c r="K3" s="1057"/>
      <c r="L3" s="2122"/>
      <c r="M3" s="1146"/>
      <c r="N3" s="1146"/>
      <c r="O3" s="1146"/>
      <c r="P3" s="1146"/>
      <c r="Q3" s="1143"/>
      <c r="R3" s="1143"/>
      <c r="S3" s="1143"/>
      <c r="T3" s="1143"/>
      <c r="U3" s="1143"/>
      <c r="V3" s="1146"/>
      <c r="W3" s="1146"/>
      <c r="X3" s="1146"/>
      <c r="Y3" s="1200"/>
      <c r="Z3" s="1200"/>
      <c r="AA3" s="1200"/>
      <c r="AB3" s="1200"/>
      <c r="AC3" s="1103"/>
      <c r="AD3" s="1103"/>
      <c r="AE3" s="1103"/>
      <c r="AF3" s="1103"/>
      <c r="AG3" s="1103"/>
      <c r="AH3" s="1103"/>
      <c r="AI3" s="1103"/>
    </row>
    <row r="4" spans="1:41" s="1058" customFormat="1" ht="30" customHeight="1" thickBot="1">
      <c r="B4" s="2198" t="s">
        <v>1396</v>
      </c>
      <c r="C4" s="2199"/>
      <c r="D4" s="2200" t="s">
        <v>1397</v>
      </c>
      <c r="E4" s="2200"/>
      <c r="F4" s="2200"/>
      <c r="G4" s="2200"/>
      <c r="H4" s="2200"/>
      <c r="I4" s="2200"/>
      <c r="J4" s="2200"/>
      <c r="K4" s="1111" t="s">
        <v>1398</v>
      </c>
      <c r="L4" s="1580" t="s">
        <v>2625</v>
      </c>
      <c r="M4" s="1146"/>
      <c r="N4" s="1146"/>
      <c r="O4" s="1146"/>
      <c r="P4" s="1146"/>
      <c r="Q4" s="1143"/>
      <c r="R4" s="1143"/>
      <c r="S4" s="1143"/>
      <c r="T4" s="1143"/>
      <c r="U4" s="1143"/>
      <c r="V4" s="1146"/>
      <c r="W4" s="1146"/>
      <c r="X4" s="1146"/>
      <c r="Y4" s="1200"/>
      <c r="Z4" s="1200"/>
      <c r="AA4" s="1200"/>
      <c r="AB4" s="1200"/>
      <c r="AC4" s="1103"/>
      <c r="AD4" s="1103"/>
      <c r="AE4" s="1103"/>
      <c r="AF4" s="1103"/>
      <c r="AG4" s="1103"/>
      <c r="AH4" s="1103"/>
      <c r="AI4" s="1103"/>
    </row>
    <row r="5" spans="1:41" s="1058" customFormat="1" ht="30" customHeight="1">
      <c r="B5" s="2201" t="s">
        <v>1400</v>
      </c>
      <c r="C5" s="2202"/>
      <c r="D5" s="2203"/>
      <c r="E5" s="2203"/>
      <c r="F5" s="2203"/>
      <c r="G5" s="2203"/>
      <c r="H5" s="2203"/>
      <c r="I5" s="2203"/>
      <c r="J5" s="2203"/>
      <c r="K5" s="1059"/>
      <c r="L5" s="2253" t="s">
        <v>1820</v>
      </c>
      <c r="M5" s="1147"/>
      <c r="N5" s="1146"/>
      <c r="O5" s="1146"/>
      <c r="P5" s="1146"/>
      <c r="Q5" s="1201"/>
      <c r="R5" s="1201"/>
      <c r="S5" s="1201"/>
      <c r="T5" s="1201"/>
      <c r="U5" s="1201"/>
      <c r="V5" s="1146"/>
      <c r="W5" s="1146"/>
      <c r="X5" s="1146"/>
      <c r="Y5" s="1200"/>
      <c r="Z5" s="1200"/>
      <c r="AA5" s="1200"/>
      <c r="AB5" s="1200"/>
      <c r="AC5" s="1103"/>
      <c r="AD5" s="1103"/>
      <c r="AE5" s="1103"/>
      <c r="AF5" s="1103"/>
      <c r="AG5" s="1103"/>
      <c r="AH5" s="1103"/>
      <c r="AI5" s="1103"/>
    </row>
    <row r="6" spans="1:41" s="1058" customFormat="1" ht="30" customHeight="1" thickBot="1">
      <c r="B6" s="2204" t="s">
        <v>1399</v>
      </c>
      <c r="C6" s="2205"/>
      <c r="D6" s="2206"/>
      <c r="E6" s="2206"/>
      <c r="F6" s="2206"/>
      <c r="G6" s="2206"/>
      <c r="H6" s="2206"/>
      <c r="I6" s="2206"/>
      <c r="J6" s="2206"/>
      <c r="K6" s="1060"/>
      <c r="L6" s="2254"/>
      <c r="M6" s="1147"/>
      <c r="N6" s="1146"/>
      <c r="O6" s="1146"/>
      <c r="P6" s="1146"/>
      <c r="Q6" s="1201"/>
      <c r="R6" s="1201"/>
      <c r="S6" s="1201"/>
      <c r="T6" s="1201"/>
      <c r="U6" s="1201"/>
      <c r="V6" s="1146"/>
      <c r="W6" s="1146"/>
      <c r="X6" s="1146"/>
      <c r="Y6" s="1200"/>
      <c r="Z6" s="1200"/>
      <c r="AA6" s="1200"/>
      <c r="AB6" s="1200"/>
      <c r="AC6" s="1103"/>
      <c r="AD6" s="1103"/>
      <c r="AE6" s="1103"/>
      <c r="AF6" s="1103"/>
      <c r="AG6" s="1103"/>
      <c r="AH6" s="1103"/>
      <c r="AI6" s="1103"/>
    </row>
    <row r="7" spans="1:41" s="1058" customFormat="1" ht="15" customHeight="1">
      <c r="B7" s="1112" t="s">
        <v>1430</v>
      </c>
      <c r="C7" s="1182"/>
      <c r="D7" s="1183"/>
      <c r="E7" s="1183"/>
      <c r="F7" s="1183"/>
      <c r="G7" s="1183"/>
      <c r="H7" s="1183"/>
      <c r="I7" s="1183"/>
      <c r="J7" s="1183"/>
      <c r="K7" s="1184"/>
      <c r="L7" s="2254"/>
      <c r="M7" s="1147"/>
      <c r="N7" s="1146"/>
      <c r="O7" s="1146"/>
      <c r="P7" s="1146"/>
      <c r="Q7" s="1146"/>
      <c r="R7" s="1146"/>
      <c r="S7" s="1146"/>
      <c r="T7" s="1146"/>
      <c r="U7" s="1146"/>
      <c r="V7" s="1146"/>
      <c r="W7" s="1146"/>
      <c r="X7" s="1146"/>
      <c r="Y7" s="1200"/>
      <c r="Z7" s="1200"/>
      <c r="AA7" s="1200"/>
      <c r="AB7" s="1200"/>
      <c r="AC7" s="1103"/>
      <c r="AD7" s="1103"/>
      <c r="AE7" s="1103"/>
      <c r="AF7" s="1103"/>
      <c r="AG7" s="1103"/>
      <c r="AH7" s="1103"/>
      <c r="AI7" s="1103"/>
    </row>
    <row r="8" spans="1:41" s="1058" customFormat="1" ht="15" customHeight="1" thickBot="1">
      <c r="B8" s="1185"/>
      <c r="C8" s="1186"/>
      <c r="D8" s="1187"/>
      <c r="E8" s="1187"/>
      <c r="F8" s="1187"/>
      <c r="G8" s="1187"/>
      <c r="H8" s="1187"/>
      <c r="I8" s="1187"/>
      <c r="J8" s="1187"/>
      <c r="K8" s="1188"/>
      <c r="L8" s="2254"/>
      <c r="M8" s="1147"/>
      <c r="N8" s="1146"/>
      <c r="O8" s="1146"/>
      <c r="P8" s="1146"/>
      <c r="Q8" s="1146"/>
      <c r="R8" s="1146"/>
      <c r="S8" s="1146"/>
      <c r="T8" s="1146"/>
      <c r="U8" s="1146"/>
      <c r="V8" s="1146"/>
      <c r="W8" s="1146"/>
      <c r="X8" s="1146"/>
      <c r="Y8" s="1200"/>
      <c r="Z8" s="1200"/>
      <c r="AA8" s="1200"/>
      <c r="AB8" s="1200"/>
      <c r="AC8" s="1103"/>
      <c r="AD8" s="1103"/>
      <c r="AE8" s="1103"/>
      <c r="AF8" s="1103"/>
      <c r="AG8" s="1103"/>
      <c r="AH8" s="1103"/>
      <c r="AI8" s="1103"/>
      <c r="AJ8" s="1103"/>
      <c r="AK8" s="1103"/>
      <c r="AL8" s="1103"/>
      <c r="AM8" s="1103"/>
      <c r="AN8" s="1103"/>
      <c r="AO8" s="1103"/>
    </row>
    <row r="9" spans="1:41" s="1058" customFormat="1" ht="30" customHeight="1">
      <c r="B9" s="2226" t="s">
        <v>79</v>
      </c>
      <c r="C9" s="2228" t="s">
        <v>190</v>
      </c>
      <c r="D9" s="2157" t="s">
        <v>1821</v>
      </c>
      <c r="E9" s="2158"/>
      <c r="F9" s="2159"/>
      <c r="G9" s="2230" t="s">
        <v>1822</v>
      </c>
      <c r="H9" s="2230"/>
      <c r="I9" s="2230"/>
      <c r="J9" s="2230"/>
      <c r="K9" s="1120" t="s">
        <v>1823</v>
      </c>
      <c r="L9" s="2254"/>
      <c r="M9" s="1147"/>
      <c r="N9" s="1854"/>
      <c r="O9" s="2170" t="s">
        <v>190</v>
      </c>
      <c r="P9" s="1327"/>
      <c r="Q9" s="2213" t="s">
        <v>1869</v>
      </c>
      <c r="R9" s="2213"/>
      <c r="S9" s="2213"/>
      <c r="T9" s="1328"/>
      <c r="U9" s="2213" t="s">
        <v>1914</v>
      </c>
      <c r="V9" s="2213"/>
      <c r="W9" s="2215"/>
      <c r="X9" s="2214" t="s">
        <v>1960</v>
      </c>
      <c r="Y9" s="2213"/>
      <c r="Z9" s="2213"/>
      <c r="AA9" s="2214" t="s">
        <v>1862</v>
      </c>
      <c r="AB9" s="2213"/>
      <c r="AC9" s="2215"/>
      <c r="AD9" s="1103"/>
      <c r="AE9" s="1103"/>
      <c r="AF9" s="1103"/>
      <c r="AG9" s="1103"/>
      <c r="AH9" s="1103"/>
      <c r="AI9" s="1103"/>
      <c r="AJ9" s="1103"/>
      <c r="AK9" s="1103"/>
      <c r="AL9" s="1103"/>
      <c r="AM9" s="1103"/>
      <c r="AN9" s="1103"/>
      <c r="AO9" s="1103"/>
    </row>
    <row r="10" spans="1:41" s="1076" customFormat="1" ht="30" customHeight="1" thickBot="1">
      <c r="B10" s="2531"/>
      <c r="C10" s="2525"/>
      <c r="D10" s="1121" t="s">
        <v>1824</v>
      </c>
      <c r="E10" s="1121" t="s">
        <v>87</v>
      </c>
      <c r="F10" s="1121" t="s">
        <v>1825</v>
      </c>
      <c r="G10" s="1121" t="s">
        <v>1826</v>
      </c>
      <c r="H10" s="1121" t="s">
        <v>1827</v>
      </c>
      <c r="I10" s="1121" t="s">
        <v>1196</v>
      </c>
      <c r="J10" s="1121" t="s">
        <v>1837</v>
      </c>
      <c r="K10" s="1123" t="s">
        <v>1829</v>
      </c>
      <c r="L10" s="2281"/>
      <c r="M10" s="1147"/>
      <c r="N10" s="1854"/>
      <c r="O10" s="2282"/>
      <c r="P10" s="1259" t="s">
        <v>1926</v>
      </c>
      <c r="Q10" s="1213" t="s">
        <v>1859</v>
      </c>
      <c r="R10" s="1213" t="s">
        <v>1860</v>
      </c>
      <c r="S10" s="1213" t="s">
        <v>1861</v>
      </c>
      <c r="T10" s="1214" t="s">
        <v>1927</v>
      </c>
      <c r="U10" s="1213" t="s">
        <v>1883</v>
      </c>
      <c r="V10" s="1213" t="s">
        <v>1833</v>
      </c>
      <c r="W10" s="1214" t="s">
        <v>1834</v>
      </c>
      <c r="X10" s="1259" t="s">
        <v>1928</v>
      </c>
      <c r="Y10" s="1213" t="s">
        <v>1929</v>
      </c>
      <c r="Z10" s="1213" t="s">
        <v>1930</v>
      </c>
      <c r="AA10" s="1259" t="s">
        <v>1931</v>
      </c>
      <c r="AB10" s="1213" t="s">
        <v>1932</v>
      </c>
      <c r="AC10" s="1214" t="s">
        <v>1933</v>
      </c>
      <c r="AD10" s="1103"/>
      <c r="AE10" s="1103"/>
      <c r="AF10" s="1103"/>
      <c r="AG10" s="1103"/>
      <c r="AH10" s="1103"/>
      <c r="AI10" s="1103"/>
      <c r="AJ10" s="1103"/>
      <c r="AK10" s="1103"/>
      <c r="AL10" s="1103"/>
      <c r="AM10" s="1103"/>
      <c r="AN10" s="1103"/>
      <c r="AO10" s="1103"/>
    </row>
    <row r="11" spans="1:41" ht="30" customHeight="1">
      <c r="A11" s="1104" t="s">
        <v>2001</v>
      </c>
      <c r="B11" s="2216">
        <v>20.100000000000001</v>
      </c>
      <c r="C11" s="1189" t="s">
        <v>94</v>
      </c>
      <c r="D11" s="1556"/>
      <c r="E11" s="1212">
        <v>0</v>
      </c>
      <c r="F11" s="1557"/>
      <c r="G11" s="1070">
        <f>IF(E11=1,X11,0)</f>
        <v>0</v>
      </c>
      <c r="H11" s="1212">
        <v>0</v>
      </c>
      <c r="I11" s="1212">
        <v>0</v>
      </c>
      <c r="J11" s="1212">
        <v>0</v>
      </c>
      <c r="K11" s="1081"/>
      <c r="L11" s="2532" t="s">
        <v>1882</v>
      </c>
      <c r="M11" s="1142"/>
      <c r="N11" s="1207"/>
      <c r="O11" s="2235">
        <v>20.100000000000001</v>
      </c>
      <c r="P11" s="1422"/>
      <c r="Q11" s="1161"/>
      <c r="R11" s="1161"/>
      <c r="S11" s="1309"/>
      <c r="T11" s="1346"/>
      <c r="U11" s="1160"/>
      <c r="V11" s="1335"/>
      <c r="W11" s="1162"/>
      <c r="X11" s="1160">
        <v>4</v>
      </c>
      <c r="Y11" s="1161"/>
      <c r="Z11" s="1309"/>
      <c r="AA11" s="1160"/>
      <c r="AB11" s="1161"/>
      <c r="AC11" s="1316"/>
      <c r="AD11" s="1103"/>
      <c r="AE11" s="1103"/>
      <c r="AF11" s="1103"/>
      <c r="AG11" s="1103"/>
      <c r="AH11" s="1103"/>
      <c r="AI11" s="1103"/>
      <c r="AJ11" s="1103"/>
      <c r="AK11" s="1103"/>
      <c r="AL11" s="1103"/>
      <c r="AM11" s="1103"/>
      <c r="AN11" s="1103"/>
      <c r="AO11" s="1103"/>
    </row>
    <row r="12" spans="1:41" ht="30" customHeight="1">
      <c r="A12" s="1104" t="s">
        <v>2002</v>
      </c>
      <c r="B12" s="2217"/>
      <c r="C12" s="1190" t="s">
        <v>1838</v>
      </c>
      <c r="D12" s="1855"/>
      <c r="E12" s="1193">
        <v>0</v>
      </c>
      <c r="F12" s="1375"/>
      <c r="G12" s="1210">
        <f>IF(E11=1,IF(E12=1,X12,0),0)</f>
        <v>0</v>
      </c>
      <c r="H12" s="1629">
        <v>0</v>
      </c>
      <c r="I12" s="1629">
        <v>0</v>
      </c>
      <c r="J12" s="1629">
        <v>0</v>
      </c>
      <c r="K12" s="1217"/>
      <c r="L12" s="2533"/>
      <c r="M12" s="1142"/>
      <c r="N12" s="1207"/>
      <c r="O12" s="2528"/>
      <c r="P12" s="1306"/>
      <c r="Q12" s="1167"/>
      <c r="R12" s="1167"/>
      <c r="S12" s="1170"/>
      <c r="T12" s="1225"/>
      <c r="U12" s="1169"/>
      <c r="V12" s="1226"/>
      <c r="W12" s="1168"/>
      <c r="X12" s="1166">
        <v>2</v>
      </c>
      <c r="Y12" s="1167"/>
      <c r="Z12" s="1313"/>
      <c r="AA12" s="1166"/>
      <c r="AB12" s="1167"/>
      <c r="AC12" s="1320"/>
      <c r="AF12" s="1104"/>
      <c r="AG12" s="1104"/>
      <c r="AH12" s="1104"/>
    </row>
    <row r="13" spans="1:41" ht="30" customHeight="1">
      <c r="A13" s="1104" t="s">
        <v>2003</v>
      </c>
      <c r="B13" s="240">
        <v>20.2</v>
      </c>
      <c r="C13" s="265" t="s">
        <v>229</v>
      </c>
      <c r="D13" s="1192"/>
      <c r="E13" s="1193">
        <v>0</v>
      </c>
      <c r="F13" s="1102"/>
      <c r="G13" s="1210">
        <f>IF(E13=1,IF(F13="Simple",U13,(IF(F13="Standard",V13,(IF(F13="Complex",W13,0))))),0)</f>
        <v>0</v>
      </c>
      <c r="H13" s="1193">
        <v>0</v>
      </c>
      <c r="I13" s="1193">
        <v>0</v>
      </c>
      <c r="J13" s="1193">
        <v>0</v>
      </c>
      <c r="K13" s="1217"/>
      <c r="L13" s="2533"/>
      <c r="M13" s="1142"/>
      <c r="N13" s="1207"/>
      <c r="O13" s="1233">
        <v>20.2</v>
      </c>
      <c r="P13" s="1361"/>
      <c r="Q13" s="1151"/>
      <c r="R13" s="1151"/>
      <c r="S13" s="1314"/>
      <c r="T13" s="1153"/>
      <c r="U13" s="1154">
        <v>6</v>
      </c>
      <c r="V13" s="1227">
        <v>9</v>
      </c>
      <c r="W13" s="1152">
        <v>12</v>
      </c>
      <c r="X13" s="1150"/>
      <c r="Y13" s="1151"/>
      <c r="Z13" s="1293"/>
      <c r="AA13" s="1150"/>
      <c r="AB13" s="1151"/>
      <c r="AC13" s="1261"/>
      <c r="AF13" s="1104"/>
      <c r="AG13" s="1104"/>
      <c r="AH13" s="1104"/>
    </row>
    <row r="14" spans="1:41" ht="30" customHeight="1">
      <c r="A14" s="1104" t="s">
        <v>2004</v>
      </c>
      <c r="B14" s="240">
        <v>20.3</v>
      </c>
      <c r="C14" s="265" t="s">
        <v>95</v>
      </c>
      <c r="D14" s="1192"/>
      <c r="E14" s="1193">
        <v>0</v>
      </c>
      <c r="F14" s="1192"/>
      <c r="G14" s="1210">
        <f>IF(E14=1,X14,0)</f>
        <v>0</v>
      </c>
      <c r="H14" s="1193">
        <v>0</v>
      </c>
      <c r="I14" s="1193">
        <v>0</v>
      </c>
      <c r="J14" s="1193">
        <v>0</v>
      </c>
      <c r="K14" s="1217"/>
      <c r="L14" s="2533"/>
      <c r="M14" s="1142"/>
      <c r="N14" s="1207"/>
      <c r="O14" s="1233">
        <v>20.3</v>
      </c>
      <c r="P14" s="1361"/>
      <c r="Q14" s="1151"/>
      <c r="R14" s="1151"/>
      <c r="S14" s="1293"/>
      <c r="T14" s="1152"/>
      <c r="U14" s="1150"/>
      <c r="V14" s="1228"/>
      <c r="W14" s="1153"/>
      <c r="X14" s="1150">
        <v>6</v>
      </c>
      <c r="Y14" s="1151"/>
      <c r="Z14" s="1293"/>
      <c r="AA14" s="1150"/>
      <c r="AB14" s="1151"/>
      <c r="AC14" s="1261"/>
      <c r="AD14" s="1104"/>
      <c r="AE14" s="1104"/>
      <c r="AF14" s="1104"/>
      <c r="AG14" s="1104"/>
      <c r="AH14" s="1104"/>
    </row>
    <row r="15" spans="1:41" ht="30" customHeight="1">
      <c r="A15" s="1104" t="s">
        <v>2005</v>
      </c>
      <c r="B15" s="2095">
        <v>20.399999999999999</v>
      </c>
      <c r="C15" s="2097" t="s">
        <v>96</v>
      </c>
      <c r="D15" s="1210" t="s">
        <v>2790</v>
      </c>
      <c r="E15" s="1064">
        <v>0</v>
      </c>
      <c r="F15" s="1102"/>
      <c r="G15" s="1210">
        <f>ROUNDUP(ROUND(E15,2)*(IF(F15="Low",Q15,(IF(F15="Mid",R15,(IF(F15="Upper",S15,0)))))),0)</f>
        <v>0</v>
      </c>
      <c r="H15" s="1193">
        <v>0</v>
      </c>
      <c r="I15" s="1193">
        <v>0</v>
      </c>
      <c r="J15" s="1193">
        <v>0</v>
      </c>
      <c r="K15" s="1217"/>
      <c r="L15" s="2533"/>
      <c r="M15" s="1142"/>
      <c r="N15" s="1207"/>
      <c r="O15" s="2522">
        <v>20.399999999999999</v>
      </c>
      <c r="P15" s="1405"/>
      <c r="Q15" s="1384">
        <v>2</v>
      </c>
      <c r="R15" s="1384">
        <v>4</v>
      </c>
      <c r="S15" s="1385">
        <v>6</v>
      </c>
      <c r="T15" s="1386"/>
      <c r="U15" s="1382"/>
      <c r="V15" s="1387"/>
      <c r="W15" s="1388"/>
      <c r="X15" s="1382"/>
      <c r="Y15" s="1384"/>
      <c r="Z15" s="1385"/>
      <c r="AA15" s="1382"/>
      <c r="AB15" s="1384"/>
      <c r="AC15" s="1418"/>
    </row>
    <row r="16" spans="1:41" ht="27.6">
      <c r="A16" s="1104" t="s">
        <v>2006</v>
      </c>
      <c r="B16" s="2489"/>
      <c r="C16" s="2445"/>
      <c r="D16" s="1210" t="s">
        <v>2020</v>
      </c>
      <c r="E16" s="1064">
        <v>0</v>
      </c>
      <c r="F16" s="1192"/>
      <c r="G16" s="1210">
        <f>IF(E15&gt;0,E16*X16,0)</f>
        <v>0</v>
      </c>
      <c r="H16" s="1193">
        <v>0</v>
      </c>
      <c r="I16" s="1193">
        <v>0</v>
      </c>
      <c r="J16" s="1193">
        <v>0</v>
      </c>
      <c r="K16" s="1217"/>
      <c r="L16" s="2533"/>
      <c r="M16" s="1142"/>
      <c r="N16" s="1207"/>
      <c r="O16" s="2523"/>
      <c r="P16" s="1416"/>
      <c r="Q16" s="1164"/>
      <c r="R16" s="1164"/>
      <c r="S16" s="1165"/>
      <c r="T16" s="1390"/>
      <c r="U16" s="1389"/>
      <c r="V16" s="1391"/>
      <c r="W16" s="1392"/>
      <c r="X16" s="1389">
        <v>2</v>
      </c>
      <c r="Y16" s="1164"/>
      <c r="Z16" s="1165"/>
      <c r="AA16" s="1389"/>
      <c r="AB16" s="1164"/>
      <c r="AC16" s="1419"/>
    </row>
    <row r="17" spans="1:35" ht="30" customHeight="1">
      <c r="A17" s="1104" t="s">
        <v>2007</v>
      </c>
      <c r="B17" s="2489"/>
      <c r="C17" s="2445"/>
      <c r="D17" s="1210" t="s">
        <v>2021</v>
      </c>
      <c r="E17" s="1064">
        <v>0</v>
      </c>
      <c r="F17" s="1192"/>
      <c r="G17" s="1210">
        <f>IF(E15&gt;0,E17*X17,0)</f>
        <v>0</v>
      </c>
      <c r="H17" s="1193">
        <v>0</v>
      </c>
      <c r="I17" s="1193">
        <v>0</v>
      </c>
      <c r="J17" s="1193">
        <v>0</v>
      </c>
      <c r="K17" s="1217"/>
      <c r="L17" s="2533"/>
      <c r="M17" s="1142"/>
      <c r="N17" s="1207"/>
      <c r="O17" s="2523"/>
      <c r="P17" s="1421"/>
      <c r="Q17" s="1413"/>
      <c r="R17" s="1413"/>
      <c r="S17" s="1417"/>
      <c r="T17" s="1345"/>
      <c r="U17" s="1412"/>
      <c r="V17" s="1414"/>
      <c r="W17" s="1415"/>
      <c r="X17" s="1412">
        <v>4</v>
      </c>
      <c r="Y17" s="1413"/>
      <c r="Z17" s="1417"/>
      <c r="AA17" s="1412"/>
      <c r="AB17" s="1413"/>
      <c r="AC17" s="1420"/>
    </row>
    <row r="18" spans="1:35" ht="30" customHeight="1">
      <c r="A18" s="1104" t="s">
        <v>2008</v>
      </c>
      <c r="B18" s="2096"/>
      <c r="C18" s="2521"/>
      <c r="D18" s="1210" t="s">
        <v>2026</v>
      </c>
      <c r="E18" s="1064">
        <v>0</v>
      </c>
      <c r="F18" s="1192"/>
      <c r="G18" s="1210">
        <f>IF(E15&gt;0,E18*X18,0)</f>
        <v>0</v>
      </c>
      <c r="H18" s="1193">
        <v>0</v>
      </c>
      <c r="I18" s="1193">
        <v>0</v>
      </c>
      <c r="J18" s="1193">
        <v>0</v>
      </c>
      <c r="K18" s="1217"/>
      <c r="L18" s="2533"/>
      <c r="M18" s="1142"/>
      <c r="N18" s="1207"/>
      <c r="O18" s="2530"/>
      <c r="P18" s="1306"/>
      <c r="Q18" s="1167"/>
      <c r="R18" s="1167"/>
      <c r="S18" s="1313"/>
      <c r="T18" s="1168"/>
      <c r="U18" s="1166"/>
      <c r="V18" s="1423"/>
      <c r="W18" s="1225"/>
      <c r="X18" s="1166">
        <v>8</v>
      </c>
      <c r="Y18" s="1167"/>
      <c r="Z18" s="1313"/>
      <c r="AA18" s="1166"/>
      <c r="AB18" s="1167"/>
      <c r="AC18" s="1320"/>
    </row>
    <row r="19" spans="1:35" ht="30" customHeight="1">
      <c r="A19" s="1104" t="s">
        <v>2009</v>
      </c>
      <c r="B19" s="2095">
        <v>20.5</v>
      </c>
      <c r="C19" s="2097" t="s">
        <v>207</v>
      </c>
      <c r="D19" s="2234" t="s">
        <v>617</v>
      </c>
      <c r="E19" s="1064">
        <v>0</v>
      </c>
      <c r="F19" s="1138" t="s">
        <v>1883</v>
      </c>
      <c r="G19" s="1139">
        <f>E19*U19</f>
        <v>0</v>
      </c>
      <c r="H19" s="1193">
        <v>0</v>
      </c>
      <c r="I19" s="1193">
        <v>0</v>
      </c>
      <c r="J19" s="1193">
        <v>0</v>
      </c>
      <c r="K19" s="1217"/>
      <c r="L19" s="2533"/>
      <c r="M19" s="1142"/>
      <c r="O19" s="2522">
        <v>20.5</v>
      </c>
      <c r="P19" s="1359"/>
      <c r="Q19" s="1384"/>
      <c r="R19" s="1384"/>
      <c r="S19" s="1385"/>
      <c r="T19" s="1386"/>
      <c r="U19" s="1382">
        <v>2</v>
      </c>
      <c r="V19" s="1383"/>
      <c r="W19" s="1388"/>
      <c r="X19" s="1382"/>
      <c r="Y19" s="1384"/>
      <c r="Z19" s="1385"/>
      <c r="AA19" s="1382"/>
      <c r="AB19" s="1384"/>
      <c r="AC19" s="1418"/>
    </row>
    <row r="20" spans="1:35" ht="30" customHeight="1">
      <c r="A20" s="1104" t="s">
        <v>2010</v>
      </c>
      <c r="B20" s="2489"/>
      <c r="C20" s="2445"/>
      <c r="D20" s="2260"/>
      <c r="E20" s="1064">
        <v>0</v>
      </c>
      <c r="F20" s="1138" t="s">
        <v>1833</v>
      </c>
      <c r="G20" s="1139">
        <f>E20*V20</f>
        <v>0</v>
      </c>
      <c r="H20" s="1193">
        <v>0</v>
      </c>
      <c r="I20" s="1193">
        <v>0</v>
      </c>
      <c r="J20" s="1193">
        <v>0</v>
      </c>
      <c r="K20" s="1217"/>
      <c r="L20" s="2533"/>
      <c r="M20" s="1142"/>
      <c r="N20" s="1207"/>
      <c r="O20" s="2523"/>
      <c r="P20" s="1410"/>
      <c r="Q20" s="1164"/>
      <c r="R20" s="1164"/>
      <c r="S20" s="1165"/>
      <c r="T20" s="1390"/>
      <c r="U20" s="1389"/>
      <c r="V20" s="1336">
        <v>4</v>
      </c>
      <c r="W20" s="1392"/>
      <c r="X20" s="1389"/>
      <c r="Y20" s="1164"/>
      <c r="Z20" s="1165"/>
      <c r="AA20" s="1389"/>
      <c r="AB20" s="1164"/>
      <c r="AC20" s="1419"/>
    </row>
    <row r="21" spans="1:35" ht="30" customHeight="1">
      <c r="A21" s="1104" t="s">
        <v>2011</v>
      </c>
      <c r="B21" s="2096"/>
      <c r="C21" s="2521"/>
      <c r="D21" s="2235"/>
      <c r="E21" s="1064">
        <v>0</v>
      </c>
      <c r="F21" s="1138" t="s">
        <v>1834</v>
      </c>
      <c r="G21" s="1139">
        <f>E21*W21</f>
        <v>0</v>
      </c>
      <c r="H21" s="1193">
        <v>0</v>
      </c>
      <c r="I21" s="1193">
        <v>0</v>
      </c>
      <c r="J21" s="1193">
        <v>0</v>
      </c>
      <c r="K21" s="1217"/>
      <c r="L21" s="2533"/>
      <c r="M21" s="1142"/>
      <c r="N21" s="1142"/>
      <c r="O21" s="2524"/>
      <c r="P21" s="1360"/>
      <c r="Q21" s="1246"/>
      <c r="R21" s="1246"/>
      <c r="S21" s="1295"/>
      <c r="T21" s="1249"/>
      <c r="U21" s="1245"/>
      <c r="V21" s="1248"/>
      <c r="W21" s="1249">
        <v>6</v>
      </c>
      <c r="X21" s="1245"/>
      <c r="Y21" s="1246"/>
      <c r="Z21" s="1295"/>
      <c r="AA21" s="1245"/>
      <c r="AB21" s="1246"/>
      <c r="AC21" s="1260"/>
    </row>
    <row r="22" spans="1:35" ht="30" customHeight="1">
      <c r="A22" s="1104" t="s">
        <v>2012</v>
      </c>
      <c r="B22" s="2095">
        <v>20.6</v>
      </c>
      <c r="C22" s="2097" t="s">
        <v>1884</v>
      </c>
      <c r="D22" s="2234" t="s">
        <v>1885</v>
      </c>
      <c r="E22" s="1064">
        <v>0</v>
      </c>
      <c r="F22" s="1138" t="s">
        <v>1883</v>
      </c>
      <c r="G22" s="1139">
        <f>E22*U22</f>
        <v>0</v>
      </c>
      <c r="H22" s="1193">
        <v>0</v>
      </c>
      <c r="I22" s="1193">
        <v>0</v>
      </c>
      <c r="J22" s="1193">
        <v>0</v>
      </c>
      <c r="K22" s="1217"/>
      <c r="L22" s="2533"/>
      <c r="M22" s="1142"/>
      <c r="N22" s="1204"/>
      <c r="O22" s="2522">
        <v>20.6</v>
      </c>
      <c r="P22" s="1411"/>
      <c r="Q22" s="1161"/>
      <c r="R22" s="1161"/>
      <c r="S22" s="1309"/>
      <c r="T22" s="1162"/>
      <c r="U22" s="1160">
        <v>4</v>
      </c>
      <c r="V22" s="1380"/>
      <c r="W22" s="1381"/>
      <c r="X22" s="1302"/>
      <c r="Y22" s="1161"/>
      <c r="Z22" s="1309"/>
      <c r="AA22" s="1160"/>
      <c r="AB22" s="1161"/>
      <c r="AC22" s="1316"/>
      <c r="AH22" s="1077"/>
      <c r="AI22" s="1077"/>
    </row>
    <row r="23" spans="1:35" ht="30" customHeight="1">
      <c r="A23" s="1104" t="s">
        <v>2013</v>
      </c>
      <c r="B23" s="2489"/>
      <c r="C23" s="2445"/>
      <c r="D23" s="2235"/>
      <c r="E23" s="1064">
        <v>0</v>
      </c>
      <c r="F23" s="1138" t="s">
        <v>1833</v>
      </c>
      <c r="G23" s="1139">
        <f>E23*V23</f>
        <v>0</v>
      </c>
      <c r="H23" s="1193">
        <v>0</v>
      </c>
      <c r="I23" s="1193">
        <v>0</v>
      </c>
      <c r="J23" s="1193">
        <v>0</v>
      </c>
      <c r="K23" s="1218"/>
      <c r="L23" s="2533"/>
      <c r="M23" s="1142"/>
      <c r="N23" s="1204"/>
      <c r="O23" s="2523"/>
      <c r="P23" s="1362"/>
      <c r="Q23" s="1246"/>
      <c r="R23" s="1246"/>
      <c r="S23" s="1295"/>
      <c r="T23" s="1249"/>
      <c r="U23" s="1290"/>
      <c r="V23" s="1379">
        <v>8</v>
      </c>
      <c r="W23" s="1247"/>
      <c r="X23" s="1245"/>
      <c r="Y23" s="1246"/>
      <c r="Z23" s="1295"/>
      <c r="AA23" s="1245"/>
      <c r="AB23" s="1246"/>
      <c r="AC23" s="1260"/>
      <c r="AH23" s="1077"/>
      <c r="AI23" s="1077"/>
    </row>
    <row r="24" spans="1:35" ht="30" customHeight="1">
      <c r="A24" s="1104" t="s">
        <v>2014</v>
      </c>
      <c r="B24" s="240">
        <v>20.7</v>
      </c>
      <c r="C24" s="495" t="s">
        <v>1886</v>
      </c>
      <c r="D24" s="1210" t="s">
        <v>1887</v>
      </c>
      <c r="E24" s="1064">
        <v>0</v>
      </c>
      <c r="F24" s="1192"/>
      <c r="G24" s="1210">
        <f>E24*X24</f>
        <v>0</v>
      </c>
      <c r="H24" s="1193">
        <v>0</v>
      </c>
      <c r="I24" s="1193">
        <v>0</v>
      </c>
      <c r="J24" s="1193">
        <v>0</v>
      </c>
      <c r="K24" s="1217"/>
      <c r="L24" s="2533"/>
      <c r="M24" s="1142"/>
      <c r="N24" s="1204"/>
      <c r="O24" s="1233">
        <v>20.7</v>
      </c>
      <c r="P24" s="1358"/>
      <c r="Q24" s="1151"/>
      <c r="R24" s="1151"/>
      <c r="S24" s="1293"/>
      <c r="T24" s="1152"/>
      <c r="U24" s="1150"/>
      <c r="V24" s="1228"/>
      <c r="W24" s="1153"/>
      <c r="X24" s="1150">
        <v>2</v>
      </c>
      <c r="Y24" s="1151"/>
      <c r="Z24" s="1293"/>
      <c r="AA24" s="1150"/>
      <c r="AB24" s="1151"/>
      <c r="AC24" s="1261"/>
    </row>
    <row r="25" spans="1:35" ht="30" customHeight="1">
      <c r="A25" s="1104" t="s">
        <v>2015</v>
      </c>
      <c r="B25" s="2095">
        <v>20.8</v>
      </c>
      <c r="C25" s="2097" t="s">
        <v>1888</v>
      </c>
      <c r="D25" s="1210" t="s">
        <v>1889</v>
      </c>
      <c r="E25" s="1064">
        <v>0</v>
      </c>
      <c r="F25" s="1192"/>
      <c r="G25" s="1210">
        <f>E25*X25</f>
        <v>0</v>
      </c>
      <c r="H25" s="1193">
        <v>0</v>
      </c>
      <c r="I25" s="1193">
        <v>0</v>
      </c>
      <c r="J25" s="1193">
        <v>0</v>
      </c>
      <c r="K25" s="1217"/>
      <c r="L25" s="2533"/>
      <c r="M25" s="1142"/>
      <c r="N25" s="1204"/>
      <c r="O25" s="2522">
        <v>20.8</v>
      </c>
      <c r="P25" s="1359"/>
      <c r="Q25" s="1384"/>
      <c r="R25" s="1384"/>
      <c r="S25" s="1385"/>
      <c r="T25" s="1386"/>
      <c r="U25" s="1382"/>
      <c r="V25" s="1387"/>
      <c r="W25" s="1388"/>
      <c r="X25" s="1382">
        <v>3</v>
      </c>
      <c r="Y25" s="1384"/>
      <c r="Z25" s="1385"/>
      <c r="AA25" s="1382"/>
      <c r="AB25" s="1384"/>
      <c r="AC25" s="1418"/>
    </row>
    <row r="26" spans="1:35" ht="30" customHeight="1">
      <c r="A26" s="1104" t="s">
        <v>2016</v>
      </c>
      <c r="B26" s="2489"/>
      <c r="C26" s="2445"/>
      <c r="D26" s="2528" t="s">
        <v>2040</v>
      </c>
      <c r="E26" s="1064">
        <v>0</v>
      </c>
      <c r="F26" s="1138" t="s">
        <v>1833</v>
      </c>
      <c r="G26" s="1139">
        <f>E26*V26</f>
        <v>0</v>
      </c>
      <c r="H26" s="1193">
        <v>0</v>
      </c>
      <c r="I26" s="1193">
        <v>0</v>
      </c>
      <c r="J26" s="1193">
        <v>0</v>
      </c>
      <c r="K26" s="1888"/>
      <c r="L26" s="2533"/>
      <c r="M26" s="1142"/>
      <c r="N26" s="1204"/>
      <c r="O26" s="2523"/>
      <c r="P26" s="1410"/>
      <c r="Q26" s="1164"/>
      <c r="R26" s="1164"/>
      <c r="S26" s="1165"/>
      <c r="T26" s="1390"/>
      <c r="U26" s="1389"/>
      <c r="V26" s="1391">
        <v>6</v>
      </c>
      <c r="W26" s="1392"/>
      <c r="X26" s="1389"/>
      <c r="Y26" s="1164"/>
      <c r="Z26" s="1165"/>
      <c r="AA26" s="1389"/>
      <c r="AB26" s="1164"/>
      <c r="AC26" s="1419"/>
    </row>
    <row r="27" spans="1:35" ht="30" customHeight="1" thickBot="1">
      <c r="A27" s="1104" t="s">
        <v>2017</v>
      </c>
      <c r="B27" s="2526"/>
      <c r="C27" s="2527"/>
      <c r="D27" s="2529"/>
      <c r="E27" s="1221">
        <v>0</v>
      </c>
      <c r="F27" s="1798" t="s">
        <v>1834</v>
      </c>
      <c r="G27" s="1889">
        <f>E27*W27</f>
        <v>0</v>
      </c>
      <c r="H27" s="1196">
        <v>0</v>
      </c>
      <c r="I27" s="1196">
        <v>0</v>
      </c>
      <c r="J27" s="1196">
        <v>0</v>
      </c>
      <c r="K27" s="1082"/>
      <c r="L27" s="2533"/>
      <c r="M27" s="1142"/>
      <c r="N27" s="1204"/>
      <c r="O27" s="2524"/>
      <c r="P27" s="1360"/>
      <c r="Q27" s="1246"/>
      <c r="R27" s="1246"/>
      <c r="S27" s="1295"/>
      <c r="T27" s="1249"/>
      <c r="U27" s="1169"/>
      <c r="V27" s="1423"/>
      <c r="W27" s="1225">
        <v>9</v>
      </c>
      <c r="X27" s="1166"/>
      <c r="Y27" s="1167"/>
      <c r="Z27" s="1313"/>
      <c r="AA27" s="1166"/>
      <c r="AB27" s="1167"/>
      <c r="AC27" s="1320"/>
    </row>
    <row r="28" spans="1:35" ht="19.2" customHeight="1" thickBot="1">
      <c r="B28" s="2246" t="s">
        <v>1890</v>
      </c>
      <c r="C28" s="2247"/>
      <c r="D28" s="2247"/>
      <c r="E28" s="2247"/>
      <c r="F28" s="2247"/>
      <c r="G28" s="1079">
        <f>SUM(G11:G27)</f>
        <v>0</v>
      </c>
      <c r="H28" s="1079">
        <f>SUM(H11:H27)</f>
        <v>0</v>
      </c>
      <c r="I28" s="1079">
        <f>SUM(I11:I27)</f>
        <v>0</v>
      </c>
      <c r="J28" s="1080">
        <f>SUM(J11:J27)</f>
        <v>0</v>
      </c>
      <c r="K28" s="1198"/>
      <c r="L28" s="2189"/>
      <c r="M28" s="1173"/>
      <c r="N28" s="1142"/>
      <c r="O28" s="1142"/>
      <c r="P28" s="1142"/>
      <c r="Q28" s="1207"/>
      <c r="R28" s="1207"/>
      <c r="S28" s="1207"/>
      <c r="T28" s="1207"/>
      <c r="U28" s="1145"/>
      <c r="V28" s="1144"/>
      <c r="W28" s="1144"/>
      <c r="X28" s="1144"/>
      <c r="Y28" s="1234"/>
      <c r="Z28" s="1234"/>
      <c r="AA28" s="1234"/>
      <c r="AB28" s="1234"/>
      <c r="AC28" s="1234"/>
    </row>
    <row r="29" spans="1:35" ht="30" customHeight="1">
      <c r="A29" s="1104" t="s">
        <v>2018</v>
      </c>
      <c r="B29" s="240">
        <v>20.9</v>
      </c>
      <c r="C29" s="1189" t="s">
        <v>307</v>
      </c>
      <c r="D29" s="1070" t="s">
        <v>878</v>
      </c>
      <c r="E29" s="1211">
        <v>1</v>
      </c>
      <c r="F29" s="1347">
        <v>0.05</v>
      </c>
      <c r="G29" s="1578">
        <f>IF($E29=0,0,ROUNDUP($F29*G28,0))</f>
        <v>0</v>
      </c>
      <c r="H29" s="1578">
        <f>IF($E29=0,0,ROUNDUP($F29*H28,0))</f>
        <v>0</v>
      </c>
      <c r="I29" s="1578">
        <f>IF($E29=0,0,ROUNDUP($F29*I28,0))</f>
        <v>0</v>
      </c>
      <c r="J29" s="1065">
        <f>IF($E29=0,0,ROUNDUP($F29*J28,0))</f>
        <v>0</v>
      </c>
      <c r="K29" s="1081"/>
      <c r="L29" s="2190"/>
      <c r="M29" s="1173"/>
      <c r="N29" s="1142"/>
      <c r="O29" s="1233">
        <v>20.9</v>
      </c>
      <c r="P29" s="1330"/>
      <c r="Q29" s="1228"/>
      <c r="R29" s="1206"/>
      <c r="S29" s="1314"/>
      <c r="T29" s="1153"/>
      <c r="U29" s="1150"/>
      <c r="V29" s="1228"/>
      <c r="W29" s="1153"/>
      <c r="X29" s="1150"/>
      <c r="Y29" s="1151"/>
      <c r="Z29" s="1293"/>
      <c r="AA29" s="1150"/>
      <c r="AB29" s="1293"/>
      <c r="AC29" s="1152"/>
    </row>
    <row r="30" spans="1:35" ht="30" customHeight="1" thickBot="1">
      <c r="A30" s="1104" t="s">
        <v>2019</v>
      </c>
      <c r="B30" s="1135">
        <v>20.100000000000001</v>
      </c>
      <c r="C30" s="1197" t="s">
        <v>169</v>
      </c>
      <c r="D30" s="1071" t="s">
        <v>878</v>
      </c>
      <c r="E30" s="1211">
        <v>1</v>
      </c>
      <c r="F30" s="1560">
        <v>0.05</v>
      </c>
      <c r="G30" s="1559">
        <f>IF($E30=0,0,ROUNDUP($F30*G28,0))</f>
        <v>0</v>
      </c>
      <c r="H30" s="1559">
        <f>IF($E30=0,0,ROUNDUP($F30*H28,0))</f>
        <v>0</v>
      </c>
      <c r="I30" s="1559">
        <f>IF($E30=0,0,ROUNDUP($F30*I28,0))</f>
        <v>0</v>
      </c>
      <c r="J30" s="1065">
        <f>IF($E30=0,0,ROUNDUP($F30*J28,0))</f>
        <v>0</v>
      </c>
      <c r="K30" s="1082"/>
      <c r="L30" s="2190"/>
      <c r="M30" s="1173"/>
      <c r="N30" s="1142"/>
      <c r="O30" s="1253">
        <v>20.100000000000001</v>
      </c>
      <c r="P30" s="1364"/>
      <c r="Q30" s="1228"/>
      <c r="R30" s="1206"/>
      <c r="S30" s="1314"/>
      <c r="T30" s="1247"/>
      <c r="U30" s="1245"/>
      <c r="V30" s="1228"/>
      <c r="W30" s="1153"/>
      <c r="X30" s="1150"/>
      <c r="Y30" s="1151"/>
      <c r="Z30" s="1293"/>
      <c r="AA30" s="1150"/>
      <c r="AB30" s="1293"/>
      <c r="AC30" s="1152"/>
    </row>
    <row r="31" spans="1:35" ht="20.100000000000001" customHeight="1" thickBot="1">
      <c r="B31" s="2183" t="s">
        <v>1891</v>
      </c>
      <c r="C31" s="2184"/>
      <c r="D31" s="2184"/>
      <c r="E31" s="2184"/>
      <c r="F31" s="2185"/>
      <c r="G31" s="1132">
        <f>SUM(G28:G30)</f>
        <v>0</v>
      </c>
      <c r="H31" s="1132">
        <f>SUM(H28:H30)</f>
        <v>0</v>
      </c>
      <c r="I31" s="1132">
        <f>SUM(I28:I30)</f>
        <v>0</v>
      </c>
      <c r="J31" s="1132">
        <f>SUM(J28:J30)</f>
        <v>0</v>
      </c>
      <c r="K31" s="1199"/>
      <c r="L31" s="2191"/>
      <c r="M31" s="1142"/>
      <c r="N31" s="1142"/>
      <c r="O31" s="1142"/>
      <c r="P31" s="1142"/>
      <c r="Q31" s="1142"/>
      <c r="R31" s="1142"/>
      <c r="S31" s="1142"/>
      <c r="T31" s="1142"/>
      <c r="U31" s="1142"/>
      <c r="V31" s="1142"/>
      <c r="W31" s="1142"/>
      <c r="X31" s="1142"/>
      <c r="Y31" s="1203"/>
      <c r="Z31" s="1203"/>
      <c r="AA31" s="1203"/>
      <c r="AB31" s="1203"/>
    </row>
    <row r="32" spans="1:35">
      <c r="J32" s="182" t="s">
        <v>1858</v>
      </c>
    </row>
  </sheetData>
  <sheetProtection algorithmName="SHA-512" hashValue="6Uw43dIMEOvv7WEWGAwbBK/V4qai6jTRJvuxn/R+3UOSFojxLNJfkLpBw4xLolzpny4JNMJp4ezRcp8h8NOtVA==" saltValue="2ep1c7lpiU50hOd2yR8PVw==" spinCount="100000" sheet="1" formatCells="0" formatColumns="0" formatRows="0" insertColumns="0" insertRows="0"/>
  <mergeCells count="40">
    <mergeCell ref="X9:Z9"/>
    <mergeCell ref="AA9:AC9"/>
    <mergeCell ref="C15:C18"/>
    <mergeCell ref="B1:C3"/>
    <mergeCell ref="D1:J3"/>
    <mergeCell ref="L1:L3"/>
    <mergeCell ref="B4:C4"/>
    <mergeCell ref="D4:J4"/>
    <mergeCell ref="B5:C5"/>
    <mergeCell ref="D5:J5"/>
    <mergeCell ref="L5:L10"/>
    <mergeCell ref="B6:C6"/>
    <mergeCell ref="D6:J6"/>
    <mergeCell ref="O9:O10"/>
    <mergeCell ref="L11:L27"/>
    <mergeCell ref="O11:O12"/>
    <mergeCell ref="B31:F31"/>
    <mergeCell ref="U9:W9"/>
    <mergeCell ref="B28:F28"/>
    <mergeCell ref="L28:L31"/>
    <mergeCell ref="B25:B27"/>
    <mergeCell ref="C25:C27"/>
    <mergeCell ref="B22:B23"/>
    <mergeCell ref="C22:C23"/>
    <mergeCell ref="D22:D23"/>
    <mergeCell ref="O22:O23"/>
    <mergeCell ref="O25:O27"/>
    <mergeCell ref="D26:D27"/>
    <mergeCell ref="O15:O18"/>
    <mergeCell ref="B15:B18"/>
    <mergeCell ref="B11:B12"/>
    <mergeCell ref="B9:B10"/>
    <mergeCell ref="B19:B21"/>
    <mergeCell ref="C19:C21"/>
    <mergeCell ref="Q9:S9"/>
    <mergeCell ref="G9:J9"/>
    <mergeCell ref="D19:D21"/>
    <mergeCell ref="O19:O21"/>
    <mergeCell ref="C9:C10"/>
    <mergeCell ref="D9:F9"/>
  </mergeCells>
  <phoneticPr fontId="51" type="noConversion"/>
  <dataValidations xWindow="661" yWindow="556" count="7">
    <dataValidation type="whole" operator="greaterThanOrEqual" allowBlank="1" showInputMessage="1" showErrorMessage="1" error="Input a whole number greater than or equal to zero." sqref="E19:E21 E26:E27" xr:uid="{0458B7AD-AACF-4EAA-94DC-4D4A3AE16FD2}">
      <formula1>0</formula1>
    </dataValidation>
    <dataValidation type="list" allowBlank="1" showInputMessage="1" showErrorMessage="1" prompt="What is the estimated complexity of the roadway project?" sqref="F15" xr:uid="{A8859AE0-C762-444A-8E16-8877B275A011}">
      <formula1>$Q$10:$S$10</formula1>
    </dataValidation>
    <dataValidation type="whole" operator="greaterThanOrEqual" allowBlank="1" showInputMessage="1" showErrorMessage="1" error="Input a whole number greater or equal to zero." sqref="E22:E25 E16:E18" xr:uid="{37EFCC4D-553D-4FC8-BFE0-07BFEE2B73EE}">
      <formula1>0</formula1>
    </dataValidation>
    <dataValidation type="whole" operator="greaterThanOrEqual" allowBlank="1" showInputMessage="1" showErrorMessage="1" error="Input a positive whole number." sqref="E15" xr:uid="{B851999C-B076-4D45-B8A6-4F55AD7C667D}">
      <formula1>0</formula1>
    </dataValidation>
    <dataValidation type="whole" allowBlank="1" showInputMessage="1" showErrorMessage="1" error="Enter 1 or 0._x000a_Yes=1_x000a_No=2" sqref="E12" xr:uid="{16C508C8-763B-42AF-A52C-0D060D06D329}">
      <formula1>0</formula1>
      <formula2>1</formula2>
    </dataValidation>
    <dataValidation type="whole" allowBlank="1" showInputMessage="1" showErrorMessage="1" error="Enter 1 or 0._x000a_Yes=1_x000a_No=0" sqref="E11 E13:E14 E29:E30" xr:uid="{6ADF40F9-5CA4-4088-9D0C-D4CEFEF26D20}">
      <formula1>0</formula1>
      <formula2>1</formula2>
    </dataValidation>
    <dataValidation type="list" allowBlank="1" showInputMessage="1" showErrorMessage="1" promptTitle="Complexity" prompt="What is the estimated complexity of the General Notes/Pay Item Notes Sheet?" sqref="F13" xr:uid="{8175F748-EEDB-464F-981E-20E45E02C455}">
      <formula1>$U$10:$W$10</formula1>
    </dataValidation>
  </dataValidations>
  <hyperlinks>
    <hyperlink ref="L4" r:id="rId1" display="Video Tutorial - A short webinar for the Drainage Plans tab" xr:uid="{370A0D37-C2AE-4E74-B2D3-83051905D789}"/>
  </hyperlinks>
  <pageMargins left="0.7" right="0.7" top="0.75" bottom="0.75" header="0.3" footer="0.3"/>
  <ignoredErrors>
    <ignoredError sqref="K1 G19:G21" unlockedFormula="1"/>
  </ignoredError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8"/>
  <dimension ref="A1:M23"/>
  <sheetViews>
    <sheetView showGridLines="0" workbookViewId="0"/>
  </sheetViews>
  <sheetFormatPr defaultColWidth="9.109375" defaultRowHeight="13.2"/>
  <cols>
    <col min="1" max="1" width="118.33203125" style="230" customWidth="1"/>
    <col min="2" max="16384" width="9.109375" style="230"/>
  </cols>
  <sheetData>
    <row r="1" spans="1:13">
      <c r="A1" s="550" t="s">
        <v>1300</v>
      </c>
    </row>
    <row r="2" spans="1:13">
      <c r="A2" s="237"/>
      <c r="M2" s="230" t="s">
        <v>400</v>
      </c>
    </row>
    <row r="3" spans="1:13" ht="66">
      <c r="A3" s="237" t="s">
        <v>1295</v>
      </c>
    </row>
    <row r="4" spans="1:13">
      <c r="A4" s="237"/>
    </row>
    <row r="5" spans="1:13" ht="39.6">
      <c r="A5" s="237" t="s">
        <v>1301</v>
      </c>
    </row>
    <row r="7" spans="1:13">
      <c r="A7" s="551" t="s">
        <v>1297</v>
      </c>
    </row>
    <row r="9" spans="1:13">
      <c r="A9" s="230" t="s">
        <v>1302</v>
      </c>
    </row>
    <row r="10" spans="1:13">
      <c r="A10" s="230" t="s">
        <v>1303</v>
      </c>
    </row>
    <row r="11" spans="1:13">
      <c r="A11" s="230" t="s">
        <v>1304</v>
      </c>
    </row>
    <row r="12" spans="1:13">
      <c r="A12" s="230" t="s">
        <v>1305</v>
      </c>
    </row>
    <row r="14" spans="1:13">
      <c r="A14" s="551" t="s">
        <v>1298</v>
      </c>
    </row>
    <row r="16" spans="1:13">
      <c r="A16" s="230" t="s">
        <v>1306</v>
      </c>
    </row>
    <row r="17" spans="1:1">
      <c r="A17" s="230" t="s">
        <v>1307</v>
      </c>
    </row>
    <row r="18" spans="1:1">
      <c r="A18" s="230" t="s">
        <v>1308</v>
      </c>
    </row>
    <row r="20" spans="1:1">
      <c r="A20" s="551" t="s">
        <v>1309</v>
      </c>
    </row>
    <row r="22" spans="1:1">
      <c r="A22" s="230" t="s">
        <v>1310</v>
      </c>
    </row>
    <row r="23" spans="1:1">
      <c r="A23" s="230" t="s">
        <v>1311</v>
      </c>
    </row>
  </sheetData>
  <pageMargins left="0.75" right="0.75" top="1" bottom="1" header="0.5" footer="0.5"/>
  <pageSetup orientation="landscape" horizontalDpi="400" verticalDpi="400" r:id="rId1"/>
  <headerFooter alignWithMargins="0">
    <oddFooter>&amp;CPage &amp;P of &amp;N</oddFooter>
  </headerFooter>
  <rowBreaks count="2" manualBreakCount="2">
    <brk id="24" max="16383" man="1"/>
    <brk id="61" max="16383" man="1"/>
  </rowBreaks>
  <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8">
    <pageSetUpPr autoPageBreaks="0"/>
  </sheetPr>
  <dimension ref="A1:L45"/>
  <sheetViews>
    <sheetView showGridLines="0" showRuler="0" zoomScaleNormal="100" zoomScaleSheetLayoutView="100" workbookViewId="0"/>
  </sheetViews>
  <sheetFormatPr defaultColWidth="9.109375" defaultRowHeight="13.2"/>
  <cols>
    <col min="1" max="1" width="6.33203125" style="5" customWidth="1"/>
    <col min="2" max="2" width="50.6640625" style="5" customWidth="1"/>
    <col min="3" max="6" width="12.6640625" style="5" customWidth="1"/>
    <col min="7" max="7" width="58" style="5" customWidth="1"/>
    <col min="8" max="8" width="24.88671875" style="5" customWidth="1"/>
    <col min="9" max="9" width="12.6640625" style="5" customWidth="1"/>
    <col min="10" max="10" width="9.109375" style="5"/>
    <col min="11" max="12" width="0" style="5" hidden="1" customWidth="1"/>
    <col min="13" max="16384" width="9.109375" style="5"/>
  </cols>
  <sheetData>
    <row r="1" spans="1:9" s="552" customFormat="1" ht="20.100000000000001" customHeight="1">
      <c r="A1" s="362" t="s">
        <v>592</v>
      </c>
      <c r="B1" s="422"/>
      <c r="C1" s="422"/>
      <c r="D1" s="422"/>
      <c r="E1" s="422"/>
      <c r="F1" s="422"/>
      <c r="G1" s="422"/>
      <c r="I1" s="897" t="str">
        <f>'Project Information'!$B$3</f>
        <v>Enter project name &amp; description</v>
      </c>
    </row>
    <row r="2" spans="1:9" s="552" customFormat="1" ht="20.100000000000001" customHeight="1">
      <c r="A2" s="423"/>
      <c r="B2" s="422"/>
      <c r="C2" s="422"/>
      <c r="D2" s="422"/>
      <c r="E2" s="422"/>
      <c r="F2" s="422"/>
      <c r="G2" s="422"/>
      <c r="I2" s="897" t="str">
        <f>'Project Information'!$B$1</f>
        <v>999999-1-32-01</v>
      </c>
    </row>
    <row r="3" spans="1:9" s="225" customFormat="1" ht="14.4" thickBot="1">
      <c r="A3" s="311"/>
      <c r="B3" s="312"/>
      <c r="C3" s="313"/>
      <c r="D3" s="313"/>
      <c r="E3" s="313"/>
      <c r="F3" s="313"/>
      <c r="G3" s="313"/>
      <c r="H3" s="313"/>
      <c r="I3" s="313"/>
    </row>
    <row r="4" spans="1:9" s="225" customFormat="1" ht="28.5" customHeight="1" thickBot="1">
      <c r="A4" s="2086" t="s">
        <v>1396</v>
      </c>
      <c r="B4" s="2087"/>
      <c r="C4" s="2088" t="s">
        <v>1397</v>
      </c>
      <c r="D4" s="2088"/>
      <c r="E4" s="2088"/>
      <c r="F4" s="2088"/>
      <c r="G4" s="2339" t="s">
        <v>1398</v>
      </c>
      <c r="H4" s="2340"/>
      <c r="I4" s="2341"/>
    </row>
    <row r="5" spans="1:9" s="225" customFormat="1" ht="28.5" customHeight="1">
      <c r="A5" s="2089" t="s">
        <v>1400</v>
      </c>
      <c r="B5" s="2090"/>
      <c r="C5" s="2091"/>
      <c r="D5" s="2091"/>
      <c r="E5" s="2091"/>
      <c r="F5" s="2091"/>
      <c r="G5" s="2342"/>
      <c r="H5" s="2343"/>
      <c r="I5" s="2344"/>
    </row>
    <row r="6" spans="1:9" s="225" customFormat="1" ht="28.5" customHeight="1" thickBot="1">
      <c r="A6" s="2083" t="s">
        <v>1399</v>
      </c>
      <c r="B6" s="2084"/>
      <c r="C6" s="2085"/>
      <c r="D6" s="2085"/>
      <c r="E6" s="2085"/>
      <c r="F6" s="2085"/>
      <c r="G6" s="2329"/>
      <c r="H6" s="2330"/>
      <c r="I6" s="2331"/>
    </row>
    <row r="7" spans="1:9" s="225" customFormat="1" ht="15.6">
      <c r="A7" s="898" t="s">
        <v>1430</v>
      </c>
      <c r="B7" s="270"/>
    </row>
    <row r="8" spans="1:9" s="225" customFormat="1" ht="15" customHeight="1" thickBot="1">
      <c r="A8" s="898"/>
      <c r="B8" s="270"/>
    </row>
    <row r="9" spans="1:9" ht="48" customHeight="1">
      <c r="A9" s="434" t="s">
        <v>79</v>
      </c>
      <c r="B9" s="266" t="s">
        <v>190</v>
      </c>
      <c r="C9" s="300" t="s">
        <v>87</v>
      </c>
      <c r="D9" s="266" t="s">
        <v>45</v>
      </c>
      <c r="E9" s="266" t="s">
        <v>46</v>
      </c>
      <c r="F9" s="266" t="s">
        <v>102</v>
      </c>
      <c r="G9" s="2337" t="s">
        <v>164</v>
      </c>
      <c r="H9" s="2487"/>
      <c r="I9" s="2488"/>
    </row>
    <row r="10" spans="1:9" ht="30" customHeight="1">
      <c r="A10" s="271">
        <v>21.1</v>
      </c>
      <c r="B10" s="302" t="s">
        <v>208</v>
      </c>
      <c r="C10" s="220" t="s">
        <v>85</v>
      </c>
      <c r="D10" s="219">
        <v>1</v>
      </c>
      <c r="E10" s="962">
        <v>0</v>
      </c>
      <c r="F10" s="222">
        <f t="shared" ref="F10:F18" si="0">ROUND(D10*E10,0)</f>
        <v>0</v>
      </c>
      <c r="G10" s="2538"/>
      <c r="H10" s="2539"/>
      <c r="I10" s="2540"/>
    </row>
    <row r="11" spans="1:9" ht="30" customHeight="1">
      <c r="A11" s="271">
        <v>21.2</v>
      </c>
      <c r="B11" s="302" t="s">
        <v>88</v>
      </c>
      <c r="C11" s="220" t="s">
        <v>211</v>
      </c>
      <c r="D11" s="962">
        <v>0</v>
      </c>
      <c r="E11" s="962">
        <v>0</v>
      </c>
      <c r="F11" s="222">
        <f t="shared" si="0"/>
        <v>0</v>
      </c>
      <c r="G11" s="2538"/>
      <c r="H11" s="2539"/>
      <c r="I11" s="2540"/>
    </row>
    <row r="12" spans="1:9" ht="30" customHeight="1">
      <c r="A12" s="271">
        <v>21.3</v>
      </c>
      <c r="B12" s="302" t="s">
        <v>357</v>
      </c>
      <c r="C12" s="220" t="s">
        <v>85</v>
      </c>
      <c r="D12" s="219">
        <v>1</v>
      </c>
      <c r="E12" s="962">
        <v>0</v>
      </c>
      <c r="F12" s="222">
        <f t="shared" si="0"/>
        <v>0</v>
      </c>
      <c r="G12" s="2538"/>
      <c r="H12" s="2539"/>
      <c r="I12" s="2540"/>
    </row>
    <row r="13" spans="1:9" ht="30" customHeight="1">
      <c r="A13" s="271">
        <v>21.4</v>
      </c>
      <c r="B13" s="302" t="s">
        <v>209</v>
      </c>
      <c r="C13" s="220" t="s">
        <v>85</v>
      </c>
      <c r="D13" s="219">
        <v>1</v>
      </c>
      <c r="E13" s="962">
        <v>0</v>
      </c>
      <c r="F13" s="222">
        <f t="shared" si="0"/>
        <v>0</v>
      </c>
      <c r="G13" s="2538"/>
      <c r="H13" s="2539"/>
      <c r="I13" s="2540"/>
    </row>
    <row r="14" spans="1:9" ht="30" customHeight="1">
      <c r="A14" s="271">
        <v>21.5</v>
      </c>
      <c r="B14" s="302" t="s">
        <v>210</v>
      </c>
      <c r="C14" s="542" t="s">
        <v>211</v>
      </c>
      <c r="D14" s="962">
        <v>0</v>
      </c>
      <c r="E14" s="962">
        <v>0</v>
      </c>
      <c r="F14" s="222">
        <f t="shared" si="0"/>
        <v>0</v>
      </c>
      <c r="G14" s="2538"/>
      <c r="H14" s="2539"/>
      <c r="I14" s="2540"/>
    </row>
    <row r="15" spans="1:9" ht="30" customHeight="1">
      <c r="A15" s="271">
        <v>21.6</v>
      </c>
      <c r="B15" s="302" t="s">
        <v>212</v>
      </c>
      <c r="C15" s="220" t="s">
        <v>85</v>
      </c>
      <c r="D15" s="219">
        <v>1</v>
      </c>
      <c r="E15" s="962">
        <v>0</v>
      </c>
      <c r="F15" s="222">
        <f t="shared" si="0"/>
        <v>0</v>
      </c>
      <c r="G15" s="2538"/>
      <c r="H15" s="2539"/>
      <c r="I15" s="2540"/>
    </row>
    <row r="16" spans="1:9" ht="30" customHeight="1">
      <c r="A16" s="271">
        <v>21.7</v>
      </c>
      <c r="B16" s="302" t="s">
        <v>1016</v>
      </c>
      <c r="C16" s="542" t="s">
        <v>141</v>
      </c>
      <c r="D16" s="962">
        <v>0</v>
      </c>
      <c r="E16" s="962">
        <v>0</v>
      </c>
      <c r="F16" s="222">
        <f t="shared" si="0"/>
        <v>0</v>
      </c>
      <c r="G16" s="2538"/>
      <c r="H16" s="2539"/>
      <c r="I16" s="2540"/>
    </row>
    <row r="17" spans="1:12" ht="30" customHeight="1">
      <c r="A17" s="271">
        <v>21.8</v>
      </c>
      <c r="B17" s="302" t="s">
        <v>1017</v>
      </c>
      <c r="C17" s="220" t="s">
        <v>85</v>
      </c>
      <c r="D17" s="219">
        <v>1</v>
      </c>
      <c r="E17" s="962">
        <v>0</v>
      </c>
      <c r="F17" s="222">
        <f t="shared" si="0"/>
        <v>0</v>
      </c>
      <c r="G17" s="2538"/>
      <c r="H17" s="2539"/>
      <c r="I17" s="2540"/>
    </row>
    <row r="18" spans="1:12" s="553" customFormat="1" ht="30" customHeight="1">
      <c r="A18" s="271">
        <v>21.9</v>
      </c>
      <c r="B18" s="302" t="s">
        <v>1019</v>
      </c>
      <c r="C18" s="220" t="s">
        <v>85</v>
      </c>
      <c r="D18" s="219">
        <v>1</v>
      </c>
      <c r="E18" s="962">
        <v>0</v>
      </c>
      <c r="F18" s="222">
        <f t="shared" si="0"/>
        <v>0</v>
      </c>
      <c r="G18" s="2538"/>
      <c r="H18" s="2539"/>
      <c r="I18" s="2540"/>
    </row>
    <row r="19" spans="1:12" ht="30" customHeight="1">
      <c r="A19" s="2556">
        <v>21.1</v>
      </c>
      <c r="B19" s="2097" t="s">
        <v>2041</v>
      </c>
      <c r="C19" s="2498" t="s">
        <v>2000</v>
      </c>
      <c r="D19" s="2542">
        <v>0</v>
      </c>
      <c r="E19" s="374" t="s">
        <v>1868</v>
      </c>
      <c r="F19" s="2490">
        <v>0</v>
      </c>
      <c r="G19" s="2492"/>
      <c r="H19" s="2493"/>
      <c r="I19" s="2494"/>
      <c r="K19" s="5" t="s">
        <v>1840</v>
      </c>
      <c r="L19" s="5">
        <v>20</v>
      </c>
    </row>
    <row r="20" spans="1:12" ht="30" customHeight="1">
      <c r="A20" s="2557"/>
      <c r="B20" s="2098"/>
      <c r="C20" s="2541"/>
      <c r="D20" s="2543"/>
      <c r="E20" s="324">
        <f>ROUNDUP(IF(D19=0,0,IF(D19&lt;=1,L19,L19+((D19-1)*L20))),0)</f>
        <v>0</v>
      </c>
      <c r="F20" s="2534"/>
      <c r="G20" s="2535"/>
      <c r="H20" s="2536"/>
      <c r="I20" s="2537"/>
      <c r="K20" s="5" t="s">
        <v>1842</v>
      </c>
      <c r="L20" s="5">
        <v>4</v>
      </c>
    </row>
    <row r="21" spans="1:12" ht="30" customHeight="1">
      <c r="A21" s="274">
        <v>21.11</v>
      </c>
      <c r="B21" s="1555" t="s">
        <v>189</v>
      </c>
      <c r="C21" s="542" t="s">
        <v>85</v>
      </c>
      <c r="D21" s="222">
        <v>1</v>
      </c>
      <c r="E21" s="962">
        <v>0</v>
      </c>
      <c r="F21" s="222">
        <f>ROUND(D21*E21,0)</f>
        <v>0</v>
      </c>
      <c r="G21" s="2538"/>
      <c r="H21" s="2539"/>
      <c r="I21" s="2540"/>
    </row>
    <row r="22" spans="1:12" ht="30" customHeight="1">
      <c r="A22" s="274">
        <v>21.12</v>
      </c>
      <c r="B22" s="302" t="s">
        <v>1637</v>
      </c>
      <c r="C22" s="542" t="s">
        <v>85</v>
      </c>
      <c r="D22" s="222">
        <v>1</v>
      </c>
      <c r="E22" s="962">
        <v>0</v>
      </c>
      <c r="F22" s="222">
        <f>ROUND(D22*E22,0)</f>
        <v>0</v>
      </c>
      <c r="G22" s="2538"/>
      <c r="H22" s="2539"/>
      <c r="I22" s="2540"/>
    </row>
    <row r="23" spans="1:12" ht="30" customHeight="1">
      <c r="A23" s="274">
        <v>21.13</v>
      </c>
      <c r="B23" s="302" t="s">
        <v>1035</v>
      </c>
      <c r="C23" s="542" t="s">
        <v>85</v>
      </c>
      <c r="D23" s="222">
        <v>1</v>
      </c>
      <c r="E23" s="962">
        <v>0</v>
      </c>
      <c r="F23" s="222">
        <f>ROUND(D23*E23,0)</f>
        <v>0</v>
      </c>
      <c r="G23" s="2538"/>
      <c r="H23" s="2539"/>
      <c r="I23" s="2540"/>
    </row>
    <row r="24" spans="1:12" ht="20.100000000000001" customHeight="1">
      <c r="A24" s="2512" t="s">
        <v>447</v>
      </c>
      <c r="B24" s="2513"/>
      <c r="C24" s="2513"/>
      <c r="D24" s="2513"/>
      <c r="E24" s="2513"/>
      <c r="F24" s="247">
        <f>SUM(F10:F23)</f>
        <v>0</v>
      </c>
      <c r="G24" s="2546"/>
      <c r="H24" s="2484"/>
      <c r="I24" s="2485"/>
    </row>
    <row r="25" spans="1:12" s="554" customFormat="1" ht="30" customHeight="1">
      <c r="A25" s="274">
        <v>21.14</v>
      </c>
      <c r="B25" s="555" t="s">
        <v>133</v>
      </c>
      <c r="C25" s="542" t="s">
        <v>85</v>
      </c>
      <c r="D25" s="222">
        <v>1</v>
      </c>
      <c r="E25" s="962">
        <v>0</v>
      </c>
      <c r="F25" s="222">
        <f>ROUND(D25*E25,0)</f>
        <v>0</v>
      </c>
      <c r="G25" s="2538"/>
      <c r="H25" s="2539"/>
      <c r="I25" s="2540"/>
    </row>
    <row r="26" spans="1:12" ht="30" customHeight="1">
      <c r="A26" s="274">
        <v>21.15</v>
      </c>
      <c r="B26" s="302" t="s">
        <v>707</v>
      </c>
      <c r="C26" s="220" t="s">
        <v>85</v>
      </c>
      <c r="D26" s="222">
        <v>1</v>
      </c>
      <c r="E26" s="222">
        <f>F44</f>
        <v>0</v>
      </c>
      <c r="F26" s="222">
        <f>ROUND(D26*E26,0)</f>
        <v>0</v>
      </c>
      <c r="G26" s="2538" t="s">
        <v>578</v>
      </c>
      <c r="H26" s="2539"/>
      <c r="I26" s="2540"/>
    </row>
    <row r="27" spans="1:12" ht="30" customHeight="1">
      <c r="A27" s="274">
        <v>21.16</v>
      </c>
      <c r="B27" s="302" t="s">
        <v>307</v>
      </c>
      <c r="C27" s="220" t="s">
        <v>85</v>
      </c>
      <c r="D27" s="219" t="s">
        <v>878</v>
      </c>
      <c r="E27" s="965">
        <v>0</v>
      </c>
      <c r="F27" s="222">
        <f>ROUND(E27*F24,0)</f>
        <v>0</v>
      </c>
      <c r="G27" s="2538"/>
      <c r="H27" s="2539"/>
      <c r="I27" s="2540"/>
    </row>
    <row r="28" spans="1:12" ht="30" customHeight="1">
      <c r="A28" s="274">
        <v>21.17</v>
      </c>
      <c r="B28" s="605" t="s">
        <v>92</v>
      </c>
      <c r="C28" s="542" t="s">
        <v>85</v>
      </c>
      <c r="D28" s="219" t="s">
        <v>878</v>
      </c>
      <c r="E28" s="965">
        <v>0</v>
      </c>
      <c r="F28" s="222">
        <f>ROUND(E28*F24,0)</f>
        <v>0</v>
      </c>
      <c r="G28" s="2538"/>
      <c r="H28" s="2539"/>
      <c r="I28" s="2540"/>
    </row>
    <row r="29" spans="1:12" ht="30" customHeight="1">
      <c r="A29" s="274">
        <v>21.18</v>
      </c>
      <c r="B29" s="302" t="s">
        <v>169</v>
      </c>
      <c r="C29" s="220" t="s">
        <v>85</v>
      </c>
      <c r="D29" s="219" t="s">
        <v>878</v>
      </c>
      <c r="E29" s="965">
        <v>0</v>
      </c>
      <c r="F29" s="222">
        <f>ROUND(E29*F24,0)</f>
        <v>0</v>
      </c>
      <c r="G29" s="2538"/>
      <c r="H29" s="2539"/>
      <c r="I29" s="2540"/>
    </row>
    <row r="30" spans="1:12" ht="20.100000000000001" customHeight="1">
      <c r="A30" s="2512" t="s">
        <v>641</v>
      </c>
      <c r="B30" s="2513"/>
      <c r="C30" s="2513"/>
      <c r="D30" s="2513"/>
      <c r="E30" s="2513"/>
      <c r="F30" s="247">
        <f>SUM(F25:F29)</f>
        <v>0</v>
      </c>
      <c r="G30" s="2546"/>
      <c r="H30" s="2484"/>
      <c r="I30" s="2485"/>
    </row>
    <row r="31" spans="1:12" ht="30" customHeight="1">
      <c r="A31" s="274">
        <v>21.19</v>
      </c>
      <c r="B31" s="605" t="s">
        <v>78</v>
      </c>
      <c r="C31" s="542" t="s">
        <v>85</v>
      </c>
      <c r="D31" s="220" t="s">
        <v>878</v>
      </c>
      <c r="E31" s="965">
        <v>0</v>
      </c>
      <c r="F31" s="222">
        <f>ROUND(E31*(F30+F24),0)</f>
        <v>0</v>
      </c>
      <c r="G31" s="2538"/>
      <c r="H31" s="2539"/>
      <c r="I31" s="2540"/>
    </row>
    <row r="32" spans="1:12" ht="20.100000000000001" customHeight="1" thickBot="1">
      <c r="A32" s="2518" t="s">
        <v>642</v>
      </c>
      <c r="B32" s="2519"/>
      <c r="C32" s="2519"/>
      <c r="D32" s="2519"/>
      <c r="E32" s="2519"/>
      <c r="F32" s="248">
        <f>SUM(F24,F30,F31)</f>
        <v>0</v>
      </c>
      <c r="G32" s="2547"/>
      <c r="H32" s="2548"/>
      <c r="I32" s="2549"/>
    </row>
    <row r="33" spans="1:9" ht="20.100000000000001" customHeight="1" thickBot="1">
      <c r="A33" s="561"/>
      <c r="B33" s="562"/>
      <c r="C33" s="562"/>
      <c r="D33" s="562"/>
      <c r="E33" s="562"/>
      <c r="F33" s="338"/>
      <c r="G33" s="338"/>
      <c r="H33" s="145"/>
      <c r="I33" s="146"/>
    </row>
    <row r="34" spans="1:9" s="268" customFormat="1" ht="36.75" customHeight="1" thickBot="1">
      <c r="A34" s="2389" t="s">
        <v>82</v>
      </c>
      <c r="B34" s="2088"/>
      <c r="C34" s="279" t="s">
        <v>87</v>
      </c>
      <c r="D34" s="279" t="s">
        <v>101</v>
      </c>
      <c r="E34" s="279" t="s">
        <v>706</v>
      </c>
      <c r="F34" s="279" t="s">
        <v>102</v>
      </c>
      <c r="G34" s="279" t="s">
        <v>164</v>
      </c>
      <c r="H34" s="279" t="s">
        <v>575</v>
      </c>
      <c r="I34" s="280" t="s">
        <v>576</v>
      </c>
    </row>
    <row r="35" spans="1:9" s="268" customFormat="1" ht="20.100000000000001" customHeight="1">
      <c r="A35" s="2554" t="s">
        <v>837</v>
      </c>
      <c r="B35" s="2555"/>
      <c r="C35" s="281" t="s">
        <v>141</v>
      </c>
      <c r="D35" s="974">
        <v>0</v>
      </c>
      <c r="E35" s="974">
        <v>0</v>
      </c>
      <c r="F35" s="244">
        <f t="shared" ref="F35:F40" si="1">E35*D35</f>
        <v>0</v>
      </c>
      <c r="G35" s="998"/>
      <c r="H35" s="282"/>
      <c r="I35" s="977">
        <v>0</v>
      </c>
    </row>
    <row r="36" spans="1:9" s="268" customFormat="1" ht="20.100000000000001" customHeight="1">
      <c r="A36" s="2552" t="s">
        <v>838</v>
      </c>
      <c r="B36" s="2553"/>
      <c r="C36" s="283" t="s">
        <v>141</v>
      </c>
      <c r="D36" s="975">
        <v>0</v>
      </c>
      <c r="E36" s="975">
        <v>0</v>
      </c>
      <c r="F36" s="245">
        <f t="shared" si="1"/>
        <v>0</v>
      </c>
      <c r="G36" s="999"/>
      <c r="H36" s="284"/>
      <c r="I36" s="978">
        <v>0</v>
      </c>
    </row>
    <row r="37" spans="1:9" s="268" customFormat="1" ht="20.100000000000001" customHeight="1">
      <c r="A37" s="2093" t="s">
        <v>1033</v>
      </c>
      <c r="B37" s="2094"/>
      <c r="C37" s="283" t="s">
        <v>141</v>
      </c>
      <c r="D37" s="975">
        <v>0</v>
      </c>
      <c r="E37" s="975">
        <v>0</v>
      </c>
      <c r="F37" s="245">
        <f t="shared" si="1"/>
        <v>0</v>
      </c>
      <c r="G37" s="999"/>
      <c r="H37" s="284"/>
      <c r="I37" s="978">
        <v>0</v>
      </c>
    </row>
    <row r="38" spans="1:9" s="268" customFormat="1" ht="20.100000000000001" customHeight="1">
      <c r="A38" s="2093" t="s">
        <v>1034</v>
      </c>
      <c r="B38" s="2094"/>
      <c r="C38" s="283" t="s">
        <v>141</v>
      </c>
      <c r="D38" s="975">
        <v>0</v>
      </c>
      <c r="E38" s="975">
        <v>0</v>
      </c>
      <c r="F38" s="245">
        <f t="shared" si="1"/>
        <v>0</v>
      </c>
      <c r="G38" s="999"/>
      <c r="H38" s="284"/>
      <c r="I38" s="978">
        <v>0</v>
      </c>
    </row>
    <row r="39" spans="1:9" s="268" customFormat="1" ht="20.100000000000001" customHeight="1">
      <c r="A39" s="2552" t="s">
        <v>862</v>
      </c>
      <c r="B39" s="2553"/>
      <c r="C39" s="283" t="s">
        <v>141</v>
      </c>
      <c r="D39" s="975">
        <v>0</v>
      </c>
      <c r="E39" s="975">
        <v>0</v>
      </c>
      <c r="F39" s="245">
        <f t="shared" si="1"/>
        <v>0</v>
      </c>
      <c r="G39" s="999"/>
      <c r="H39" s="284"/>
      <c r="I39" s="978">
        <v>0</v>
      </c>
    </row>
    <row r="40" spans="1:9" s="268" customFormat="1" ht="20.100000000000001" customHeight="1">
      <c r="A40" s="2552" t="s">
        <v>231</v>
      </c>
      <c r="B40" s="2553"/>
      <c r="C40" s="283" t="s">
        <v>141</v>
      </c>
      <c r="D40" s="975">
        <v>0</v>
      </c>
      <c r="E40" s="975">
        <v>0</v>
      </c>
      <c r="F40" s="245">
        <f t="shared" si="1"/>
        <v>0</v>
      </c>
      <c r="G40" s="999"/>
      <c r="H40" s="284"/>
      <c r="I40" s="978">
        <v>0</v>
      </c>
    </row>
    <row r="41" spans="1:9" s="268" customFormat="1" ht="20.100000000000001" customHeight="1" thickBot="1">
      <c r="A41" s="2383" t="s">
        <v>238</v>
      </c>
      <c r="B41" s="2384"/>
      <c r="C41" s="285"/>
      <c r="D41" s="285"/>
      <c r="E41" s="285"/>
      <c r="F41" s="249">
        <f>SUM(F35:F40)</f>
        <v>0</v>
      </c>
      <c r="G41" s="1000"/>
      <c r="H41" s="556" t="s">
        <v>1402</v>
      </c>
      <c r="I41" s="250">
        <f>SUM(I35:I40)</f>
        <v>0</v>
      </c>
    </row>
    <row r="42" spans="1:9" s="268" customFormat="1" ht="20.100000000000001" customHeight="1" thickTop="1">
      <c r="A42" s="2385" t="s">
        <v>861</v>
      </c>
      <c r="B42" s="2386"/>
      <c r="C42" s="281" t="s">
        <v>141</v>
      </c>
      <c r="D42" s="974">
        <v>0</v>
      </c>
      <c r="E42" s="974">
        <v>0</v>
      </c>
      <c r="F42" s="244">
        <f>E42*D42</f>
        <v>0</v>
      </c>
      <c r="G42" s="2550" t="s">
        <v>1403</v>
      </c>
      <c r="H42" s="2551"/>
      <c r="I42" s="293" t="s">
        <v>1116</v>
      </c>
    </row>
    <row r="43" spans="1:9" s="268" customFormat="1" ht="20.100000000000001" customHeight="1" thickBot="1">
      <c r="A43" s="2387" t="s">
        <v>155</v>
      </c>
      <c r="B43" s="2388"/>
      <c r="C43" s="286" t="s">
        <v>141</v>
      </c>
      <c r="D43" s="976">
        <v>0</v>
      </c>
      <c r="E43" s="976">
        <v>0</v>
      </c>
      <c r="F43" s="246">
        <f>E43*D43</f>
        <v>0</v>
      </c>
      <c r="G43" s="2544" t="s">
        <v>1404</v>
      </c>
      <c r="H43" s="2545"/>
      <c r="I43" s="294" t="s">
        <v>1116</v>
      </c>
    </row>
    <row r="44" spans="1:9" s="288" customFormat="1" ht="20.100000000000001" customHeight="1" thickTop="1" thickBot="1">
      <c r="A44" s="2067" t="s">
        <v>156</v>
      </c>
      <c r="B44" s="2068"/>
      <c r="C44" s="287"/>
      <c r="D44" s="287"/>
      <c r="E44" s="287"/>
      <c r="F44" s="251">
        <f>SUM(F41:F43)</f>
        <v>0</v>
      </c>
      <c r="G44" s="1002"/>
      <c r="H44" s="557" t="s">
        <v>1414</v>
      </c>
      <c r="I44" s="296">
        <f>I41</f>
        <v>0</v>
      </c>
    </row>
    <row r="45" spans="1:9" s="268" customFormat="1" ht="15.6">
      <c r="A45" s="289"/>
      <c r="C45" s="290"/>
      <c r="D45" s="290"/>
      <c r="E45" s="290"/>
      <c r="F45" s="346" t="s">
        <v>581</v>
      </c>
      <c r="G45" s="346"/>
      <c r="H45" s="3"/>
      <c r="I45" s="346" t="s">
        <v>1405</v>
      </c>
    </row>
  </sheetData>
  <mergeCells count="53">
    <mergeCell ref="A41:B41"/>
    <mergeCell ref="A42:B42"/>
    <mergeCell ref="A43:B43"/>
    <mergeCell ref="A44:B44"/>
    <mergeCell ref="A38:B38"/>
    <mergeCell ref="G4:I4"/>
    <mergeCell ref="G23:I23"/>
    <mergeCell ref="G24:I24"/>
    <mergeCell ref="G26:I26"/>
    <mergeCell ref="G25:I25"/>
    <mergeCell ref="G12:I12"/>
    <mergeCell ref="G13:I13"/>
    <mergeCell ref="G14:I14"/>
    <mergeCell ref="G15:I15"/>
    <mergeCell ref="G16:I16"/>
    <mergeCell ref="G9:I9"/>
    <mergeCell ref="G5:I5"/>
    <mergeCell ref="G6:I6"/>
    <mergeCell ref="G10:I10"/>
    <mergeCell ref="G11:I11"/>
    <mergeCell ref="G17:I17"/>
    <mergeCell ref="A24:E24"/>
    <mergeCell ref="A36:B36"/>
    <mergeCell ref="A39:B39"/>
    <mergeCell ref="A40:B40"/>
    <mergeCell ref="A4:B4"/>
    <mergeCell ref="C4:F4"/>
    <mergeCell ref="A34:B34"/>
    <mergeCell ref="A35:B35"/>
    <mergeCell ref="A5:B5"/>
    <mergeCell ref="C5:F5"/>
    <mergeCell ref="A6:B6"/>
    <mergeCell ref="C6:F6"/>
    <mergeCell ref="A37:B37"/>
    <mergeCell ref="A30:E30"/>
    <mergeCell ref="A32:E32"/>
    <mergeCell ref="A19:A20"/>
    <mergeCell ref="G22:I22"/>
    <mergeCell ref="G43:H43"/>
    <mergeCell ref="G29:I29"/>
    <mergeCell ref="G30:I30"/>
    <mergeCell ref="G32:I32"/>
    <mergeCell ref="G31:I31"/>
    <mergeCell ref="G42:H42"/>
    <mergeCell ref="G27:I27"/>
    <mergeCell ref="G28:I28"/>
    <mergeCell ref="B19:B20"/>
    <mergeCell ref="F19:F20"/>
    <mergeCell ref="G19:I20"/>
    <mergeCell ref="G18:I18"/>
    <mergeCell ref="G21:I21"/>
    <mergeCell ref="C19:C20"/>
    <mergeCell ref="D19:D20"/>
  </mergeCells>
  <phoneticPr fontId="0" type="noConversion"/>
  <dataValidations count="1">
    <dataValidation type="list" allowBlank="1" showInputMessage="1" showErrorMessage="1" sqref="H35:H40" xr:uid="{00000000-0002-0000-2400-000000000000}">
      <formula1>yesno</formula1>
    </dataValidation>
  </dataValidations>
  <printOptions horizontalCentered="1"/>
  <pageMargins left="0.5" right="0.5" top="0.83" bottom="0.78" header="0.5" footer="0.34"/>
  <pageSetup scale="60" fitToHeight="2" orientation="landscape" r:id="rId1"/>
  <headerFooter alignWithMargins="0">
    <oddHeader>&amp;C&amp;"Arial,Bold"&amp;12&amp;UProject Activity 21: Signalization Analysis</oddHeader>
    <oddFooter>&amp;L&amp;F
&amp;A&amp;CPage &amp;P of &amp;N&amp;R&amp;D</oddFooter>
  </headerFooter>
  <rowBreaks count="1" manualBreakCount="1">
    <brk id="30" max="7" man="1"/>
  </rowBreaks>
  <ignoredErrors>
    <ignoredError sqref="F24 F41" formula="1"/>
  </ignoredError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BA419-81D9-4D7A-A1B3-8532BD21A1C7}">
  <sheetPr codeName="Sheet39"/>
  <dimension ref="A1:AN35"/>
  <sheetViews>
    <sheetView showGridLines="0" topLeftCell="B1" zoomScale="85" zoomScaleNormal="85" workbookViewId="0">
      <selection activeCell="B1" sqref="B1:C3"/>
    </sheetView>
  </sheetViews>
  <sheetFormatPr defaultColWidth="9.109375" defaultRowHeight="15.6"/>
  <cols>
    <col min="1" max="1" width="12.6640625" style="1077" hidden="1" customWidth="1"/>
    <col min="2" max="2" width="6.88671875" style="1084" customWidth="1"/>
    <col min="3" max="3" width="50.77734375" style="1085" customWidth="1"/>
    <col min="4" max="4" width="14.77734375" style="1085" customWidth="1"/>
    <col min="5" max="5" width="14.77734375" style="1084" customWidth="1"/>
    <col min="6" max="7" width="14.77734375" style="1086" customWidth="1"/>
    <col min="8" max="9" width="14.77734375" style="1087" customWidth="1"/>
    <col min="10" max="10" width="14.77734375" style="1077" customWidth="1"/>
    <col min="11" max="11" width="100.77734375" style="1077" customWidth="1"/>
    <col min="12" max="12" width="70.77734375" style="1077" customWidth="1"/>
    <col min="13" max="13" width="8.6640625" style="348" customWidth="1"/>
    <col min="14" max="14" width="15.5546875" style="348" customWidth="1"/>
    <col min="15" max="15" width="9.88671875" style="348" hidden="1" customWidth="1"/>
    <col min="16" max="24" width="12.77734375" style="348" hidden="1" customWidth="1"/>
    <col min="25" max="29" width="12.77734375" style="1076" hidden="1" customWidth="1"/>
    <col min="30" max="34" width="9.109375" style="1076"/>
    <col min="35" max="16384" width="9.109375" style="1077"/>
  </cols>
  <sheetData>
    <row r="1" spans="1:40" s="1075" customFormat="1" ht="15" customHeight="1">
      <c r="B1" s="2136" t="s">
        <v>592</v>
      </c>
      <c r="C1" s="2137"/>
      <c r="D1" s="2133" t="s">
        <v>2571</v>
      </c>
      <c r="E1" s="2133"/>
      <c r="F1" s="2133"/>
      <c r="G1" s="2133"/>
      <c r="H1" s="2133"/>
      <c r="I1" s="2133"/>
      <c r="J1" s="2133"/>
      <c r="K1" s="1055" t="str">
        <f>'Project Information'!B3</f>
        <v>Enter project name &amp; description</v>
      </c>
      <c r="L1" s="2120" t="s">
        <v>1819</v>
      </c>
      <c r="M1" s="1142"/>
      <c r="N1" s="1142"/>
      <c r="O1" s="1142"/>
      <c r="P1" s="1142"/>
      <c r="Q1" s="1143"/>
      <c r="R1" s="1143"/>
      <c r="S1" s="1143"/>
      <c r="T1" s="1143"/>
      <c r="U1" s="1143"/>
      <c r="V1" s="1142"/>
      <c r="W1" s="1142"/>
      <c r="X1" s="1142"/>
      <c r="Y1" s="1147"/>
      <c r="Z1" s="1147"/>
      <c r="AA1" s="1147"/>
      <c r="AB1" s="1098"/>
      <c r="AC1" s="1098"/>
      <c r="AD1" s="1098"/>
      <c r="AE1" s="1098"/>
      <c r="AF1" s="1098"/>
      <c r="AG1" s="1098"/>
      <c r="AH1" s="1098"/>
    </row>
    <row r="2" spans="1:40" s="1075" customFormat="1" ht="15" customHeight="1">
      <c r="B2" s="2138"/>
      <c r="C2" s="2139"/>
      <c r="D2" s="2134"/>
      <c r="E2" s="2134"/>
      <c r="F2" s="2134"/>
      <c r="G2" s="2134"/>
      <c r="H2" s="2134"/>
      <c r="I2" s="2134"/>
      <c r="J2" s="2134"/>
      <c r="K2" s="1056" t="str">
        <f>'Project Information'!B1</f>
        <v>999999-1-32-01</v>
      </c>
      <c r="L2" s="2121"/>
      <c r="M2" s="1142"/>
      <c r="N2" s="1142"/>
      <c r="O2" s="1142"/>
      <c r="P2" s="1142"/>
      <c r="Q2" s="1143"/>
      <c r="R2" s="1143"/>
      <c r="S2" s="1143"/>
      <c r="T2" s="1143"/>
      <c r="U2" s="1143"/>
      <c r="V2" s="1142"/>
      <c r="W2" s="1142"/>
      <c r="X2" s="1142"/>
      <c r="Y2" s="1147"/>
      <c r="Z2" s="1147"/>
      <c r="AA2" s="1147"/>
      <c r="AB2" s="1098"/>
      <c r="AC2" s="1098"/>
      <c r="AD2" s="1098"/>
      <c r="AE2" s="1098"/>
      <c r="AF2" s="1098"/>
      <c r="AG2" s="1098"/>
      <c r="AH2" s="1098"/>
    </row>
    <row r="3" spans="1:40" s="1058" customFormat="1" ht="15" customHeight="1" thickBot="1">
      <c r="B3" s="2140"/>
      <c r="C3" s="2141"/>
      <c r="D3" s="2135"/>
      <c r="E3" s="2135"/>
      <c r="F3" s="2135"/>
      <c r="G3" s="2135"/>
      <c r="H3" s="2135"/>
      <c r="I3" s="2135"/>
      <c r="J3" s="2135"/>
      <c r="K3" s="1057"/>
      <c r="L3" s="2122"/>
      <c r="M3" s="1146"/>
      <c r="N3" s="1146"/>
      <c r="O3" s="1146"/>
      <c r="P3" s="1146"/>
      <c r="Q3" s="1143"/>
      <c r="R3" s="1143"/>
      <c r="S3" s="1143"/>
      <c r="T3" s="1143"/>
      <c r="U3" s="1143"/>
      <c r="V3" s="1146"/>
      <c r="W3" s="1146"/>
      <c r="X3" s="1146"/>
      <c r="Y3" s="1200"/>
      <c r="Z3" s="1200"/>
      <c r="AA3" s="1200"/>
      <c r="AB3" s="1103"/>
      <c r="AC3" s="1103"/>
      <c r="AD3" s="1103"/>
      <c r="AE3" s="1103"/>
      <c r="AF3" s="1103"/>
      <c r="AG3" s="1103"/>
      <c r="AH3" s="1103"/>
    </row>
    <row r="4" spans="1:40" s="1058" customFormat="1" ht="30" customHeight="1" thickBot="1">
      <c r="B4" s="2198" t="s">
        <v>1396</v>
      </c>
      <c r="C4" s="2199"/>
      <c r="D4" s="2200" t="s">
        <v>1397</v>
      </c>
      <c r="E4" s="2200"/>
      <c r="F4" s="2200"/>
      <c r="G4" s="2200"/>
      <c r="H4" s="2200"/>
      <c r="I4" s="2200"/>
      <c r="J4" s="2200"/>
      <c r="K4" s="1111" t="s">
        <v>1398</v>
      </c>
      <c r="L4" s="1580" t="s">
        <v>2625</v>
      </c>
      <c r="M4" s="1146"/>
      <c r="N4" s="1146"/>
      <c r="O4" s="1146"/>
      <c r="P4" s="1146"/>
      <c r="Q4" s="1143"/>
      <c r="R4" s="1143"/>
      <c r="S4" s="1143"/>
      <c r="T4" s="1143"/>
      <c r="U4" s="1143"/>
      <c r="V4" s="1146"/>
      <c r="W4" s="1146"/>
      <c r="X4" s="1146"/>
      <c r="Y4" s="1200"/>
      <c r="Z4" s="1200"/>
      <c r="AA4" s="1200"/>
      <c r="AB4" s="1103"/>
      <c r="AC4" s="1103"/>
      <c r="AD4" s="1103"/>
      <c r="AE4" s="1103"/>
      <c r="AF4" s="1103"/>
      <c r="AG4" s="1103"/>
      <c r="AH4" s="1103"/>
    </row>
    <row r="5" spans="1:40" s="1058" customFormat="1" ht="30" customHeight="1">
      <c r="B5" s="2201" t="s">
        <v>1400</v>
      </c>
      <c r="C5" s="2202"/>
      <c r="D5" s="2203"/>
      <c r="E5" s="2203"/>
      <c r="F5" s="2203"/>
      <c r="G5" s="2203"/>
      <c r="H5" s="2203"/>
      <c r="I5" s="2203"/>
      <c r="J5" s="2203"/>
      <c r="K5" s="1059"/>
      <c r="L5" s="2195" t="s">
        <v>1820</v>
      </c>
      <c r="M5" s="1147"/>
      <c r="N5" s="1146"/>
      <c r="O5" s="1146"/>
      <c r="P5" s="1146"/>
      <c r="Q5" s="1201"/>
      <c r="R5" s="1201"/>
      <c r="S5" s="1201"/>
      <c r="T5" s="1201"/>
      <c r="U5" s="1201"/>
      <c r="V5" s="1146"/>
      <c r="W5" s="1146"/>
      <c r="X5" s="1146"/>
      <c r="Y5" s="1200"/>
      <c r="Z5" s="1200"/>
      <c r="AA5" s="1200"/>
      <c r="AB5" s="1103"/>
      <c r="AC5" s="1103"/>
      <c r="AD5" s="1103"/>
      <c r="AE5" s="1103"/>
      <c r="AF5" s="1103"/>
      <c r="AG5" s="1103"/>
      <c r="AH5" s="1103"/>
    </row>
    <row r="6" spans="1:40" s="1058" customFormat="1" ht="30" customHeight="1" thickBot="1">
      <c r="B6" s="2204" t="s">
        <v>1399</v>
      </c>
      <c r="C6" s="2205"/>
      <c r="D6" s="2206"/>
      <c r="E6" s="2206"/>
      <c r="F6" s="2206"/>
      <c r="G6" s="2206"/>
      <c r="H6" s="2206"/>
      <c r="I6" s="2206"/>
      <c r="J6" s="2206"/>
      <c r="K6" s="1060"/>
      <c r="L6" s="2196"/>
      <c r="M6" s="1147"/>
      <c r="N6" s="1146"/>
      <c r="O6" s="1146"/>
      <c r="P6" s="1146"/>
      <c r="Q6" s="1201"/>
      <c r="R6" s="1201"/>
      <c r="S6" s="1201"/>
      <c r="T6" s="1201"/>
      <c r="U6" s="1201"/>
      <c r="V6" s="1146"/>
      <c r="W6" s="1146"/>
      <c r="X6" s="1146"/>
      <c r="Y6" s="1200"/>
      <c r="Z6" s="1200"/>
      <c r="AA6" s="1200"/>
      <c r="AB6" s="1103"/>
      <c r="AC6" s="1103"/>
      <c r="AD6" s="1103"/>
      <c r="AE6" s="1103"/>
      <c r="AF6" s="1103"/>
      <c r="AG6" s="1103"/>
      <c r="AH6" s="1103"/>
    </row>
    <row r="7" spans="1:40" s="1058" customFormat="1" ht="15" customHeight="1">
      <c r="B7" s="1112" t="s">
        <v>1430</v>
      </c>
      <c r="C7" s="1182"/>
      <c r="D7" s="1183"/>
      <c r="E7" s="1183"/>
      <c r="F7" s="1183"/>
      <c r="G7" s="1183"/>
      <c r="H7" s="1183"/>
      <c r="I7" s="1183"/>
      <c r="J7" s="1183"/>
      <c r="K7" s="1184"/>
      <c r="L7" s="2196"/>
      <c r="M7" s="1147"/>
      <c r="N7" s="1146"/>
      <c r="O7" s="1146"/>
      <c r="P7" s="1146"/>
      <c r="Q7" s="1146"/>
      <c r="R7" s="1146"/>
      <c r="S7" s="1146"/>
      <c r="T7" s="1146"/>
      <c r="U7" s="1146"/>
      <c r="V7" s="1146"/>
      <c r="W7" s="1146"/>
      <c r="X7" s="1146"/>
      <c r="Y7" s="1200"/>
      <c r="Z7" s="1200"/>
      <c r="AA7" s="1200"/>
      <c r="AB7" s="1103"/>
      <c r="AC7" s="1103"/>
      <c r="AD7" s="1103"/>
      <c r="AE7" s="1103"/>
      <c r="AF7" s="1103"/>
      <c r="AG7" s="1103"/>
      <c r="AH7" s="1103"/>
    </row>
    <row r="8" spans="1:40" s="1058" customFormat="1" ht="15" customHeight="1" thickBot="1">
      <c r="B8" s="1185"/>
      <c r="C8" s="1186"/>
      <c r="D8" s="1187"/>
      <c r="E8" s="1187"/>
      <c r="F8" s="1187"/>
      <c r="G8" s="1187"/>
      <c r="H8" s="1187"/>
      <c r="I8" s="1187"/>
      <c r="J8" s="1187"/>
      <c r="K8" s="1188"/>
      <c r="L8" s="2196"/>
      <c r="M8" s="1147"/>
      <c r="N8" s="1146"/>
      <c r="O8" s="1146"/>
      <c r="P8" s="1146"/>
      <c r="Q8" s="1146"/>
      <c r="R8" s="1146"/>
      <c r="S8" s="1146"/>
      <c r="T8" s="1146"/>
      <c r="U8" s="1146"/>
      <c r="V8" s="1146"/>
      <c r="W8" s="1146"/>
      <c r="X8" s="1146"/>
      <c r="Y8" s="1200"/>
      <c r="Z8" s="1200"/>
      <c r="AA8" s="1200"/>
      <c r="AB8" s="1103"/>
      <c r="AC8" s="1103"/>
      <c r="AD8" s="1103"/>
      <c r="AE8" s="1103"/>
      <c r="AF8" s="1103"/>
      <c r="AG8" s="1103"/>
      <c r="AH8" s="1103"/>
      <c r="AI8" s="1103"/>
      <c r="AJ8" s="1103"/>
      <c r="AK8" s="1103"/>
      <c r="AL8" s="1103"/>
      <c r="AM8" s="1103"/>
      <c r="AN8" s="1103"/>
    </row>
    <row r="9" spans="1:40" s="1058" customFormat="1" ht="30" customHeight="1">
      <c r="B9" s="2226" t="s">
        <v>79</v>
      </c>
      <c r="C9" s="2228" t="s">
        <v>190</v>
      </c>
      <c r="D9" s="2157" t="s">
        <v>1821</v>
      </c>
      <c r="E9" s="2158"/>
      <c r="F9" s="2159"/>
      <c r="G9" s="2230" t="s">
        <v>1822</v>
      </c>
      <c r="H9" s="2230"/>
      <c r="I9" s="2230"/>
      <c r="J9" s="2230"/>
      <c r="K9" s="1120" t="s">
        <v>1823</v>
      </c>
      <c r="L9" s="2196"/>
      <c r="M9" s="1147"/>
      <c r="N9" s="1854"/>
      <c r="O9" s="2170" t="s">
        <v>190</v>
      </c>
      <c r="P9" s="2214" t="s">
        <v>1869</v>
      </c>
      <c r="Q9" s="2213"/>
      <c r="R9" s="2213"/>
      <c r="S9" s="2213"/>
      <c r="T9" s="2215"/>
      <c r="U9" s="2214" t="s">
        <v>1914</v>
      </c>
      <c r="V9" s="2213"/>
      <c r="W9" s="2215"/>
      <c r="X9" s="2214" t="s">
        <v>1960</v>
      </c>
      <c r="Y9" s="2213"/>
      <c r="Z9" s="2213"/>
      <c r="AA9" s="2214" t="s">
        <v>1862</v>
      </c>
      <c r="AB9" s="2213"/>
      <c r="AC9" s="2215"/>
      <c r="AD9" s="1103"/>
      <c r="AE9" s="1103"/>
      <c r="AF9" s="1103"/>
      <c r="AG9" s="1103"/>
      <c r="AH9" s="1103"/>
      <c r="AI9" s="1103"/>
      <c r="AJ9" s="1103"/>
      <c r="AK9" s="1103"/>
      <c r="AL9" s="1103"/>
      <c r="AM9" s="1103"/>
      <c r="AN9" s="1103"/>
    </row>
    <row r="10" spans="1:40" s="1076" customFormat="1" ht="30" customHeight="1">
      <c r="B10" s="2227"/>
      <c r="C10" s="2229"/>
      <c r="D10" s="1879" t="s">
        <v>1824</v>
      </c>
      <c r="E10" s="1879" t="s">
        <v>87</v>
      </c>
      <c r="F10" s="1879" t="s">
        <v>1825</v>
      </c>
      <c r="G10" s="2177" t="s">
        <v>1826</v>
      </c>
      <c r="H10" s="2177" t="s">
        <v>1827</v>
      </c>
      <c r="I10" s="2177" t="s">
        <v>1196</v>
      </c>
      <c r="J10" s="2177" t="s">
        <v>1837</v>
      </c>
      <c r="K10" s="2207" t="s">
        <v>1829</v>
      </c>
      <c r="L10" s="2196"/>
      <c r="M10" s="1147"/>
      <c r="N10" s="1854"/>
      <c r="O10" s="2282"/>
      <c r="P10" s="1259" t="s">
        <v>1926</v>
      </c>
      <c r="Q10" s="1213" t="s">
        <v>1859</v>
      </c>
      <c r="R10" s="1213" t="s">
        <v>1860</v>
      </c>
      <c r="S10" s="1213" t="s">
        <v>1861</v>
      </c>
      <c r="T10" s="1214" t="s">
        <v>1927</v>
      </c>
      <c r="U10" s="1213" t="s">
        <v>1883</v>
      </c>
      <c r="V10" s="1213" t="s">
        <v>1833</v>
      </c>
      <c r="W10" s="1214" t="s">
        <v>1834</v>
      </c>
      <c r="X10" s="1259" t="s">
        <v>1928</v>
      </c>
      <c r="Y10" s="1213" t="s">
        <v>1929</v>
      </c>
      <c r="Z10" s="1213" t="s">
        <v>1930</v>
      </c>
      <c r="AA10" s="1259" t="s">
        <v>1931</v>
      </c>
      <c r="AB10" s="1213" t="s">
        <v>1932</v>
      </c>
      <c r="AC10" s="1214" t="s">
        <v>1933</v>
      </c>
      <c r="AD10" s="1103"/>
      <c r="AE10" s="1103"/>
      <c r="AF10" s="1103"/>
      <c r="AG10" s="1103"/>
      <c r="AH10" s="1103"/>
      <c r="AI10" s="1103"/>
      <c r="AJ10" s="1103"/>
      <c r="AK10" s="1103"/>
      <c r="AL10" s="1103"/>
      <c r="AM10" s="1103"/>
      <c r="AN10" s="1103"/>
    </row>
    <row r="11" spans="1:40" s="1076" customFormat="1" ht="30" customHeight="1" thickBot="1">
      <c r="B11" s="2246" t="s">
        <v>2560</v>
      </c>
      <c r="C11" s="2247"/>
      <c r="D11" s="2247"/>
      <c r="E11" s="2266"/>
      <c r="F11" s="1887"/>
      <c r="G11" s="2209"/>
      <c r="H11" s="2209"/>
      <c r="I11" s="2209"/>
      <c r="J11" s="2209"/>
      <c r="K11" s="2208"/>
      <c r="L11" s="2197"/>
      <c r="M11" s="1147"/>
      <c r="N11" s="1201"/>
      <c r="O11" s="1931"/>
      <c r="P11" s="1882"/>
      <c r="Q11" s="1883"/>
      <c r="R11" s="1883"/>
      <c r="S11" s="1883"/>
      <c r="T11" s="1884"/>
      <c r="U11" s="1883"/>
      <c r="V11" s="1883"/>
      <c r="W11" s="1884"/>
      <c r="X11" s="1882"/>
      <c r="Y11" s="1883"/>
      <c r="Z11" s="1883"/>
      <c r="AA11" s="1882"/>
      <c r="AB11" s="1883"/>
      <c r="AC11" s="1884"/>
      <c r="AD11" s="1103"/>
      <c r="AE11" s="1103"/>
      <c r="AF11" s="1103"/>
      <c r="AG11" s="1103"/>
      <c r="AH11" s="1103"/>
      <c r="AI11" s="1103"/>
      <c r="AJ11" s="1103"/>
      <c r="AK11" s="1103"/>
      <c r="AL11" s="1103"/>
      <c r="AM11" s="1103"/>
      <c r="AN11" s="1103"/>
    </row>
    <row r="12" spans="1:40" ht="30" customHeight="1">
      <c r="A12" s="1104" t="s">
        <v>1979</v>
      </c>
      <c r="B12" s="2223">
        <v>22.1</v>
      </c>
      <c r="C12" s="1208" t="s">
        <v>94</v>
      </c>
      <c r="D12" s="1191"/>
      <c r="E12" s="1211">
        <v>0</v>
      </c>
      <c r="F12" s="1348"/>
      <c r="G12" s="1216">
        <f>IF(E12=1,X12,0)</f>
        <v>0</v>
      </c>
      <c r="H12" s="1211">
        <v>0</v>
      </c>
      <c r="I12" s="1211">
        <v>0</v>
      </c>
      <c r="J12" s="1211">
        <v>0</v>
      </c>
      <c r="K12" s="1329"/>
      <c r="L12" s="2149" t="s">
        <v>1882</v>
      </c>
      <c r="M12" s="1142"/>
      <c r="N12" s="1207"/>
      <c r="O12" s="2235">
        <f>B12</f>
        <v>22.1</v>
      </c>
      <c r="P12" s="1160"/>
      <c r="Q12" s="1335"/>
      <c r="R12" s="1161"/>
      <c r="S12" s="1309"/>
      <c r="T12" s="1162"/>
      <c r="U12" s="1160"/>
      <c r="V12" s="1222"/>
      <c r="W12" s="1202"/>
      <c r="X12" s="1160">
        <v>4</v>
      </c>
      <c r="Y12" s="1376"/>
      <c r="Z12" s="1377"/>
      <c r="AA12" s="1160"/>
      <c r="AB12" s="1376"/>
      <c r="AC12" s="1378"/>
      <c r="AD12" s="1103"/>
      <c r="AE12" s="1103"/>
      <c r="AF12" s="1103"/>
      <c r="AG12" s="1103"/>
      <c r="AH12" s="1103"/>
      <c r="AI12" s="1103"/>
      <c r="AJ12" s="1103"/>
      <c r="AK12" s="1103"/>
      <c r="AL12" s="1103"/>
      <c r="AM12" s="1103"/>
      <c r="AN12" s="1103"/>
    </row>
    <row r="13" spans="1:40" ht="30" customHeight="1">
      <c r="A13" s="1104" t="s">
        <v>1980</v>
      </c>
      <c r="B13" s="2217"/>
      <c r="C13" s="1190" t="s">
        <v>1838</v>
      </c>
      <c r="D13" s="1191"/>
      <c r="E13" s="1193">
        <v>0</v>
      </c>
      <c r="F13" s="1375"/>
      <c r="G13" s="1210">
        <f>IF(E12=1,IF(E13=1,X13,0),0)</f>
        <v>0</v>
      </c>
      <c r="H13" s="1211">
        <v>0</v>
      </c>
      <c r="I13" s="1211">
        <v>0</v>
      </c>
      <c r="J13" s="1211">
        <v>0</v>
      </c>
      <c r="K13" s="1217"/>
      <c r="L13" s="2150"/>
      <c r="M13" s="1142"/>
      <c r="N13" s="1207"/>
      <c r="O13" s="2528"/>
      <c r="P13" s="1245"/>
      <c r="Q13" s="1248"/>
      <c r="R13" s="1246"/>
      <c r="S13" s="1315"/>
      <c r="T13" s="1247"/>
      <c r="U13" s="1290"/>
      <c r="V13" s="1248"/>
      <c r="W13" s="1249"/>
      <c r="X13" s="1245">
        <v>2</v>
      </c>
      <c r="Y13" s="1365"/>
      <c r="Z13" s="1367"/>
      <c r="AA13" s="1245"/>
      <c r="AB13" s="1365"/>
      <c r="AC13" s="1366"/>
      <c r="AE13" s="1104"/>
      <c r="AF13" s="1104"/>
      <c r="AG13" s="1104"/>
    </row>
    <row r="14" spans="1:40" ht="30" customHeight="1">
      <c r="A14" s="1104" t="s">
        <v>1981</v>
      </c>
      <c r="B14" s="240">
        <v>22.2</v>
      </c>
      <c r="C14" s="265" t="s">
        <v>229</v>
      </c>
      <c r="D14" s="1192"/>
      <c r="E14" s="1193">
        <v>0</v>
      </c>
      <c r="F14" s="1102"/>
      <c r="G14" s="1210">
        <f>IF(E14=1,IF(F14="Simple",U14,(IF(F14="Standard",V14,(IF(F14="Complex",W14,0))))),0)</f>
        <v>0</v>
      </c>
      <c r="H14" s="1193">
        <v>0</v>
      </c>
      <c r="I14" s="1193">
        <v>0</v>
      </c>
      <c r="J14" s="1193">
        <v>0</v>
      </c>
      <c r="K14" s="1217"/>
      <c r="L14" s="2150"/>
      <c r="M14" s="1142"/>
      <c r="N14" s="1207"/>
      <c r="O14" s="1233">
        <f>B14</f>
        <v>22.2</v>
      </c>
      <c r="P14" s="1330"/>
      <c r="Q14" s="1227"/>
      <c r="R14" s="1151"/>
      <c r="S14" s="1314"/>
      <c r="T14" s="1153"/>
      <c r="U14" s="1154">
        <v>6</v>
      </c>
      <c r="V14" s="1227">
        <v>9</v>
      </c>
      <c r="W14" s="1152">
        <v>12</v>
      </c>
      <c r="X14" s="1150"/>
      <c r="Y14" s="1151"/>
      <c r="Z14" s="1293"/>
      <c r="AA14" s="1150"/>
      <c r="AB14" s="1151"/>
      <c r="AC14" s="1152"/>
      <c r="AE14" s="1104"/>
      <c r="AF14" s="1104"/>
      <c r="AG14" s="1104"/>
    </row>
    <row r="15" spans="1:40" ht="30" customHeight="1">
      <c r="A15" s="1104" t="s">
        <v>1982</v>
      </c>
      <c r="B15" s="1240">
        <v>22.3</v>
      </c>
      <c r="C15" s="373" t="s">
        <v>1892</v>
      </c>
      <c r="D15" s="1210" t="s">
        <v>2000</v>
      </c>
      <c r="E15" s="1064">
        <v>0</v>
      </c>
      <c r="F15" s="1993" t="str">
        <f>IF($F$11=0,"",$F$11)</f>
        <v/>
      </c>
      <c r="G15" s="1215">
        <f>ROUNDUP(E15*(IF(F15="Low",Q15,(IF(F15="Mid",R15,(IF(F15="Upper",S15,0)))))),0)</f>
        <v>0</v>
      </c>
      <c r="H15" s="1193">
        <v>0</v>
      </c>
      <c r="I15" s="1193">
        <v>0</v>
      </c>
      <c r="J15" s="1193">
        <v>0</v>
      </c>
      <c r="K15" s="1217"/>
      <c r="L15" s="2150"/>
      <c r="M15" s="1142"/>
      <c r="N15" s="1207"/>
      <c r="O15" s="1233">
        <f>B15</f>
        <v>22.3</v>
      </c>
      <c r="P15" s="1330"/>
      <c r="Q15" s="1227">
        <v>2</v>
      </c>
      <c r="R15" s="1151">
        <v>4</v>
      </c>
      <c r="S15" s="1293">
        <v>6</v>
      </c>
      <c r="T15" s="1152"/>
      <c r="U15" s="1150"/>
      <c r="V15" s="1228"/>
      <c r="W15" s="1153"/>
      <c r="X15" s="1150"/>
      <c r="Y15" s="1151"/>
      <c r="Z15" s="1293"/>
      <c r="AA15" s="1150"/>
      <c r="AB15" s="1151"/>
      <c r="AC15" s="1152"/>
    </row>
    <row r="16" spans="1:40" ht="30" customHeight="1">
      <c r="A16" s="1104" t="s">
        <v>1983</v>
      </c>
      <c r="B16" s="1240">
        <v>22.4</v>
      </c>
      <c r="C16" s="373" t="s">
        <v>1894</v>
      </c>
      <c r="D16" s="1210" t="s">
        <v>2790</v>
      </c>
      <c r="E16" s="1064">
        <v>0</v>
      </c>
      <c r="F16" s="1993" t="str">
        <f>IF($F$11=0,"",$F$11)</f>
        <v/>
      </c>
      <c r="G16" s="1215">
        <f>ROUNDUP(E16*(IF(F16="Low",Q16,(IF(F16="Mid",R16,(IF(F16="Upper",S16,0)))))),0)</f>
        <v>0</v>
      </c>
      <c r="H16" s="1193">
        <v>0</v>
      </c>
      <c r="I16" s="1193">
        <v>0</v>
      </c>
      <c r="J16" s="1193">
        <v>0</v>
      </c>
      <c r="K16" s="1217"/>
      <c r="L16" s="2150"/>
      <c r="M16" s="1142"/>
      <c r="N16" s="1207"/>
      <c r="O16" s="1233">
        <f>B16</f>
        <v>22.4</v>
      </c>
      <c r="P16" s="1330"/>
      <c r="Q16" s="1227">
        <v>2</v>
      </c>
      <c r="R16" s="1151">
        <v>4</v>
      </c>
      <c r="S16" s="1293">
        <v>6</v>
      </c>
      <c r="T16" s="1152"/>
      <c r="U16" s="1150"/>
      <c r="V16" s="1227"/>
      <c r="W16" s="1153"/>
      <c r="X16" s="1150"/>
      <c r="Y16" s="1151"/>
      <c r="Z16" s="1293"/>
      <c r="AA16" s="1150"/>
      <c r="AB16" s="1151"/>
      <c r="AC16" s="1152"/>
    </row>
    <row r="17" spans="1:34" ht="30" customHeight="1">
      <c r="A17" s="1104" t="s">
        <v>1984</v>
      </c>
      <c r="B17" s="2095">
        <v>22.5</v>
      </c>
      <c r="C17" s="2097" t="s">
        <v>206</v>
      </c>
      <c r="D17" s="1210" t="s">
        <v>1895</v>
      </c>
      <c r="E17" s="1064">
        <v>0</v>
      </c>
      <c r="F17" s="1374"/>
      <c r="G17" s="1210">
        <f>E17*X17</f>
        <v>0</v>
      </c>
      <c r="H17" s="1193">
        <v>0</v>
      </c>
      <c r="I17" s="1193">
        <v>0</v>
      </c>
      <c r="J17" s="1193">
        <v>0</v>
      </c>
      <c r="K17" s="1217"/>
      <c r="L17" s="2150"/>
      <c r="M17" s="1142"/>
      <c r="N17" s="1207"/>
      <c r="O17" s="2522">
        <f>B17</f>
        <v>22.5</v>
      </c>
      <c r="P17" s="1160"/>
      <c r="Q17" s="1335"/>
      <c r="R17" s="1161"/>
      <c r="S17" s="1309"/>
      <c r="T17" s="1162"/>
      <c r="U17" s="1160"/>
      <c r="V17" s="1380"/>
      <c r="W17" s="1381"/>
      <c r="X17" s="1160">
        <v>4</v>
      </c>
      <c r="Y17" s="1161"/>
      <c r="Z17" s="1309"/>
      <c r="AA17" s="1160"/>
      <c r="AB17" s="1161"/>
      <c r="AC17" s="1162"/>
    </row>
    <row r="18" spans="1:34" ht="30" customHeight="1">
      <c r="A18" s="1104" t="s">
        <v>1985</v>
      </c>
      <c r="B18" s="2096"/>
      <c r="C18" s="2098"/>
      <c r="D18" s="1210" t="s">
        <v>1896</v>
      </c>
      <c r="E18" s="1064">
        <v>0</v>
      </c>
      <c r="F18" s="1191"/>
      <c r="G18" s="1216">
        <f>E18*X18</f>
        <v>0</v>
      </c>
      <c r="H18" s="1193">
        <v>0</v>
      </c>
      <c r="I18" s="1193">
        <v>0</v>
      </c>
      <c r="J18" s="1193">
        <v>0</v>
      </c>
      <c r="K18" s="1217"/>
      <c r="L18" s="2150"/>
      <c r="M18" s="1142"/>
      <c r="N18" s="1207"/>
      <c r="O18" s="2530"/>
      <c r="P18" s="1245"/>
      <c r="Q18" s="1248"/>
      <c r="R18" s="1246"/>
      <c r="S18" s="1295"/>
      <c r="T18" s="1249"/>
      <c r="U18" s="1245"/>
      <c r="V18" s="1379"/>
      <c r="W18" s="1247"/>
      <c r="X18" s="1245">
        <v>8</v>
      </c>
      <c r="Y18" s="1246"/>
      <c r="Z18" s="1295"/>
      <c r="AA18" s="1245"/>
      <c r="AB18" s="1246"/>
      <c r="AC18" s="1249"/>
    </row>
    <row r="19" spans="1:34" ht="30" customHeight="1">
      <c r="A19" s="1104" t="s">
        <v>1986</v>
      </c>
      <c r="B19" s="240">
        <v>22.6</v>
      </c>
      <c r="C19" s="495" t="s">
        <v>1886</v>
      </c>
      <c r="D19" s="1210" t="s">
        <v>1887</v>
      </c>
      <c r="E19" s="1064">
        <v>0</v>
      </c>
      <c r="F19" s="1192"/>
      <c r="G19" s="1210">
        <f>E19*X19</f>
        <v>0</v>
      </c>
      <c r="H19" s="1193">
        <v>0</v>
      </c>
      <c r="I19" s="1193">
        <v>0</v>
      </c>
      <c r="J19" s="1193">
        <v>0</v>
      </c>
      <c r="K19" s="1217"/>
      <c r="L19" s="2150"/>
      <c r="M19" s="1142"/>
      <c r="N19" s="1207"/>
      <c r="O19" s="1233">
        <v>22.6</v>
      </c>
      <c r="P19" s="1330"/>
      <c r="Q19" s="1227"/>
      <c r="R19" s="1151"/>
      <c r="S19" s="1293"/>
      <c r="T19" s="1152"/>
      <c r="U19" s="1150"/>
      <c r="V19" s="1228"/>
      <c r="W19" s="1153"/>
      <c r="X19" s="1150">
        <v>2</v>
      </c>
      <c r="Y19" s="1151"/>
      <c r="Z19" s="1293"/>
      <c r="AA19" s="1150"/>
      <c r="AB19" s="1151"/>
      <c r="AC19" s="1152"/>
    </row>
    <row r="20" spans="1:34" ht="30" customHeight="1">
      <c r="A20" s="1104" t="s">
        <v>1987</v>
      </c>
      <c r="B20" s="2095">
        <v>22.7</v>
      </c>
      <c r="C20" s="2097" t="s">
        <v>207</v>
      </c>
      <c r="D20" s="2234" t="s">
        <v>617</v>
      </c>
      <c r="E20" s="1064">
        <v>0</v>
      </c>
      <c r="F20" s="1138" t="s">
        <v>1883</v>
      </c>
      <c r="G20" s="1139">
        <f>E20*U20</f>
        <v>0</v>
      </c>
      <c r="H20" s="1193">
        <v>0</v>
      </c>
      <c r="I20" s="1193">
        <v>0</v>
      </c>
      <c r="J20" s="1193">
        <v>0</v>
      </c>
      <c r="K20" s="1217"/>
      <c r="L20" s="2150"/>
      <c r="M20" s="1142"/>
      <c r="N20" s="1207"/>
      <c r="O20" s="2522">
        <v>22.7</v>
      </c>
      <c r="P20" s="1382"/>
      <c r="Q20" s="1383"/>
      <c r="R20" s="1384"/>
      <c r="S20" s="1385"/>
      <c r="T20" s="1386"/>
      <c r="U20" s="1382">
        <v>1</v>
      </c>
      <c r="V20" s="1387"/>
      <c r="W20" s="1388"/>
      <c r="X20" s="1382"/>
      <c r="Y20" s="1384"/>
      <c r="Z20" s="1385"/>
      <c r="AA20" s="1382"/>
      <c r="AB20" s="1384"/>
      <c r="AC20" s="1386"/>
    </row>
    <row r="21" spans="1:34" ht="30" customHeight="1">
      <c r="A21" s="1104" t="s">
        <v>1988</v>
      </c>
      <c r="B21" s="2489"/>
      <c r="C21" s="2445"/>
      <c r="D21" s="2260"/>
      <c r="E21" s="1064">
        <v>0</v>
      </c>
      <c r="F21" s="1138" t="s">
        <v>1833</v>
      </c>
      <c r="G21" s="1139">
        <f>E21*V21</f>
        <v>0</v>
      </c>
      <c r="H21" s="1193">
        <v>0</v>
      </c>
      <c r="I21" s="1193">
        <v>0</v>
      </c>
      <c r="J21" s="1193">
        <v>0</v>
      </c>
      <c r="K21" s="1217"/>
      <c r="L21" s="2150"/>
      <c r="M21" s="1142"/>
      <c r="N21" s="1207"/>
      <c r="O21" s="2523"/>
      <c r="P21" s="1389"/>
      <c r="Q21" s="1336"/>
      <c r="R21" s="1164"/>
      <c r="S21" s="1165"/>
      <c r="T21" s="1390"/>
      <c r="U21" s="1389"/>
      <c r="V21" s="1391">
        <v>2</v>
      </c>
      <c r="W21" s="1392"/>
      <c r="X21" s="1389"/>
      <c r="Y21" s="1164"/>
      <c r="Z21" s="1165"/>
      <c r="AA21" s="1389"/>
      <c r="AB21" s="1164"/>
      <c r="AC21" s="1390"/>
    </row>
    <row r="22" spans="1:34" ht="30" customHeight="1">
      <c r="A22" s="1104" t="s">
        <v>1989</v>
      </c>
      <c r="B22" s="2096"/>
      <c r="C22" s="2098"/>
      <c r="D22" s="2277"/>
      <c r="E22" s="1064">
        <v>0</v>
      </c>
      <c r="F22" s="1138" t="s">
        <v>1834</v>
      </c>
      <c r="G22" s="1139">
        <f>E22*W22</f>
        <v>0</v>
      </c>
      <c r="H22" s="1193">
        <v>0</v>
      </c>
      <c r="I22" s="1193">
        <v>0</v>
      </c>
      <c r="J22" s="1193">
        <v>0</v>
      </c>
      <c r="K22" s="1217"/>
      <c r="L22" s="2150"/>
      <c r="M22" s="1142"/>
      <c r="N22" s="1207"/>
      <c r="O22" s="2524"/>
      <c r="P22" s="1245"/>
      <c r="Q22" s="1248"/>
      <c r="R22" s="1246"/>
      <c r="S22" s="1295"/>
      <c r="T22" s="1249"/>
      <c r="U22" s="1245"/>
      <c r="V22" s="1379"/>
      <c r="W22" s="1247">
        <v>4</v>
      </c>
      <c r="X22" s="1245"/>
      <c r="Y22" s="1246"/>
      <c r="Z22" s="1295"/>
      <c r="AA22" s="1245"/>
      <c r="AB22" s="1246"/>
      <c r="AC22" s="1249"/>
    </row>
    <row r="23" spans="1:34" ht="30" customHeight="1">
      <c r="A23" s="1104" t="s">
        <v>1990</v>
      </c>
      <c r="B23" s="2095">
        <v>22.8</v>
      </c>
      <c r="C23" s="2097" t="s">
        <v>24</v>
      </c>
      <c r="D23" s="2234" t="s">
        <v>1885</v>
      </c>
      <c r="E23" s="1064">
        <v>0</v>
      </c>
      <c r="F23" s="1138" t="s">
        <v>1883</v>
      </c>
      <c r="G23" s="1139">
        <f>E23*U23</f>
        <v>0</v>
      </c>
      <c r="H23" s="1193">
        <v>0</v>
      </c>
      <c r="I23" s="1193">
        <v>0</v>
      </c>
      <c r="J23" s="1193">
        <v>0</v>
      </c>
      <c r="K23" s="1217"/>
      <c r="L23" s="2150"/>
      <c r="M23" s="1142"/>
      <c r="N23" s="1204"/>
      <c r="O23" s="2522">
        <v>22.8</v>
      </c>
      <c r="P23" s="1160"/>
      <c r="Q23" s="1335"/>
      <c r="R23" s="1161"/>
      <c r="S23" s="1309"/>
      <c r="T23" s="1162"/>
      <c r="U23" s="1160">
        <v>4</v>
      </c>
      <c r="V23" s="1380"/>
      <c r="W23" s="1381"/>
      <c r="X23" s="1160"/>
      <c r="Y23" s="1161"/>
      <c r="Z23" s="1309"/>
      <c r="AA23" s="1160"/>
      <c r="AB23" s="1161"/>
      <c r="AC23" s="1162"/>
    </row>
    <row r="24" spans="1:34" s="1078" customFormat="1" ht="30" customHeight="1">
      <c r="A24" s="1104" t="s">
        <v>1991</v>
      </c>
      <c r="B24" s="2096"/>
      <c r="C24" s="2098"/>
      <c r="D24" s="2277"/>
      <c r="E24" s="1064">
        <v>0</v>
      </c>
      <c r="F24" s="1138" t="s">
        <v>1833</v>
      </c>
      <c r="G24" s="1139">
        <f>E24*V24</f>
        <v>0</v>
      </c>
      <c r="H24" s="1241">
        <v>0</v>
      </c>
      <c r="I24" s="1241">
        <v>0</v>
      </c>
      <c r="J24" s="1241">
        <v>0</v>
      </c>
      <c r="K24" s="1237"/>
      <c r="L24" s="2150"/>
      <c r="M24" s="1173"/>
      <c r="N24" s="1142"/>
      <c r="O24" s="2524"/>
      <c r="P24" s="1290"/>
      <c r="Q24" s="1379"/>
      <c r="R24" s="1323"/>
      <c r="S24" s="1315"/>
      <c r="T24" s="1247"/>
      <c r="U24" s="1290"/>
      <c r="V24" s="1379">
        <v>8</v>
      </c>
      <c r="W24" s="1247"/>
      <c r="X24" s="1245"/>
      <c r="Y24" s="1246"/>
      <c r="Z24" s="1393"/>
      <c r="AA24" s="1394"/>
      <c r="AB24" s="1395"/>
      <c r="AC24" s="1396"/>
      <c r="AD24" s="1106"/>
      <c r="AE24" s="1106"/>
      <c r="AF24" s="1106"/>
      <c r="AG24" s="1106"/>
      <c r="AH24" s="1106"/>
    </row>
    <row r="25" spans="1:34" s="1078" customFormat="1" ht="30" customHeight="1">
      <c r="A25" s="1104" t="s">
        <v>1992</v>
      </c>
      <c r="B25" s="2095">
        <v>22.9</v>
      </c>
      <c r="C25" s="2097" t="s">
        <v>1897</v>
      </c>
      <c r="D25" s="2234" t="s">
        <v>1898</v>
      </c>
      <c r="E25" s="1064">
        <v>0</v>
      </c>
      <c r="F25" s="1210" t="s">
        <v>1899</v>
      </c>
      <c r="G25" s="1210">
        <f>E25*X25</f>
        <v>0</v>
      </c>
      <c r="H25" s="1241">
        <v>0</v>
      </c>
      <c r="I25" s="1241">
        <v>0</v>
      </c>
      <c r="J25" s="1241">
        <v>0</v>
      </c>
      <c r="K25" s="1238"/>
      <c r="L25" s="2150"/>
      <c r="M25" s="1173"/>
      <c r="N25" s="1142"/>
      <c r="O25" s="2522">
        <v>22.9</v>
      </c>
      <c r="P25" s="1160"/>
      <c r="Q25" s="1335"/>
      <c r="R25" s="1161"/>
      <c r="S25" s="1309"/>
      <c r="T25" s="1162"/>
      <c r="U25" s="1160"/>
      <c r="V25" s="1380"/>
      <c r="W25" s="1381"/>
      <c r="X25" s="1160">
        <v>1</v>
      </c>
      <c r="Y25" s="1161"/>
      <c r="Z25" s="1309"/>
      <c r="AA25" s="1160"/>
      <c r="AB25" s="1161"/>
      <c r="AC25" s="1162"/>
      <c r="AD25" s="1106"/>
      <c r="AE25" s="1106"/>
      <c r="AF25" s="1106"/>
      <c r="AG25" s="1106"/>
      <c r="AH25" s="1106"/>
    </row>
    <row r="26" spans="1:34" s="1078" customFormat="1" ht="30" customHeight="1">
      <c r="A26" s="1104" t="s">
        <v>1993</v>
      </c>
      <c r="B26" s="2096"/>
      <c r="C26" s="2098"/>
      <c r="D26" s="2277"/>
      <c r="E26" s="1064">
        <v>0</v>
      </c>
      <c r="F26" s="1210" t="s">
        <v>1900</v>
      </c>
      <c r="G26" s="1216">
        <f>E26*X26</f>
        <v>0</v>
      </c>
      <c r="H26" s="1241">
        <v>0</v>
      </c>
      <c r="I26" s="1241">
        <v>0</v>
      </c>
      <c r="J26" s="1241">
        <v>0</v>
      </c>
      <c r="K26" s="1238"/>
      <c r="L26" s="2150"/>
      <c r="M26" s="1173"/>
      <c r="N26" s="1142"/>
      <c r="O26" s="2524"/>
      <c r="P26" s="1290"/>
      <c r="Q26" s="1379"/>
      <c r="R26" s="1323"/>
      <c r="S26" s="1315"/>
      <c r="T26" s="1247"/>
      <c r="U26" s="1290"/>
      <c r="V26" s="1379"/>
      <c r="W26" s="1247"/>
      <c r="X26" s="1245">
        <v>2</v>
      </c>
      <c r="Y26" s="1246"/>
      <c r="Z26" s="1393"/>
      <c r="AA26" s="1394"/>
      <c r="AB26" s="1395"/>
      <c r="AC26" s="1396"/>
      <c r="AD26" s="1106"/>
      <c r="AE26" s="1106"/>
      <c r="AF26" s="1106"/>
      <c r="AG26" s="1106"/>
      <c r="AH26" s="1106"/>
    </row>
    <row r="27" spans="1:34" s="1078" customFormat="1" ht="30" customHeight="1">
      <c r="A27" s="1104" t="s">
        <v>1994</v>
      </c>
      <c r="B27" s="367">
        <v>22.1</v>
      </c>
      <c r="C27" s="265" t="s">
        <v>358</v>
      </c>
      <c r="D27" s="1210" t="s">
        <v>1901</v>
      </c>
      <c r="E27" s="1064">
        <v>0</v>
      </c>
      <c r="F27" s="1192"/>
      <c r="G27" s="1210">
        <f>E27*X27</f>
        <v>0</v>
      </c>
      <c r="H27" s="1241">
        <v>0</v>
      </c>
      <c r="I27" s="1241">
        <v>0</v>
      </c>
      <c r="J27" s="1241">
        <v>0</v>
      </c>
      <c r="K27" s="1238"/>
      <c r="L27" s="2150"/>
      <c r="M27" s="1173"/>
      <c r="N27" s="1142"/>
      <c r="O27" s="1239">
        <v>22.1</v>
      </c>
      <c r="P27" s="1363"/>
      <c r="Q27" s="1227"/>
      <c r="R27" s="1151"/>
      <c r="S27" s="1293"/>
      <c r="T27" s="1152"/>
      <c r="U27" s="1150"/>
      <c r="V27" s="1228"/>
      <c r="W27" s="1153"/>
      <c r="X27" s="1150">
        <v>2</v>
      </c>
      <c r="Y27" s="1151"/>
      <c r="Z27" s="1293"/>
      <c r="AA27" s="1150"/>
      <c r="AB27" s="1151"/>
      <c r="AC27" s="1152"/>
      <c r="AD27" s="1106"/>
      <c r="AE27" s="1106"/>
      <c r="AF27" s="1106"/>
      <c r="AG27" s="1106"/>
      <c r="AH27" s="1106"/>
    </row>
    <row r="28" spans="1:34" s="1078" customFormat="1" ht="30" customHeight="1">
      <c r="A28" s="1104" t="s">
        <v>1995</v>
      </c>
      <c r="B28" s="2558">
        <v>22.11</v>
      </c>
      <c r="C28" s="2097" t="s">
        <v>1902</v>
      </c>
      <c r="D28" s="1210" t="s">
        <v>1903</v>
      </c>
      <c r="E28" s="1064">
        <v>0</v>
      </c>
      <c r="F28" s="1993" t="str">
        <f>IF($F$11=0,"",$F$11)</f>
        <v/>
      </c>
      <c r="G28" s="1215">
        <f>ROUNDUP(E28*(IF(F28="Low",Q28,(IF(F28="Mid",R28,(IF(F28="Upper",S28,0)))))),0)</f>
        <v>0</v>
      </c>
      <c r="H28" s="1241">
        <v>0</v>
      </c>
      <c r="I28" s="1241">
        <v>0</v>
      </c>
      <c r="J28" s="1241">
        <v>0</v>
      </c>
      <c r="K28" s="1238"/>
      <c r="L28" s="2150"/>
      <c r="M28" s="1173"/>
      <c r="N28" s="1142"/>
      <c r="O28" s="2560">
        <v>22.11</v>
      </c>
      <c r="P28" s="1160"/>
      <c r="Q28" s="1335">
        <v>16</v>
      </c>
      <c r="R28" s="1161">
        <v>16</v>
      </c>
      <c r="S28" s="1309">
        <v>24</v>
      </c>
      <c r="T28" s="1162"/>
      <c r="U28" s="1160"/>
      <c r="V28" s="1380"/>
      <c r="W28" s="1381"/>
      <c r="X28" s="1160"/>
      <c r="Y28" s="1161"/>
      <c r="Z28" s="1309"/>
      <c r="AA28" s="1160"/>
      <c r="AB28" s="1161"/>
      <c r="AC28" s="1162"/>
      <c r="AD28" s="1106"/>
      <c r="AE28" s="1106"/>
      <c r="AF28" s="1106"/>
      <c r="AG28" s="1106"/>
      <c r="AH28" s="1106"/>
    </row>
    <row r="29" spans="1:34" s="1078" customFormat="1" ht="30" customHeight="1">
      <c r="A29" s="1104" t="s">
        <v>1996</v>
      </c>
      <c r="B29" s="2559"/>
      <c r="C29" s="2098"/>
      <c r="D29" s="1210" t="s">
        <v>1904</v>
      </c>
      <c r="E29" s="1064">
        <v>0</v>
      </c>
      <c r="F29" s="1993" t="str">
        <f>IF($F$11=0,"",$F$11)</f>
        <v/>
      </c>
      <c r="G29" s="1215">
        <f>ROUNDUP(E29*(IF(F29="Low",Q29,(IF(F29="Mid",R29,(IF(F29="Upper",S29,0)))))),0)</f>
        <v>0</v>
      </c>
      <c r="H29" s="1241">
        <v>0</v>
      </c>
      <c r="I29" s="1241">
        <v>0</v>
      </c>
      <c r="J29" s="1241">
        <v>0</v>
      </c>
      <c r="K29" s="1238"/>
      <c r="L29" s="2150"/>
      <c r="M29" s="1173"/>
      <c r="N29" s="1142"/>
      <c r="O29" s="2561"/>
      <c r="P29" s="1290"/>
      <c r="Q29" s="1379">
        <v>24</v>
      </c>
      <c r="R29" s="1323">
        <v>24</v>
      </c>
      <c r="S29" s="1315">
        <v>32</v>
      </c>
      <c r="T29" s="1247"/>
      <c r="U29" s="1290"/>
      <c r="V29" s="1379"/>
      <c r="W29" s="1247"/>
      <c r="X29" s="1245"/>
      <c r="Y29" s="1246"/>
      <c r="Z29" s="1393"/>
      <c r="AA29" s="1394"/>
      <c r="AB29" s="1395"/>
      <c r="AC29" s="1396"/>
      <c r="AD29" s="1106"/>
      <c r="AE29" s="1106"/>
      <c r="AF29" s="1106"/>
      <c r="AG29" s="1106"/>
      <c r="AH29" s="1106"/>
    </row>
    <row r="30" spans="1:34" s="1078" customFormat="1" ht="30" customHeight="1" thickBot="1">
      <c r="A30" s="1104" t="s">
        <v>1997</v>
      </c>
      <c r="B30" s="1242">
        <v>22.12</v>
      </c>
      <c r="C30" s="1243" t="s">
        <v>2034</v>
      </c>
      <c r="D30" s="1071" t="s">
        <v>1893</v>
      </c>
      <c r="E30" s="1221">
        <v>0</v>
      </c>
      <c r="F30" s="1244"/>
      <c r="G30" s="1071">
        <f>E30*X30</f>
        <v>0</v>
      </c>
      <c r="H30" s="1196">
        <v>0</v>
      </c>
      <c r="I30" s="1196">
        <v>0</v>
      </c>
      <c r="J30" s="1196">
        <v>0</v>
      </c>
      <c r="K30" s="1219"/>
      <c r="L30" s="2218"/>
      <c r="M30" s="1173"/>
      <c r="N30" s="1142"/>
      <c r="O30" s="1239">
        <v>22.12</v>
      </c>
      <c r="P30" s="1363"/>
      <c r="Q30" s="1227"/>
      <c r="R30" s="1151"/>
      <c r="S30" s="1293"/>
      <c r="T30" s="1152"/>
      <c r="U30" s="1150"/>
      <c r="V30" s="1228"/>
      <c r="W30" s="1153"/>
      <c r="X30" s="1150">
        <v>4</v>
      </c>
      <c r="Y30" s="1151"/>
      <c r="Z30" s="1293"/>
      <c r="AA30" s="1150"/>
      <c r="AB30" s="1151"/>
      <c r="AC30" s="1152"/>
      <c r="AD30" s="1106"/>
      <c r="AE30" s="1106"/>
      <c r="AF30" s="1106"/>
      <c r="AG30" s="1106"/>
      <c r="AH30" s="1106"/>
    </row>
    <row r="31" spans="1:34" ht="19.2" customHeight="1" thickBot="1">
      <c r="B31" s="2246" t="s">
        <v>2025</v>
      </c>
      <c r="C31" s="2247"/>
      <c r="D31" s="2247"/>
      <c r="E31" s="2247"/>
      <c r="F31" s="2247"/>
      <c r="G31" s="1079">
        <f>SUM(G12:G30)</f>
        <v>0</v>
      </c>
      <c r="H31" s="1079">
        <f>SUM(H12:H30)</f>
        <v>0</v>
      </c>
      <c r="I31" s="1079">
        <f>SUM(I12:I30)</f>
        <v>0</v>
      </c>
      <c r="J31" s="1080">
        <f>SUM(J12:J30)</f>
        <v>0</v>
      </c>
      <c r="K31" s="1198"/>
      <c r="L31" s="2189"/>
      <c r="M31" s="1173"/>
      <c r="N31" s="1142"/>
      <c r="O31" s="1142"/>
      <c r="P31" s="1142"/>
      <c r="Q31" s="1207"/>
      <c r="R31" s="1207"/>
      <c r="S31" s="1207"/>
      <c r="T31" s="1207"/>
      <c r="U31" s="1207"/>
      <c r="V31" s="1144"/>
      <c r="W31" s="1144"/>
      <c r="X31" s="1144"/>
      <c r="Y31" s="1372"/>
      <c r="Z31" s="1372"/>
      <c r="AA31" s="1372"/>
      <c r="AB31" s="1373"/>
      <c r="AC31" s="1373"/>
    </row>
    <row r="32" spans="1:34" ht="30" customHeight="1">
      <c r="A32" s="1104" t="s">
        <v>1998</v>
      </c>
      <c r="B32" s="1134">
        <v>20.13</v>
      </c>
      <c r="C32" s="1189" t="s">
        <v>307</v>
      </c>
      <c r="D32" s="1070" t="s">
        <v>878</v>
      </c>
      <c r="E32" s="1211">
        <v>1</v>
      </c>
      <c r="F32" s="1347">
        <v>0.05</v>
      </c>
      <c r="G32" s="1578">
        <f>IF($E32=0,0,ROUNDUP($F32*G31,0))</f>
        <v>0</v>
      </c>
      <c r="H32" s="1578">
        <f>IF($E32=0,0,ROUNDUP($F32*H31,0))</f>
        <v>0</v>
      </c>
      <c r="I32" s="1578">
        <f>IF($E32=0,0,ROUNDUP($F32*I31,0))</f>
        <v>0</v>
      </c>
      <c r="J32" s="1065">
        <f>IF($E32=0,0,ROUNDUP($F32*J31,0))</f>
        <v>0</v>
      </c>
      <c r="K32" s="1081"/>
      <c r="L32" s="2190"/>
      <c r="M32" s="1173"/>
      <c r="N32" s="1142"/>
      <c r="O32" s="1205">
        <v>20.100000000000001</v>
      </c>
      <c r="P32" s="1364"/>
      <c r="Q32" s="1228"/>
      <c r="R32" s="1206"/>
      <c r="S32" s="1314"/>
      <c r="T32" s="1153"/>
      <c r="U32" s="1154"/>
      <c r="V32" s="1228"/>
      <c r="W32" s="1153"/>
      <c r="X32" s="1150"/>
      <c r="Y32" s="1368"/>
      <c r="Z32" s="1369"/>
      <c r="AA32" s="1370"/>
      <c r="AB32" s="1369"/>
      <c r="AC32" s="1371"/>
    </row>
    <row r="33" spans="1:29" ht="30" customHeight="1" thickBot="1">
      <c r="A33" s="1104" t="s">
        <v>1999</v>
      </c>
      <c r="B33" s="1135">
        <v>20.14</v>
      </c>
      <c r="C33" s="1197" t="s">
        <v>169</v>
      </c>
      <c r="D33" s="1071" t="s">
        <v>878</v>
      </c>
      <c r="E33" s="1211">
        <v>1</v>
      </c>
      <c r="F33" s="1560">
        <v>0.05</v>
      </c>
      <c r="G33" s="1559">
        <f>IF($E33=0,0,ROUNDUP($F33*G31,0))</f>
        <v>0</v>
      </c>
      <c r="H33" s="1559">
        <f>IF($E33=0,0,ROUNDUP($F33*H31,0))</f>
        <v>0</v>
      </c>
      <c r="I33" s="1559">
        <f>IF($E33=0,0,ROUNDUP($F33*I31,0))</f>
        <v>0</v>
      </c>
      <c r="J33" s="1065">
        <f>IF($E33=0,0,ROUNDUP($F33*J31,0))</f>
        <v>0</v>
      </c>
      <c r="K33" s="1082"/>
      <c r="L33" s="2190"/>
      <c r="M33" s="1173"/>
      <c r="N33" s="1142"/>
      <c r="O33" s="1205">
        <v>20.11</v>
      </c>
      <c r="P33" s="1364"/>
      <c r="Q33" s="1228"/>
      <c r="R33" s="1206"/>
      <c r="S33" s="1314"/>
      <c r="T33" s="1153"/>
      <c r="U33" s="1154"/>
      <c r="V33" s="1228"/>
      <c r="W33" s="1153"/>
      <c r="X33" s="1150"/>
      <c r="Y33" s="1368"/>
      <c r="Z33" s="1369"/>
      <c r="AA33" s="1370"/>
      <c r="AB33" s="1368"/>
      <c r="AC33" s="1371"/>
    </row>
    <row r="34" spans="1:29" ht="20.100000000000001" customHeight="1" thickBot="1">
      <c r="B34" s="2183" t="s">
        <v>2022</v>
      </c>
      <c r="C34" s="2184"/>
      <c r="D34" s="2184"/>
      <c r="E34" s="2184"/>
      <c r="F34" s="2185"/>
      <c r="G34" s="1132">
        <f>SUM(G31:G33)</f>
        <v>0</v>
      </c>
      <c r="H34" s="1132">
        <f>SUM(H31:H33)</f>
        <v>0</v>
      </c>
      <c r="I34" s="1132">
        <f>SUM(I31:I33)</f>
        <v>0</v>
      </c>
      <c r="J34" s="1132">
        <f>SUM(J31:J33)</f>
        <v>0</v>
      </c>
      <c r="K34" s="1199"/>
      <c r="L34" s="2191"/>
      <c r="M34" s="1142"/>
      <c r="N34" s="1142"/>
      <c r="O34" s="1142"/>
      <c r="P34" s="1142"/>
      <c r="Q34" s="1142"/>
      <c r="R34" s="1142"/>
      <c r="S34" s="1142"/>
      <c r="T34" s="1142"/>
      <c r="U34" s="1142"/>
      <c r="V34" s="1142"/>
      <c r="W34" s="1142"/>
      <c r="X34" s="1142"/>
      <c r="Y34" s="1203"/>
      <c r="Z34" s="1203"/>
      <c r="AA34" s="1203"/>
    </row>
    <row r="35" spans="1:29">
      <c r="J35" s="182" t="s">
        <v>1858</v>
      </c>
    </row>
  </sheetData>
  <sheetProtection algorithmName="SHA-512" hashValue="hNvS13PQ9JDx7SKJn/7Yn5dwpD2N3WJTjHjrfOaAT48m7SQxs8HyVjCWibvjI6ThPHKDuX/7DJAccW3MtSX8mw==" saltValue="kjW1r7I0SIp597vDdX2yUw==" spinCount="100000" sheet="1" formatCells="0" formatColumns="0" formatRows="0" insertColumns="0" insertRows="0"/>
  <mergeCells count="49">
    <mergeCell ref="P9:T9"/>
    <mergeCell ref="X9:Z9"/>
    <mergeCell ref="AA9:AC9"/>
    <mergeCell ref="B5:C5"/>
    <mergeCell ref="D5:J5"/>
    <mergeCell ref="B6:C6"/>
    <mergeCell ref="D6:J6"/>
    <mergeCell ref="U9:W9"/>
    <mergeCell ref="B9:B10"/>
    <mergeCell ref="C9:C10"/>
    <mergeCell ref="O9:O10"/>
    <mergeCell ref="K10:K11"/>
    <mergeCell ref="L5:L11"/>
    <mergeCell ref="B11:E11"/>
    <mergeCell ref="G10:G11"/>
    <mergeCell ref="H10:H11"/>
    <mergeCell ref="B1:C3"/>
    <mergeCell ref="D1:J3"/>
    <mergeCell ref="L1:L3"/>
    <mergeCell ref="B4:C4"/>
    <mergeCell ref="D4:J4"/>
    <mergeCell ref="O25:O26"/>
    <mergeCell ref="B28:B29"/>
    <mergeCell ref="C28:C29"/>
    <mergeCell ref="B17:B18"/>
    <mergeCell ref="C17:C18"/>
    <mergeCell ref="O17:O18"/>
    <mergeCell ref="O28:O29"/>
    <mergeCell ref="O20:O22"/>
    <mergeCell ref="B23:B24"/>
    <mergeCell ref="C23:C24"/>
    <mergeCell ref="D23:D24"/>
    <mergeCell ref="O23:O24"/>
    <mergeCell ref="B12:B13"/>
    <mergeCell ref="B20:B22"/>
    <mergeCell ref="C20:C22"/>
    <mergeCell ref="L12:L30"/>
    <mergeCell ref="D20:D22"/>
    <mergeCell ref="B31:F31"/>
    <mergeCell ref="L31:L34"/>
    <mergeCell ref="B25:B26"/>
    <mergeCell ref="C25:C26"/>
    <mergeCell ref="D25:D26"/>
    <mergeCell ref="B34:F34"/>
    <mergeCell ref="I10:I11"/>
    <mergeCell ref="J10:J11"/>
    <mergeCell ref="D9:F9"/>
    <mergeCell ref="G9:J9"/>
    <mergeCell ref="O12:O13"/>
  </mergeCells>
  <phoneticPr fontId="51" type="noConversion"/>
  <dataValidations xWindow="632" yWindow="281" count="8">
    <dataValidation type="whole" operator="greaterThanOrEqual" allowBlank="1" showInputMessage="1" showErrorMessage="1" error="Input a whole number greater than or equal to zero." sqref="E20:E22 E25:E26" xr:uid="{AA2A1AE2-3095-4F9C-9AA7-99711E90BAFB}">
      <formula1>0</formula1>
    </dataValidation>
    <dataValidation type="whole" operator="greaterThanOrEqual" allowBlank="1" showInputMessage="1" showErrorMessage="1" error="Input a positive whole number." sqref="E16" xr:uid="{2E02D4FC-E8A6-441F-B0CB-17D980785A7E}">
      <formula1>0</formula1>
    </dataValidation>
    <dataValidation type="whole" operator="greaterThanOrEqual" allowBlank="1" showInputMessage="1" showErrorMessage="1" error="Input a whole number greater or equal to zero." sqref="E23:E24 E17:E19 E27:E30 E15" xr:uid="{6BA2EF4A-DE30-49BA-8782-5FCE14D116B4}">
      <formula1>0</formula1>
    </dataValidation>
    <dataValidation type="whole" allowBlank="1" showInputMessage="1" showErrorMessage="1" error="Enter 1 or 0._x000a_Yes=1_x000a_No=0" sqref="E12 E14 E32:E33" xr:uid="{F3623C7C-C6B9-48CD-90A3-A6D54769E63E}">
      <formula1>0</formula1>
      <formula2>1</formula2>
    </dataValidation>
    <dataValidation type="whole" allowBlank="1" showInputMessage="1" showErrorMessage="1" error="Enter 1 or 0._x000a_Yes=1_x000a_No=2" sqref="E13" xr:uid="{3248F45B-CE7A-4973-B4C6-72670412F6C2}">
      <formula1>0</formula1>
      <formula2>1</formula2>
    </dataValidation>
    <dataValidation type="list" allowBlank="1" showInputMessage="1" showErrorMessage="1" promptTitle="Complexity" prompt="What is the estimated complexity of the General Notes/Pay Item Notes Sheet?" sqref="F14" xr:uid="{E00894E7-DC2A-46E1-9A9A-533EB1917F8D}">
      <formula1>$U$10:$W$10</formula1>
    </dataValidation>
    <dataValidation type="list" allowBlank="1" showInputMessage="1" showErrorMessage="1" prompt="What is the estimated complexity of the signalization project?" sqref="F11" xr:uid="{01FFC431-FEA2-4FEF-952D-A6C1311D2F5D}">
      <formula1>$Q$10:$S$10</formula1>
    </dataValidation>
    <dataValidation type="list" allowBlank="1" showInputMessage="1" showErrorMessage="1" sqref="F15:F16 F28:F29" xr:uid="{82736308-B4D0-4179-A116-F9B9D3B53C25}">
      <formula1>$Q$10:$S$10</formula1>
    </dataValidation>
  </dataValidations>
  <hyperlinks>
    <hyperlink ref="L4" r:id="rId1" display="Video Tutorial - A short webinar for the Drainage Plans tab" xr:uid="{97E9BC56-E646-4F56-84AD-A71484D9B0AA}"/>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N52"/>
  <sheetViews>
    <sheetView showGridLines="0" showRuler="0" zoomScaleNormal="100" zoomScaleSheetLayoutView="140" workbookViewId="0"/>
  </sheetViews>
  <sheetFormatPr defaultColWidth="9.109375" defaultRowHeight="13.2"/>
  <cols>
    <col min="1" max="1" width="41" style="195" bestFit="1" customWidth="1"/>
    <col min="2" max="2" width="8.6640625" style="195" customWidth="1"/>
    <col min="3" max="3" width="7.44140625" style="195" customWidth="1"/>
    <col min="4" max="4" width="6.6640625" style="195" customWidth="1"/>
    <col min="5" max="5" width="8.6640625" style="195" customWidth="1"/>
    <col min="6" max="6" width="8.5546875" style="195" customWidth="1"/>
    <col min="7" max="7" width="8.44140625" style="195" customWidth="1"/>
    <col min="8" max="8" width="10.44140625" style="195" customWidth="1"/>
    <col min="9" max="9" width="10.6640625" style="195" customWidth="1"/>
    <col min="10" max="10" width="5.6640625" style="195" customWidth="1"/>
    <col min="11" max="11" width="16.6640625" style="195" customWidth="1"/>
    <col min="12" max="12" width="9.33203125" style="195" customWidth="1"/>
    <col min="13" max="16384" width="9.109375" style="195"/>
  </cols>
  <sheetData>
    <row r="1" spans="1:14" ht="20.100000000000001" customHeight="1">
      <c r="A1" s="188" t="s">
        <v>106</v>
      </c>
      <c r="B1" s="954" t="s">
        <v>1774</v>
      </c>
      <c r="C1" s="189"/>
      <c r="D1" s="190"/>
      <c r="E1" s="191"/>
      <c r="F1" s="192"/>
      <c r="G1" s="1998" t="s">
        <v>107</v>
      </c>
      <c r="H1" s="1998"/>
      <c r="I1" s="1998"/>
      <c r="J1" s="1998"/>
      <c r="K1" s="1998"/>
      <c r="L1" s="957" t="s">
        <v>568</v>
      </c>
      <c r="M1" s="193"/>
      <c r="N1" s="194"/>
    </row>
    <row r="2" spans="1:14" ht="20.100000000000001" customHeight="1">
      <c r="A2" s="196" t="s">
        <v>771</v>
      </c>
      <c r="B2" s="955" t="s">
        <v>772</v>
      </c>
      <c r="C2" s="238"/>
      <c r="D2" s="238"/>
      <c r="E2" s="955"/>
      <c r="F2" s="238"/>
      <c r="G2" s="238"/>
      <c r="J2" s="197"/>
      <c r="K2" s="198" t="s">
        <v>570</v>
      </c>
      <c r="L2" s="958" t="s">
        <v>773</v>
      </c>
      <c r="M2" s="199"/>
      <c r="N2" s="200"/>
    </row>
    <row r="3" spans="1:14" ht="20.100000000000001" customHeight="1">
      <c r="A3" s="196" t="s">
        <v>108</v>
      </c>
      <c r="B3" s="956" t="s">
        <v>836</v>
      </c>
      <c r="C3" s="239"/>
      <c r="D3" s="239"/>
      <c r="E3" s="239"/>
      <c r="F3" s="239"/>
      <c r="G3" s="239"/>
      <c r="H3" s="239"/>
      <c r="I3" s="239"/>
      <c r="J3" s="239"/>
      <c r="K3" s="239"/>
      <c r="L3" s="239"/>
      <c r="N3" s="200"/>
    </row>
    <row r="4" spans="1:14" ht="20.100000000000001" customHeight="1">
      <c r="A4" s="196" t="s">
        <v>103</v>
      </c>
      <c r="B4" s="1999"/>
      <c r="C4" s="1999"/>
      <c r="D4" s="2000" t="s">
        <v>104</v>
      </c>
      <c r="E4" s="2000"/>
      <c r="F4" s="1999"/>
      <c r="G4" s="1999"/>
      <c r="H4" s="2000" t="s">
        <v>109</v>
      </c>
      <c r="I4" s="2000"/>
      <c r="J4" s="202"/>
      <c r="K4" s="203" t="s">
        <v>110</v>
      </c>
      <c r="N4" s="200"/>
    </row>
    <row r="5" spans="1:14" ht="20.100000000000001" customHeight="1">
      <c r="A5" s="196" t="s">
        <v>105</v>
      </c>
      <c r="B5" s="2001"/>
      <c r="C5" s="2001"/>
      <c r="D5" s="2000" t="s">
        <v>112</v>
      </c>
      <c r="E5" s="2000"/>
      <c r="F5" s="2002"/>
      <c r="G5" s="2002"/>
      <c r="H5" s="195" t="s">
        <v>1190</v>
      </c>
      <c r="J5" s="204"/>
      <c r="K5" s="201" t="s">
        <v>125</v>
      </c>
      <c r="L5" s="205"/>
      <c r="M5" s="195" t="s">
        <v>113</v>
      </c>
      <c r="N5" s="200"/>
    </row>
    <row r="6" spans="1:14" ht="20.100000000000001" customHeight="1">
      <c r="A6" s="196" t="s">
        <v>122</v>
      </c>
      <c r="B6" s="202"/>
      <c r="C6" s="2011" t="s">
        <v>123</v>
      </c>
      <c r="D6" s="2011"/>
      <c r="E6" s="2000" t="s">
        <v>126</v>
      </c>
      <c r="F6" s="2000"/>
      <c r="G6" s="2000"/>
      <c r="H6" s="2000"/>
      <c r="I6" s="206"/>
      <c r="J6" s="204"/>
      <c r="K6" s="201" t="s">
        <v>124</v>
      </c>
      <c r="L6" s="207"/>
      <c r="M6" s="195" t="s">
        <v>1191</v>
      </c>
      <c r="N6" s="200"/>
    </row>
    <row r="7" spans="1:14" ht="20.100000000000001" customHeight="1">
      <c r="A7" s="196" t="s">
        <v>132</v>
      </c>
      <c r="B7" s="2010"/>
      <c r="C7" s="2010"/>
      <c r="E7" s="2012" t="s">
        <v>1654</v>
      </c>
      <c r="F7" s="2000"/>
      <c r="G7" s="207"/>
      <c r="H7" s="199"/>
      <c r="J7" s="2000" t="s">
        <v>369</v>
      </c>
      <c r="K7" s="2000"/>
      <c r="L7" s="208"/>
      <c r="N7" s="200"/>
    </row>
    <row r="8" spans="1:14" ht="20.100000000000001" customHeight="1">
      <c r="A8" s="196" t="s">
        <v>1161</v>
      </c>
      <c r="B8" s="2009" t="s">
        <v>127</v>
      </c>
      <c r="C8" s="2010"/>
      <c r="D8" s="2010"/>
      <c r="E8" s="2010"/>
      <c r="F8" s="2000" t="s">
        <v>1162</v>
      </c>
      <c r="G8" s="2000"/>
      <c r="H8" s="2000"/>
      <c r="I8" s="2009" t="s">
        <v>127</v>
      </c>
      <c r="J8" s="2010"/>
      <c r="K8" s="2010"/>
      <c r="L8" s="2010"/>
      <c r="N8" s="200"/>
    </row>
    <row r="9" spans="1:14" ht="20.100000000000001" customHeight="1">
      <c r="A9" s="209"/>
      <c r="B9" s="2009" t="s">
        <v>128</v>
      </c>
      <c r="C9" s="2010"/>
      <c r="D9" s="2010"/>
      <c r="E9" s="2010"/>
      <c r="F9" s="210"/>
      <c r="I9" s="2009" t="s">
        <v>128</v>
      </c>
      <c r="J9" s="2010"/>
      <c r="K9" s="2010"/>
      <c r="L9" s="2010"/>
      <c r="N9" s="200"/>
    </row>
    <row r="10" spans="1:14" ht="20.100000000000001" customHeight="1">
      <c r="A10" s="209"/>
      <c r="B10" s="2009" t="s">
        <v>129</v>
      </c>
      <c r="C10" s="2009"/>
      <c r="D10" s="2009"/>
      <c r="E10" s="2009"/>
      <c r="F10" s="210"/>
      <c r="I10" s="2009" t="s">
        <v>129</v>
      </c>
      <c r="J10" s="2010"/>
      <c r="K10" s="2010"/>
      <c r="L10" s="2010"/>
      <c r="N10" s="200"/>
    </row>
    <row r="11" spans="1:14" ht="20.100000000000001" customHeight="1">
      <c r="A11" s="209"/>
      <c r="B11" s="2009" t="s">
        <v>130</v>
      </c>
      <c r="C11" s="2010"/>
      <c r="D11" s="2010"/>
      <c r="E11" s="2010"/>
      <c r="F11" s="210"/>
      <c r="I11" s="2009" t="s">
        <v>130</v>
      </c>
      <c r="J11" s="2010"/>
      <c r="K11" s="2010"/>
      <c r="L11" s="2010"/>
      <c r="N11" s="200"/>
    </row>
    <row r="12" spans="1:14" ht="20.100000000000001" customHeight="1">
      <c r="A12" s="209"/>
      <c r="B12" s="2009" t="s">
        <v>131</v>
      </c>
      <c r="C12" s="2010"/>
      <c r="D12" s="2010"/>
      <c r="E12" s="2010"/>
      <c r="F12" s="210"/>
      <c r="I12" s="2009" t="s">
        <v>131</v>
      </c>
      <c r="J12" s="2010"/>
      <c r="K12" s="2010"/>
      <c r="L12" s="2010"/>
      <c r="N12" s="200"/>
    </row>
    <row r="13" spans="1:14" ht="6" customHeight="1">
      <c r="A13" s="209"/>
      <c r="J13" s="211"/>
      <c r="N13" s="200"/>
    </row>
    <row r="14" spans="1:14" ht="20.100000000000001" customHeight="1">
      <c r="A14" s="196" t="s">
        <v>446</v>
      </c>
      <c r="B14" s="202"/>
      <c r="C14" s="195" t="s">
        <v>1163</v>
      </c>
      <c r="F14" s="203"/>
      <c r="G14" s="201" t="s">
        <v>1192</v>
      </c>
      <c r="H14" s="212"/>
      <c r="I14" s="213"/>
      <c r="J14" s="1043" t="s">
        <v>1678</v>
      </c>
      <c r="M14" s="212"/>
      <c r="N14" s="200"/>
    </row>
    <row r="15" spans="1:14" ht="6" customHeight="1" thickBot="1">
      <c r="A15" s="209"/>
      <c r="N15" s="200"/>
    </row>
    <row r="16" spans="1:14" s="214" customFormat="1" ht="21" customHeight="1">
      <c r="A16" s="2003" t="s">
        <v>1193</v>
      </c>
      <c r="B16" s="2005" t="s">
        <v>1194</v>
      </c>
      <c r="C16" s="2005"/>
      <c r="D16" s="2005"/>
      <c r="E16" s="2005"/>
      <c r="F16" s="2005"/>
      <c r="G16" s="2005"/>
      <c r="H16" s="2005"/>
      <c r="I16" s="2005" t="s">
        <v>1195</v>
      </c>
      <c r="J16" s="2005"/>
      <c r="K16" s="2005"/>
      <c r="L16" s="2005"/>
      <c r="M16" s="2005"/>
      <c r="N16" s="2006"/>
    </row>
    <row r="17" spans="1:14" s="214" customFormat="1" ht="21" customHeight="1" thickBot="1">
      <c r="A17" s="2004"/>
      <c r="B17" s="2007" t="s">
        <v>1196</v>
      </c>
      <c r="C17" s="2007"/>
      <c r="D17" s="2007"/>
      <c r="E17" s="2007"/>
      <c r="F17" s="2007" t="s">
        <v>841</v>
      </c>
      <c r="G17" s="2007"/>
      <c r="H17" s="2007"/>
      <c r="I17" s="2007" t="s">
        <v>1196</v>
      </c>
      <c r="J17" s="2007"/>
      <c r="K17" s="2007"/>
      <c r="L17" s="2007" t="s">
        <v>841</v>
      </c>
      <c r="M17" s="2007"/>
      <c r="N17" s="2008"/>
    </row>
    <row r="18" spans="1:14" ht="15" customHeight="1" thickTop="1">
      <c r="A18" s="215" t="s">
        <v>1197</v>
      </c>
      <c r="B18" s="2013" t="s">
        <v>1198</v>
      </c>
      <c r="C18" s="2013"/>
      <c r="D18" s="2013"/>
      <c r="E18" s="2013"/>
      <c r="F18" s="2013" t="s">
        <v>1199</v>
      </c>
      <c r="G18" s="2013"/>
      <c r="H18" s="2013"/>
      <c r="I18" s="2013" t="s">
        <v>1198</v>
      </c>
      <c r="J18" s="2013"/>
      <c r="K18" s="2013"/>
      <c r="L18" s="2013" t="s">
        <v>1199</v>
      </c>
      <c r="M18" s="2013"/>
      <c r="N18" s="2014"/>
    </row>
    <row r="19" spans="1:14" ht="15" customHeight="1">
      <c r="A19" s="216" t="s">
        <v>551</v>
      </c>
      <c r="B19" s="1994" t="s">
        <v>1198</v>
      </c>
      <c r="C19" s="1994"/>
      <c r="D19" s="1994"/>
      <c r="E19" s="1994"/>
      <c r="F19" s="1994" t="s">
        <v>1199</v>
      </c>
      <c r="G19" s="1994"/>
      <c r="H19" s="1994"/>
      <c r="I19" s="1994" t="s">
        <v>1198</v>
      </c>
      <c r="J19" s="1994"/>
      <c r="K19" s="1994"/>
      <c r="L19" s="1994" t="s">
        <v>1199</v>
      </c>
      <c r="M19" s="1994"/>
      <c r="N19" s="1995"/>
    </row>
    <row r="20" spans="1:14" ht="15" customHeight="1">
      <c r="A20" s="217" t="s">
        <v>552</v>
      </c>
      <c r="B20" s="1994" t="s">
        <v>1198</v>
      </c>
      <c r="C20" s="1994"/>
      <c r="D20" s="1994"/>
      <c r="E20" s="1994"/>
      <c r="F20" s="1994" t="s">
        <v>1199</v>
      </c>
      <c r="G20" s="1994"/>
      <c r="H20" s="1994"/>
      <c r="I20" s="1994" t="s">
        <v>1198</v>
      </c>
      <c r="J20" s="1994"/>
      <c r="K20" s="1994"/>
      <c r="L20" s="1994" t="s">
        <v>1199</v>
      </c>
      <c r="M20" s="1994"/>
      <c r="N20" s="1995"/>
    </row>
    <row r="21" spans="1:14" ht="15" customHeight="1">
      <c r="A21" s="217" t="s">
        <v>1433</v>
      </c>
      <c r="B21" s="1994" t="s">
        <v>1198</v>
      </c>
      <c r="C21" s="1994"/>
      <c r="D21" s="1994"/>
      <c r="E21" s="1994"/>
      <c r="F21" s="1994" t="s">
        <v>1199</v>
      </c>
      <c r="G21" s="1994"/>
      <c r="H21" s="1994"/>
      <c r="I21" s="1994" t="s">
        <v>1198</v>
      </c>
      <c r="J21" s="1994"/>
      <c r="K21" s="1994"/>
      <c r="L21" s="1994" t="s">
        <v>1199</v>
      </c>
      <c r="M21" s="1994"/>
      <c r="N21" s="1995"/>
    </row>
    <row r="22" spans="1:14" ht="15" customHeight="1">
      <c r="A22" s="217" t="s">
        <v>1432</v>
      </c>
      <c r="B22" s="1994" t="s">
        <v>1198</v>
      </c>
      <c r="C22" s="1994"/>
      <c r="D22" s="1994"/>
      <c r="E22" s="1994"/>
      <c r="F22" s="1994" t="s">
        <v>1199</v>
      </c>
      <c r="G22" s="1994"/>
      <c r="H22" s="1994"/>
      <c r="I22" s="1994" t="s">
        <v>1198</v>
      </c>
      <c r="J22" s="1994"/>
      <c r="K22" s="1994"/>
      <c r="L22" s="1994" t="s">
        <v>1199</v>
      </c>
      <c r="M22" s="1994"/>
      <c r="N22" s="1995"/>
    </row>
    <row r="23" spans="1:14" ht="15" customHeight="1">
      <c r="A23" s="217" t="s">
        <v>2586</v>
      </c>
      <c r="B23" s="1994" t="s">
        <v>1198</v>
      </c>
      <c r="C23" s="1994"/>
      <c r="D23" s="1994"/>
      <c r="E23" s="1994"/>
      <c r="F23" s="1994" t="s">
        <v>1199</v>
      </c>
      <c r="G23" s="1994"/>
      <c r="H23" s="1994"/>
      <c r="I23" s="1994" t="s">
        <v>1198</v>
      </c>
      <c r="J23" s="1994"/>
      <c r="K23" s="1994"/>
      <c r="L23" s="1994" t="s">
        <v>1199</v>
      </c>
      <c r="M23" s="1994"/>
      <c r="N23" s="1995"/>
    </row>
    <row r="24" spans="1:14" ht="15" customHeight="1">
      <c r="A24" s="217" t="s">
        <v>553</v>
      </c>
      <c r="B24" s="1994" t="s">
        <v>1198</v>
      </c>
      <c r="C24" s="1994"/>
      <c r="D24" s="1994"/>
      <c r="E24" s="1994"/>
      <c r="F24" s="1994" t="s">
        <v>1199</v>
      </c>
      <c r="G24" s="1994"/>
      <c r="H24" s="1994"/>
      <c r="I24" s="1994" t="s">
        <v>1198</v>
      </c>
      <c r="J24" s="1994"/>
      <c r="K24" s="1994"/>
      <c r="L24" s="1994" t="s">
        <v>1199</v>
      </c>
      <c r="M24" s="1994"/>
      <c r="N24" s="1995"/>
    </row>
    <row r="25" spans="1:14" ht="15" customHeight="1">
      <c r="A25" s="216" t="s">
        <v>1679</v>
      </c>
      <c r="B25" s="1994" t="s">
        <v>1198</v>
      </c>
      <c r="C25" s="1994"/>
      <c r="D25" s="1994"/>
      <c r="E25" s="1994"/>
      <c r="F25" s="1994" t="s">
        <v>1199</v>
      </c>
      <c r="G25" s="1994"/>
      <c r="H25" s="1994"/>
      <c r="I25" s="1994" t="s">
        <v>1198</v>
      </c>
      <c r="J25" s="1994"/>
      <c r="K25" s="1994"/>
      <c r="L25" s="1994" t="s">
        <v>1199</v>
      </c>
      <c r="M25" s="1994"/>
      <c r="N25" s="1995"/>
    </row>
    <row r="26" spans="1:14" ht="15" customHeight="1">
      <c r="A26" s="216" t="s">
        <v>1200</v>
      </c>
      <c r="B26" s="1994" t="s">
        <v>1198</v>
      </c>
      <c r="C26" s="1994"/>
      <c r="D26" s="1994"/>
      <c r="E26" s="1994"/>
      <c r="F26" s="1994" t="s">
        <v>1199</v>
      </c>
      <c r="G26" s="1994"/>
      <c r="H26" s="1994"/>
      <c r="I26" s="1994" t="s">
        <v>1198</v>
      </c>
      <c r="J26" s="1994"/>
      <c r="K26" s="1994"/>
      <c r="L26" s="1994" t="s">
        <v>1199</v>
      </c>
      <c r="M26" s="1994"/>
      <c r="N26" s="1995"/>
    </row>
    <row r="27" spans="1:14" ht="15" customHeight="1">
      <c r="A27" s="216" t="s">
        <v>968</v>
      </c>
      <c r="B27" s="1994" t="s">
        <v>1198</v>
      </c>
      <c r="C27" s="1994"/>
      <c r="D27" s="1994"/>
      <c r="E27" s="1994"/>
      <c r="F27" s="1994" t="s">
        <v>1199</v>
      </c>
      <c r="G27" s="1994"/>
      <c r="H27" s="1994"/>
      <c r="I27" s="1994" t="s">
        <v>1198</v>
      </c>
      <c r="J27" s="1994"/>
      <c r="K27" s="1994"/>
      <c r="L27" s="1994" t="s">
        <v>1199</v>
      </c>
      <c r="M27" s="1994"/>
      <c r="N27" s="1995"/>
    </row>
    <row r="28" spans="1:14" ht="15" customHeight="1">
      <c r="A28" s="216" t="s">
        <v>554</v>
      </c>
      <c r="B28" s="1994" t="s">
        <v>1198</v>
      </c>
      <c r="C28" s="1994"/>
      <c r="D28" s="1994"/>
      <c r="E28" s="1994"/>
      <c r="F28" s="1994" t="s">
        <v>1199</v>
      </c>
      <c r="G28" s="1994"/>
      <c r="H28" s="1994"/>
      <c r="I28" s="1994" t="s">
        <v>1198</v>
      </c>
      <c r="J28" s="1994"/>
      <c r="K28" s="1994"/>
      <c r="L28" s="1994" t="s">
        <v>1199</v>
      </c>
      <c r="M28" s="1994"/>
      <c r="N28" s="1995"/>
    </row>
    <row r="29" spans="1:14" ht="15" customHeight="1">
      <c r="A29" s="216" t="s">
        <v>1201</v>
      </c>
      <c r="B29" s="1994" t="s">
        <v>1198</v>
      </c>
      <c r="C29" s="1994"/>
      <c r="D29" s="1994"/>
      <c r="E29" s="1994"/>
      <c r="F29" s="1994" t="s">
        <v>1199</v>
      </c>
      <c r="G29" s="1994"/>
      <c r="H29" s="1994"/>
      <c r="I29" s="1994" t="s">
        <v>1198</v>
      </c>
      <c r="J29" s="1994"/>
      <c r="K29" s="1994"/>
      <c r="L29" s="1994" t="s">
        <v>1199</v>
      </c>
      <c r="M29" s="1994"/>
      <c r="N29" s="1995"/>
    </row>
    <row r="30" spans="1:14" ht="15" customHeight="1">
      <c r="A30" s="216" t="s">
        <v>1202</v>
      </c>
      <c r="B30" s="1994" t="s">
        <v>1198</v>
      </c>
      <c r="C30" s="1994"/>
      <c r="D30" s="1994"/>
      <c r="E30" s="1994"/>
      <c r="F30" s="1994" t="s">
        <v>1199</v>
      </c>
      <c r="G30" s="1994"/>
      <c r="H30" s="1994"/>
      <c r="I30" s="1994" t="s">
        <v>1198</v>
      </c>
      <c r="J30" s="1994"/>
      <c r="K30" s="1994"/>
      <c r="L30" s="1994" t="s">
        <v>1199</v>
      </c>
      <c r="M30" s="1994"/>
      <c r="N30" s="1995"/>
    </row>
    <row r="31" spans="1:14" ht="15" customHeight="1">
      <c r="A31" s="217" t="s">
        <v>1203</v>
      </c>
      <c r="B31" s="1994" t="s">
        <v>1198</v>
      </c>
      <c r="C31" s="1994"/>
      <c r="D31" s="1994"/>
      <c r="E31" s="1994"/>
      <c r="F31" s="1994" t="s">
        <v>1199</v>
      </c>
      <c r="G31" s="1994"/>
      <c r="H31" s="1994"/>
      <c r="I31" s="1994" t="s">
        <v>1198</v>
      </c>
      <c r="J31" s="1994"/>
      <c r="K31" s="1994"/>
      <c r="L31" s="1994" t="s">
        <v>1199</v>
      </c>
      <c r="M31" s="1994"/>
      <c r="N31" s="1995"/>
    </row>
    <row r="32" spans="1:14" ht="15" customHeight="1">
      <c r="A32" s="216" t="s">
        <v>1204</v>
      </c>
      <c r="B32" s="1994" t="s">
        <v>1198</v>
      </c>
      <c r="C32" s="1994"/>
      <c r="D32" s="1994"/>
      <c r="E32" s="1994"/>
      <c r="F32" s="1994" t="s">
        <v>1199</v>
      </c>
      <c r="G32" s="1994"/>
      <c r="H32" s="1994"/>
      <c r="I32" s="1994" t="s">
        <v>1198</v>
      </c>
      <c r="J32" s="1994"/>
      <c r="K32" s="1994"/>
      <c r="L32" s="1994" t="s">
        <v>1199</v>
      </c>
      <c r="M32" s="1994"/>
      <c r="N32" s="1995"/>
    </row>
    <row r="33" spans="1:14" ht="15" customHeight="1">
      <c r="A33" s="218" t="s">
        <v>555</v>
      </c>
      <c r="B33" s="1994" t="s">
        <v>1198</v>
      </c>
      <c r="C33" s="1994"/>
      <c r="D33" s="1994"/>
      <c r="E33" s="1994"/>
      <c r="F33" s="1994" t="s">
        <v>1199</v>
      </c>
      <c r="G33" s="1994"/>
      <c r="H33" s="1994"/>
      <c r="I33" s="1994" t="s">
        <v>1198</v>
      </c>
      <c r="J33" s="1994"/>
      <c r="K33" s="1994"/>
      <c r="L33" s="1994" t="s">
        <v>1199</v>
      </c>
      <c r="M33" s="1994"/>
      <c r="N33" s="1995"/>
    </row>
    <row r="34" spans="1:14" ht="15" customHeight="1">
      <c r="A34" s="218" t="s">
        <v>558</v>
      </c>
      <c r="B34" s="1994" t="s">
        <v>1198</v>
      </c>
      <c r="C34" s="1994"/>
      <c r="D34" s="1994"/>
      <c r="E34" s="1994"/>
      <c r="F34" s="1994" t="s">
        <v>1199</v>
      </c>
      <c r="G34" s="1994"/>
      <c r="H34" s="1994"/>
      <c r="I34" s="1994" t="s">
        <v>1198</v>
      </c>
      <c r="J34" s="1994"/>
      <c r="K34" s="1994"/>
      <c r="L34" s="1994" t="s">
        <v>1199</v>
      </c>
      <c r="M34" s="1994"/>
      <c r="N34" s="1995"/>
    </row>
    <row r="35" spans="1:14" ht="15" customHeight="1">
      <c r="A35" s="218" t="s">
        <v>559</v>
      </c>
      <c r="B35" s="1994" t="s">
        <v>1198</v>
      </c>
      <c r="C35" s="1994"/>
      <c r="D35" s="1994"/>
      <c r="E35" s="1994"/>
      <c r="F35" s="1994" t="s">
        <v>1199</v>
      </c>
      <c r="G35" s="1994"/>
      <c r="H35" s="1994"/>
      <c r="I35" s="1994" t="s">
        <v>1198</v>
      </c>
      <c r="J35" s="1994"/>
      <c r="K35" s="1994"/>
      <c r="L35" s="1994" t="s">
        <v>1199</v>
      </c>
      <c r="M35" s="1994"/>
      <c r="N35" s="1995"/>
    </row>
    <row r="36" spans="1:14" ht="15" customHeight="1">
      <c r="A36" s="218" t="s">
        <v>1205</v>
      </c>
      <c r="B36" s="1994" t="s">
        <v>1198</v>
      </c>
      <c r="C36" s="1994"/>
      <c r="D36" s="1994"/>
      <c r="E36" s="1994"/>
      <c r="F36" s="1994" t="s">
        <v>1199</v>
      </c>
      <c r="G36" s="1994"/>
      <c r="H36" s="1994"/>
      <c r="I36" s="1994" t="s">
        <v>1198</v>
      </c>
      <c r="J36" s="1994"/>
      <c r="K36" s="1994"/>
      <c r="L36" s="1994" t="s">
        <v>1199</v>
      </c>
      <c r="M36" s="1994"/>
      <c r="N36" s="1995"/>
    </row>
    <row r="37" spans="1:14" ht="15" customHeight="1">
      <c r="A37" s="218" t="s">
        <v>1206</v>
      </c>
      <c r="B37" s="1994" t="s">
        <v>1198</v>
      </c>
      <c r="C37" s="1994"/>
      <c r="D37" s="1994"/>
      <c r="E37" s="1994"/>
      <c r="F37" s="1994" t="s">
        <v>1199</v>
      </c>
      <c r="G37" s="1994"/>
      <c r="H37" s="1994"/>
      <c r="I37" s="1994" t="s">
        <v>1198</v>
      </c>
      <c r="J37" s="1994"/>
      <c r="K37" s="1994"/>
      <c r="L37" s="1994" t="s">
        <v>1199</v>
      </c>
      <c r="M37" s="1994"/>
      <c r="N37" s="1995"/>
    </row>
    <row r="38" spans="1:14" ht="15" customHeight="1">
      <c r="A38" s="216" t="s">
        <v>560</v>
      </c>
      <c r="B38" s="1994" t="s">
        <v>1198</v>
      </c>
      <c r="C38" s="1994"/>
      <c r="D38" s="1994"/>
      <c r="E38" s="1994"/>
      <c r="F38" s="1994" t="s">
        <v>1199</v>
      </c>
      <c r="G38" s="1994"/>
      <c r="H38" s="1994"/>
      <c r="I38" s="1994" t="s">
        <v>1198</v>
      </c>
      <c r="J38" s="1994"/>
      <c r="K38" s="1994"/>
      <c r="L38" s="1994" t="s">
        <v>1199</v>
      </c>
      <c r="M38" s="1994"/>
      <c r="N38" s="1995"/>
    </row>
    <row r="39" spans="1:14" ht="15" customHeight="1">
      <c r="A39" s="216" t="s">
        <v>561</v>
      </c>
      <c r="B39" s="1994" t="s">
        <v>1198</v>
      </c>
      <c r="C39" s="1994"/>
      <c r="D39" s="1994"/>
      <c r="E39" s="1994"/>
      <c r="F39" s="1994" t="s">
        <v>1199</v>
      </c>
      <c r="G39" s="1994"/>
      <c r="H39" s="1994"/>
      <c r="I39" s="1994" t="s">
        <v>1198</v>
      </c>
      <c r="J39" s="1994"/>
      <c r="K39" s="1994"/>
      <c r="L39" s="1994" t="s">
        <v>1199</v>
      </c>
      <c r="M39" s="1994"/>
      <c r="N39" s="1995"/>
    </row>
    <row r="40" spans="1:14" ht="15" customHeight="1">
      <c r="A40" s="216" t="s">
        <v>562</v>
      </c>
      <c r="B40" s="1994" t="s">
        <v>1198</v>
      </c>
      <c r="C40" s="1994"/>
      <c r="D40" s="1994"/>
      <c r="E40" s="1994"/>
      <c r="F40" s="1994" t="s">
        <v>1199</v>
      </c>
      <c r="G40" s="1994"/>
      <c r="H40" s="1994"/>
      <c r="I40" s="1994" t="s">
        <v>1198</v>
      </c>
      <c r="J40" s="1994"/>
      <c r="K40" s="1994"/>
      <c r="L40" s="1994" t="s">
        <v>1199</v>
      </c>
      <c r="M40" s="1994"/>
      <c r="N40" s="1995"/>
    </row>
    <row r="41" spans="1:14" ht="15" customHeight="1">
      <c r="A41" s="216" t="s">
        <v>563</v>
      </c>
      <c r="B41" s="1994" t="s">
        <v>1198</v>
      </c>
      <c r="C41" s="1994"/>
      <c r="D41" s="1994"/>
      <c r="E41" s="1994"/>
      <c r="F41" s="1994" t="s">
        <v>1199</v>
      </c>
      <c r="G41" s="1994"/>
      <c r="H41" s="1994"/>
      <c r="I41" s="1994" t="s">
        <v>1198</v>
      </c>
      <c r="J41" s="1994"/>
      <c r="K41" s="1994"/>
      <c r="L41" s="1994" t="s">
        <v>1199</v>
      </c>
      <c r="M41" s="1994"/>
      <c r="N41" s="1995"/>
    </row>
    <row r="42" spans="1:14" ht="15" customHeight="1">
      <c r="A42" s="216" t="s">
        <v>1680</v>
      </c>
      <c r="B42" s="1994" t="s">
        <v>1198</v>
      </c>
      <c r="C42" s="1994"/>
      <c r="D42" s="1994"/>
      <c r="E42" s="1994"/>
      <c r="F42" s="1994" t="s">
        <v>1199</v>
      </c>
      <c r="G42" s="1994"/>
      <c r="H42" s="1994"/>
      <c r="I42" s="1994" t="s">
        <v>1198</v>
      </c>
      <c r="J42" s="1994"/>
      <c r="K42" s="1994"/>
      <c r="L42" s="1994" t="s">
        <v>1199</v>
      </c>
      <c r="M42" s="1994"/>
      <c r="N42" s="1995"/>
    </row>
    <row r="43" spans="1:14" ht="15" customHeight="1">
      <c r="A43" s="216" t="s">
        <v>1681</v>
      </c>
      <c r="B43" s="1994" t="s">
        <v>1198</v>
      </c>
      <c r="C43" s="1994"/>
      <c r="D43" s="1994"/>
      <c r="E43" s="1994"/>
      <c r="F43" s="1994" t="s">
        <v>1199</v>
      </c>
      <c r="G43" s="1994"/>
      <c r="H43" s="1994"/>
      <c r="I43" s="1994" t="s">
        <v>1198</v>
      </c>
      <c r="J43" s="1994"/>
      <c r="K43" s="1994"/>
      <c r="L43" s="1994" t="s">
        <v>1199</v>
      </c>
      <c r="M43" s="1994"/>
      <c r="N43" s="1995"/>
    </row>
    <row r="44" spans="1:14" ht="15" customHeight="1">
      <c r="A44" s="216" t="s">
        <v>1207</v>
      </c>
      <c r="B44" s="1994" t="s">
        <v>1198</v>
      </c>
      <c r="C44" s="1994"/>
      <c r="D44" s="1994"/>
      <c r="E44" s="1994"/>
      <c r="F44" s="1994" t="s">
        <v>1199</v>
      </c>
      <c r="G44" s="1994"/>
      <c r="H44" s="1994"/>
      <c r="I44" s="1994" t="s">
        <v>1198</v>
      </c>
      <c r="J44" s="1994"/>
      <c r="K44" s="1994"/>
      <c r="L44" s="1994" t="s">
        <v>1199</v>
      </c>
      <c r="M44" s="1994"/>
      <c r="N44" s="1995"/>
    </row>
    <row r="45" spans="1:14" ht="15" customHeight="1">
      <c r="A45" s="216" t="s">
        <v>565</v>
      </c>
      <c r="B45" s="1994" t="s">
        <v>1198</v>
      </c>
      <c r="C45" s="1994"/>
      <c r="D45" s="1994"/>
      <c r="E45" s="1994"/>
      <c r="F45" s="1994" t="s">
        <v>1199</v>
      </c>
      <c r="G45" s="1994"/>
      <c r="H45" s="1994"/>
      <c r="I45" s="1994" t="s">
        <v>1198</v>
      </c>
      <c r="J45" s="1994"/>
      <c r="K45" s="1994"/>
      <c r="L45" s="1994" t="s">
        <v>1199</v>
      </c>
      <c r="M45" s="1994"/>
      <c r="N45" s="1995"/>
    </row>
    <row r="46" spans="1:14" ht="15" customHeight="1">
      <c r="A46" s="216" t="s">
        <v>564</v>
      </c>
      <c r="B46" s="1994" t="s">
        <v>1198</v>
      </c>
      <c r="C46" s="1994"/>
      <c r="D46" s="1994"/>
      <c r="E46" s="1994"/>
      <c r="F46" s="1994" t="s">
        <v>1199</v>
      </c>
      <c r="G46" s="1994"/>
      <c r="H46" s="1994"/>
      <c r="I46" s="1994" t="s">
        <v>1198</v>
      </c>
      <c r="J46" s="1994"/>
      <c r="K46" s="1994"/>
      <c r="L46" s="1994" t="s">
        <v>1199</v>
      </c>
      <c r="M46" s="1994"/>
      <c r="N46" s="1995"/>
    </row>
    <row r="47" spans="1:14" ht="15" customHeight="1">
      <c r="A47" s="216" t="s">
        <v>1155</v>
      </c>
      <c r="B47" s="1994" t="s">
        <v>1198</v>
      </c>
      <c r="C47" s="1994"/>
      <c r="D47" s="1994"/>
      <c r="E47" s="1994"/>
      <c r="F47" s="1994" t="s">
        <v>1199</v>
      </c>
      <c r="G47" s="1994"/>
      <c r="H47" s="1994"/>
      <c r="I47" s="1994" t="s">
        <v>1198</v>
      </c>
      <c r="J47" s="1994"/>
      <c r="K47" s="1994"/>
      <c r="L47" s="1994" t="s">
        <v>1199</v>
      </c>
      <c r="M47" s="1994"/>
      <c r="N47" s="1995"/>
    </row>
    <row r="48" spans="1:14" ht="15" customHeight="1">
      <c r="A48" s="216" t="s">
        <v>566</v>
      </c>
      <c r="B48" s="1994" t="s">
        <v>1198</v>
      </c>
      <c r="C48" s="1994"/>
      <c r="D48" s="1994"/>
      <c r="E48" s="1994"/>
      <c r="F48" s="1994" t="s">
        <v>1199</v>
      </c>
      <c r="G48" s="1994"/>
      <c r="H48" s="1994"/>
      <c r="I48" s="1994" t="s">
        <v>1198</v>
      </c>
      <c r="J48" s="1994"/>
      <c r="K48" s="1994"/>
      <c r="L48" s="1994" t="s">
        <v>1199</v>
      </c>
      <c r="M48" s="1994"/>
      <c r="N48" s="1995"/>
    </row>
    <row r="49" spans="1:14" ht="15" customHeight="1">
      <c r="A49" s="216" t="s">
        <v>556</v>
      </c>
      <c r="B49" s="1994" t="s">
        <v>1198</v>
      </c>
      <c r="C49" s="1994"/>
      <c r="D49" s="1994"/>
      <c r="E49" s="1994"/>
      <c r="F49" s="1994" t="s">
        <v>1199</v>
      </c>
      <c r="G49" s="1994"/>
      <c r="H49" s="1994"/>
      <c r="I49" s="1994" t="s">
        <v>1198</v>
      </c>
      <c r="J49" s="1994"/>
      <c r="K49" s="1994"/>
      <c r="L49" s="1994" t="s">
        <v>1199</v>
      </c>
      <c r="M49" s="1994"/>
      <c r="N49" s="1995"/>
    </row>
    <row r="50" spans="1:14" ht="15" customHeight="1">
      <c r="A50" s="216" t="s">
        <v>557</v>
      </c>
      <c r="B50" s="1994" t="s">
        <v>1198</v>
      </c>
      <c r="C50" s="1994"/>
      <c r="D50" s="1994"/>
      <c r="E50" s="1994"/>
      <c r="F50" s="1994" t="s">
        <v>1199</v>
      </c>
      <c r="G50" s="1994"/>
      <c r="H50" s="1994"/>
      <c r="I50" s="1994" t="s">
        <v>1198</v>
      </c>
      <c r="J50" s="1994"/>
      <c r="K50" s="1994"/>
      <c r="L50" s="1994" t="s">
        <v>1199</v>
      </c>
      <c r="M50" s="1994"/>
      <c r="N50" s="1995"/>
    </row>
    <row r="51" spans="1:14" ht="15" customHeight="1">
      <c r="A51" s="216" t="s">
        <v>227</v>
      </c>
      <c r="B51" s="1994" t="s">
        <v>1198</v>
      </c>
      <c r="C51" s="1994"/>
      <c r="D51" s="1994"/>
      <c r="E51" s="1994"/>
      <c r="F51" s="1994" t="s">
        <v>1199</v>
      </c>
      <c r="G51" s="1994"/>
      <c r="H51" s="1994"/>
      <c r="I51" s="1994" t="s">
        <v>1198</v>
      </c>
      <c r="J51" s="1994"/>
      <c r="K51" s="1994"/>
      <c r="L51" s="1994" t="s">
        <v>1199</v>
      </c>
      <c r="M51" s="1994"/>
      <c r="N51" s="1995"/>
    </row>
    <row r="52" spans="1:14" ht="15" customHeight="1" thickBot="1">
      <c r="A52" s="1929" t="s">
        <v>1120</v>
      </c>
      <c r="B52" s="1996" t="s">
        <v>1198</v>
      </c>
      <c r="C52" s="1996"/>
      <c r="D52" s="1996"/>
      <c r="E52" s="1996"/>
      <c r="F52" s="1996" t="s">
        <v>1199</v>
      </c>
      <c r="G52" s="1996"/>
      <c r="H52" s="1996"/>
      <c r="I52" s="1996" t="s">
        <v>1198</v>
      </c>
      <c r="J52" s="1996"/>
      <c r="K52" s="1996"/>
      <c r="L52" s="1996" t="s">
        <v>1199</v>
      </c>
      <c r="M52" s="1996"/>
      <c r="N52" s="1997"/>
    </row>
  </sheetData>
  <dataConsolidate link="1"/>
  <mergeCells count="171">
    <mergeCell ref="B19:E19"/>
    <mergeCell ref="F19:H19"/>
    <mergeCell ref="I19:K19"/>
    <mergeCell ref="L19:N19"/>
    <mergeCell ref="B24:E24"/>
    <mergeCell ref="F24:H24"/>
    <mergeCell ref="I24:K24"/>
    <mergeCell ref="L24:N24"/>
    <mergeCell ref="E6:H6"/>
    <mergeCell ref="B7:C7"/>
    <mergeCell ref="E7:F7"/>
    <mergeCell ref="J7:K7"/>
    <mergeCell ref="B8:E8"/>
    <mergeCell ref="F8:H8"/>
    <mergeCell ref="I8:L8"/>
    <mergeCell ref="B18:E18"/>
    <mergeCell ref="F18:H18"/>
    <mergeCell ref="I18:K18"/>
    <mergeCell ref="L18:N18"/>
    <mergeCell ref="B23:E23"/>
    <mergeCell ref="F23:H23"/>
    <mergeCell ref="I23:K23"/>
    <mergeCell ref="L23:N23"/>
    <mergeCell ref="G1:K1"/>
    <mergeCell ref="B4:C4"/>
    <mergeCell ref="D4:E4"/>
    <mergeCell ref="F4:G4"/>
    <mergeCell ref="H4:I4"/>
    <mergeCell ref="B5:C5"/>
    <mergeCell ref="D5:E5"/>
    <mergeCell ref="F5:G5"/>
    <mergeCell ref="A16:A17"/>
    <mergeCell ref="B16:H16"/>
    <mergeCell ref="I16:N16"/>
    <mergeCell ref="B17:E17"/>
    <mergeCell ref="F17:H17"/>
    <mergeCell ref="I17:K17"/>
    <mergeCell ref="L17:N17"/>
    <mergeCell ref="B9:E9"/>
    <mergeCell ref="I9:L9"/>
    <mergeCell ref="B10:E10"/>
    <mergeCell ref="I10:L10"/>
    <mergeCell ref="B11:E11"/>
    <mergeCell ref="I11:L11"/>
    <mergeCell ref="B12:E12"/>
    <mergeCell ref="I12:L12"/>
    <mergeCell ref="C6:D6"/>
    <mergeCell ref="B25:E25"/>
    <mergeCell ref="F25:H25"/>
    <mergeCell ref="I25:K25"/>
    <mergeCell ref="L25:N25"/>
    <mergeCell ref="B20:E20"/>
    <mergeCell ref="F20:H20"/>
    <mergeCell ref="I20:K20"/>
    <mergeCell ref="L20:N20"/>
    <mergeCell ref="B21:E21"/>
    <mergeCell ref="F21:H21"/>
    <mergeCell ref="I21:K21"/>
    <mergeCell ref="L21:N21"/>
    <mergeCell ref="B22:E22"/>
    <mergeCell ref="F22:H22"/>
    <mergeCell ref="I22:K22"/>
    <mergeCell ref="L22:N22"/>
    <mergeCell ref="B28:E28"/>
    <mergeCell ref="F28:H28"/>
    <mergeCell ref="I28:K28"/>
    <mergeCell ref="L28:N28"/>
    <mergeCell ref="B29:E29"/>
    <mergeCell ref="F29:H29"/>
    <mergeCell ref="I29:K29"/>
    <mergeCell ref="L29:N29"/>
    <mergeCell ref="B26:E26"/>
    <mergeCell ref="F26:H26"/>
    <mergeCell ref="I26:K26"/>
    <mergeCell ref="L26:N26"/>
    <mergeCell ref="B27:E27"/>
    <mergeCell ref="F27:H27"/>
    <mergeCell ref="I27:K27"/>
    <mergeCell ref="L27:N27"/>
    <mergeCell ref="B32:E32"/>
    <mergeCell ref="F32:H32"/>
    <mergeCell ref="I32:K32"/>
    <mergeCell ref="L32:N32"/>
    <mergeCell ref="B33:E33"/>
    <mergeCell ref="F33:H33"/>
    <mergeCell ref="I33:K33"/>
    <mergeCell ref="L33:N33"/>
    <mergeCell ref="B30:E30"/>
    <mergeCell ref="F30:H30"/>
    <mergeCell ref="I30:K30"/>
    <mergeCell ref="L30:N30"/>
    <mergeCell ref="B31:E31"/>
    <mergeCell ref="F31:H31"/>
    <mergeCell ref="I31:K31"/>
    <mergeCell ref="L31:N31"/>
    <mergeCell ref="B36:E36"/>
    <mergeCell ref="F36:H36"/>
    <mergeCell ref="I36:K36"/>
    <mergeCell ref="L36:N36"/>
    <mergeCell ref="B37:E37"/>
    <mergeCell ref="F37:H37"/>
    <mergeCell ref="I37:K37"/>
    <mergeCell ref="L37:N37"/>
    <mergeCell ref="B34:E34"/>
    <mergeCell ref="F34:H34"/>
    <mergeCell ref="I34:K34"/>
    <mergeCell ref="L34:N34"/>
    <mergeCell ref="B35:E35"/>
    <mergeCell ref="F35:H35"/>
    <mergeCell ref="I35:K35"/>
    <mergeCell ref="L35:N35"/>
    <mergeCell ref="B40:E40"/>
    <mergeCell ref="F40:H40"/>
    <mergeCell ref="I40:K40"/>
    <mergeCell ref="L40:N40"/>
    <mergeCell ref="B41:E41"/>
    <mergeCell ref="F41:H41"/>
    <mergeCell ref="I41:K41"/>
    <mergeCell ref="L41:N41"/>
    <mergeCell ref="B38:E38"/>
    <mergeCell ref="F38:H38"/>
    <mergeCell ref="I38:K38"/>
    <mergeCell ref="L38:N38"/>
    <mergeCell ref="B39:E39"/>
    <mergeCell ref="F39:H39"/>
    <mergeCell ref="I39:K39"/>
    <mergeCell ref="L39:N39"/>
    <mergeCell ref="B44:E44"/>
    <mergeCell ref="F44:H44"/>
    <mergeCell ref="I44:K44"/>
    <mergeCell ref="L44:N44"/>
    <mergeCell ref="B45:E45"/>
    <mergeCell ref="F45:H45"/>
    <mergeCell ref="I45:K45"/>
    <mergeCell ref="L45:N45"/>
    <mergeCell ref="B42:E42"/>
    <mergeCell ref="F42:H42"/>
    <mergeCell ref="I42:K42"/>
    <mergeCell ref="L42:N42"/>
    <mergeCell ref="B43:E43"/>
    <mergeCell ref="F43:H43"/>
    <mergeCell ref="I43:K43"/>
    <mergeCell ref="L43:N43"/>
    <mergeCell ref="B48:E48"/>
    <mergeCell ref="F48:H48"/>
    <mergeCell ref="I48:K48"/>
    <mergeCell ref="L48:N48"/>
    <mergeCell ref="B49:E49"/>
    <mergeCell ref="F49:H49"/>
    <mergeCell ref="I49:K49"/>
    <mergeCell ref="L49:N49"/>
    <mergeCell ref="B46:E46"/>
    <mergeCell ref="F46:H46"/>
    <mergeCell ref="I46:K46"/>
    <mergeCell ref="L46:N46"/>
    <mergeCell ref="B47:E47"/>
    <mergeCell ref="F47:H47"/>
    <mergeCell ref="I47:K47"/>
    <mergeCell ref="L47:N47"/>
    <mergeCell ref="B50:E50"/>
    <mergeCell ref="F50:H50"/>
    <mergeCell ref="I50:K50"/>
    <mergeCell ref="L50:N50"/>
    <mergeCell ref="B51:E51"/>
    <mergeCell ref="F51:H51"/>
    <mergeCell ref="I51:K51"/>
    <mergeCell ref="L51:N51"/>
    <mergeCell ref="B52:E52"/>
    <mergeCell ref="F52:H52"/>
    <mergeCell ref="I52:K52"/>
    <mergeCell ref="L52:N52"/>
  </mergeCells>
  <printOptions horizontalCentered="1"/>
  <pageMargins left="0.5" right="0.5" top="1" bottom="1" header="0.5" footer="0.5"/>
  <pageSetup scale="58" orientation="landscape" horizontalDpi="4294967292" r:id="rId1"/>
  <headerFooter alignWithMargins="0">
    <oddHeader>&amp;LName of Consultant&amp;C&amp;"Arial,Bold"&amp;12&amp;UProject Information Sheet</oddHeader>
    <oddFooter>&amp;L&amp;F
&amp;A&amp;CPage &amp;P of &amp;N&amp;R&amp;D</oddFooter>
  </headerFooter>
  <ignoredErrors>
    <ignoredError sqref="B8:E12 I8:L12 L1"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dimension ref="A1:N21"/>
  <sheetViews>
    <sheetView showGridLines="0" zoomScaleNormal="100" zoomScaleSheetLayoutView="100" workbookViewId="0"/>
  </sheetViews>
  <sheetFormatPr defaultColWidth="9.109375" defaultRowHeight="13.2"/>
  <cols>
    <col min="1" max="1" width="118.33203125" style="230" customWidth="1"/>
    <col min="2" max="16384" width="9.109375" style="230"/>
  </cols>
  <sheetData>
    <row r="1" spans="1:14">
      <c r="A1" s="550" t="s">
        <v>1312</v>
      </c>
    </row>
    <row r="2" spans="1:14">
      <c r="A2" s="237"/>
      <c r="N2" s="230" t="s">
        <v>400</v>
      </c>
    </row>
    <row r="3" spans="1:14" ht="66">
      <c r="A3" s="237" t="s">
        <v>1295</v>
      </c>
    </row>
    <row r="4" spans="1:14">
      <c r="A4" s="237"/>
    </row>
    <row r="5" spans="1:14" ht="39.6">
      <c r="A5" s="237" t="s">
        <v>1301</v>
      </c>
    </row>
    <row r="7" spans="1:14">
      <c r="A7" s="551" t="s">
        <v>1297</v>
      </c>
    </row>
    <row r="9" spans="1:14">
      <c r="A9" s="230" t="s">
        <v>1621</v>
      </c>
    </row>
    <row r="10" spans="1:14">
      <c r="A10" s="230" t="s">
        <v>1622</v>
      </c>
    </row>
    <row r="12" spans="1:14">
      <c r="A12" s="551" t="s">
        <v>1298</v>
      </c>
    </row>
    <row r="14" spans="1:14">
      <c r="A14" s="230" t="s">
        <v>1623</v>
      </c>
    </row>
    <row r="15" spans="1:14">
      <c r="A15" s="230" t="s">
        <v>1624</v>
      </c>
    </row>
    <row r="16" spans="1:14">
      <c r="A16" s="230" t="s">
        <v>1625</v>
      </c>
    </row>
    <row r="18" spans="1:1">
      <c r="A18" s="551" t="s">
        <v>1309</v>
      </c>
    </row>
    <row r="20" spans="1:1">
      <c r="A20" s="230" t="s">
        <v>1626</v>
      </c>
    </row>
    <row r="21" spans="1:1">
      <c r="A21" s="230" t="s">
        <v>1627</v>
      </c>
    </row>
  </sheetData>
  <pageMargins left="0.75" right="0.75" top="1" bottom="1" header="0.5" footer="0.5"/>
  <pageSetup orientation="landscape" horizontalDpi="400" verticalDpi="400" r:id="rId1"/>
  <headerFooter alignWithMargins="0">
    <oddFooter>&amp;CPage &amp;P of &amp;N</oddFooter>
  </headerFooter>
  <rowBreaks count="2" manualBreakCount="2">
    <brk id="22" max="16383" man="1"/>
    <brk id="59" max="16383" man="1"/>
  </rowBreaks>
  <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1">
    <pageSetUpPr autoPageBreaks="0"/>
  </sheetPr>
  <dimension ref="A1:L44"/>
  <sheetViews>
    <sheetView showGridLines="0" showRuler="0" zoomScaleNormal="100" zoomScaleSheetLayoutView="100" workbookViewId="0"/>
  </sheetViews>
  <sheetFormatPr defaultColWidth="9.109375" defaultRowHeight="13.2"/>
  <cols>
    <col min="1" max="1" width="6.33203125" style="5" customWidth="1"/>
    <col min="2" max="2" width="50.6640625" style="5" customWidth="1"/>
    <col min="3" max="6" width="12.6640625" style="5" customWidth="1"/>
    <col min="7" max="7" width="56.44140625" style="5" customWidth="1"/>
    <col min="8" max="8" width="21.33203125" style="5" customWidth="1"/>
    <col min="9" max="9" width="12.6640625" style="5" customWidth="1"/>
    <col min="10" max="10" width="9.109375" style="5" customWidth="1"/>
    <col min="11" max="12" width="9.109375" style="5" hidden="1" customWidth="1"/>
    <col min="13" max="16384" width="9.109375" style="5"/>
  </cols>
  <sheetData>
    <row r="1" spans="1:9" s="552" customFormat="1" ht="20.100000000000001" customHeight="1">
      <c r="A1" s="362" t="s">
        <v>592</v>
      </c>
      <c r="B1" s="422"/>
      <c r="C1" s="422"/>
      <c r="D1" s="422"/>
      <c r="E1" s="422"/>
      <c r="F1" s="422"/>
      <c r="G1" s="422"/>
      <c r="I1" s="897" t="str">
        <f>'Project Information'!$B$3</f>
        <v>Enter project name &amp; description</v>
      </c>
    </row>
    <row r="2" spans="1:9" s="552" customFormat="1" ht="20.100000000000001" customHeight="1">
      <c r="A2" s="423"/>
      <c r="B2" s="422"/>
      <c r="C2" s="422"/>
      <c r="D2" s="422"/>
      <c r="E2" s="422"/>
      <c r="F2" s="422"/>
      <c r="G2" s="422"/>
      <c r="I2" s="897" t="str">
        <f>'Project Information'!$B$1</f>
        <v>999999-1-32-01</v>
      </c>
    </row>
    <row r="3" spans="1:9" s="225" customFormat="1" ht="14.4" thickBot="1">
      <c r="A3" s="311"/>
      <c r="B3" s="312"/>
      <c r="C3" s="313"/>
      <c r="D3" s="313"/>
      <c r="E3" s="313"/>
      <c r="F3" s="313"/>
      <c r="G3" s="313"/>
      <c r="H3" s="313"/>
      <c r="I3" s="313"/>
    </row>
    <row r="4" spans="1:9" s="225" customFormat="1" ht="28.5" customHeight="1" thickBot="1">
      <c r="A4" s="2086" t="s">
        <v>1396</v>
      </c>
      <c r="B4" s="2087"/>
      <c r="C4" s="2088" t="s">
        <v>1397</v>
      </c>
      <c r="D4" s="2088"/>
      <c r="E4" s="2088"/>
      <c r="F4" s="2088"/>
      <c r="G4" s="2339" t="s">
        <v>1398</v>
      </c>
      <c r="H4" s="2340"/>
      <c r="I4" s="2341"/>
    </row>
    <row r="5" spans="1:9" s="225" customFormat="1" ht="28.5" customHeight="1">
      <c r="A5" s="2089" t="s">
        <v>1400</v>
      </c>
      <c r="B5" s="2090"/>
      <c r="C5" s="2091"/>
      <c r="D5" s="2091"/>
      <c r="E5" s="2091"/>
      <c r="F5" s="2091"/>
      <c r="G5" s="2342"/>
      <c r="H5" s="2343"/>
      <c r="I5" s="2344"/>
    </row>
    <row r="6" spans="1:9" s="225" customFormat="1" ht="28.5" customHeight="1" thickBot="1">
      <c r="A6" s="2083" t="s">
        <v>1399</v>
      </c>
      <c r="B6" s="2084"/>
      <c r="C6" s="2085"/>
      <c r="D6" s="2085"/>
      <c r="E6" s="2085"/>
      <c r="F6" s="2085"/>
      <c r="G6" s="2329"/>
      <c r="H6" s="2330"/>
      <c r="I6" s="2331"/>
    </row>
    <row r="7" spans="1:9" s="225" customFormat="1" ht="15.6">
      <c r="A7" s="898" t="s">
        <v>1430</v>
      </c>
      <c r="B7" s="270"/>
    </row>
    <row r="8" spans="1:9" s="225" customFormat="1" ht="15" customHeight="1" thickBot="1">
      <c r="A8" s="898"/>
      <c r="B8" s="270"/>
    </row>
    <row r="9" spans="1:9" ht="48" customHeight="1">
      <c r="A9" s="434" t="s">
        <v>79</v>
      </c>
      <c r="B9" s="266" t="s">
        <v>190</v>
      </c>
      <c r="C9" s="300" t="s">
        <v>87</v>
      </c>
      <c r="D9" s="266" t="s">
        <v>45</v>
      </c>
      <c r="E9" s="266" t="s">
        <v>46</v>
      </c>
      <c r="F9" s="266" t="s">
        <v>102</v>
      </c>
      <c r="G9" s="2337" t="s">
        <v>164</v>
      </c>
      <c r="H9" s="2487"/>
      <c r="I9" s="2488"/>
    </row>
    <row r="10" spans="1:9" ht="30" customHeight="1">
      <c r="A10" s="271">
        <v>23.1</v>
      </c>
      <c r="B10" s="302" t="s">
        <v>20</v>
      </c>
      <c r="C10" s="220" t="s">
        <v>85</v>
      </c>
      <c r="D10" s="219">
        <v>1</v>
      </c>
      <c r="E10" s="962">
        <v>0</v>
      </c>
      <c r="F10" s="222">
        <f t="shared" ref="F10:F16" si="0">ROUND(D10*E10,0)</f>
        <v>0</v>
      </c>
      <c r="G10" s="2369"/>
      <c r="H10" s="2370"/>
      <c r="I10" s="2371"/>
    </row>
    <row r="11" spans="1:9" ht="30" customHeight="1">
      <c r="A11" s="271">
        <v>23.2</v>
      </c>
      <c r="B11" s="265" t="s">
        <v>1716</v>
      </c>
      <c r="C11" s="220" t="s">
        <v>85</v>
      </c>
      <c r="D11" s="219">
        <v>1</v>
      </c>
      <c r="E11" s="962">
        <v>0</v>
      </c>
      <c r="F11" s="222">
        <f t="shared" si="0"/>
        <v>0</v>
      </c>
      <c r="G11" s="2369"/>
      <c r="H11" s="2370"/>
      <c r="I11" s="2371"/>
    </row>
    <row r="12" spans="1:9" ht="30" customHeight="1">
      <c r="A12" s="271">
        <v>23.3</v>
      </c>
      <c r="B12" s="302" t="s">
        <v>22</v>
      </c>
      <c r="C12" s="220" t="s">
        <v>141</v>
      </c>
      <c r="D12" s="979">
        <v>0</v>
      </c>
      <c r="E12" s="962">
        <v>0</v>
      </c>
      <c r="F12" s="222">
        <f t="shared" si="0"/>
        <v>0</v>
      </c>
      <c r="G12" s="2369"/>
      <c r="H12" s="2370"/>
      <c r="I12" s="2371"/>
    </row>
    <row r="13" spans="1:9" ht="30" customHeight="1">
      <c r="A13" s="271">
        <v>23.4</v>
      </c>
      <c r="B13" s="302" t="s">
        <v>1037</v>
      </c>
      <c r="C13" s="220" t="s">
        <v>85</v>
      </c>
      <c r="D13" s="219">
        <v>1</v>
      </c>
      <c r="E13" s="962">
        <v>0</v>
      </c>
      <c r="F13" s="222">
        <f t="shared" si="0"/>
        <v>0</v>
      </c>
      <c r="G13" s="2369"/>
      <c r="H13" s="2370"/>
      <c r="I13" s="2371"/>
    </row>
    <row r="14" spans="1:9" ht="30" customHeight="1">
      <c r="A14" s="271">
        <v>23.5</v>
      </c>
      <c r="B14" s="302" t="s">
        <v>23</v>
      </c>
      <c r="C14" s="220" t="s">
        <v>85</v>
      </c>
      <c r="D14" s="219">
        <v>1</v>
      </c>
      <c r="E14" s="962">
        <v>0</v>
      </c>
      <c r="F14" s="222">
        <f t="shared" si="0"/>
        <v>0</v>
      </c>
      <c r="G14" s="2369"/>
      <c r="H14" s="2370"/>
      <c r="I14" s="2371"/>
    </row>
    <row r="15" spans="1:9" ht="30" customHeight="1">
      <c r="A15" s="271">
        <v>23.6</v>
      </c>
      <c r="B15" s="265" t="s">
        <v>1717</v>
      </c>
      <c r="C15" s="220" t="s">
        <v>85</v>
      </c>
      <c r="D15" s="219">
        <v>1</v>
      </c>
      <c r="E15" s="962">
        <v>0</v>
      </c>
      <c r="F15" s="222">
        <f t="shared" si="0"/>
        <v>0</v>
      </c>
      <c r="G15" s="2369"/>
      <c r="H15" s="2370"/>
      <c r="I15" s="2371"/>
    </row>
    <row r="16" spans="1:9" ht="30" customHeight="1">
      <c r="A16" s="271">
        <v>23.7</v>
      </c>
      <c r="B16" s="302" t="s">
        <v>1018</v>
      </c>
      <c r="C16" s="220" t="s">
        <v>85</v>
      </c>
      <c r="D16" s="219">
        <v>1</v>
      </c>
      <c r="E16" s="962">
        <v>0</v>
      </c>
      <c r="F16" s="222">
        <f t="shared" si="0"/>
        <v>0</v>
      </c>
      <c r="G16" s="2369"/>
      <c r="H16" s="2370"/>
      <c r="I16" s="2371"/>
    </row>
    <row r="17" spans="1:12" ht="30" customHeight="1">
      <c r="A17" s="2095">
        <v>23.8</v>
      </c>
      <c r="B17" s="2097" t="s">
        <v>2042</v>
      </c>
      <c r="C17" s="2498" t="s">
        <v>1911</v>
      </c>
      <c r="D17" s="2542">
        <v>0</v>
      </c>
      <c r="E17" s="374" t="s">
        <v>1868</v>
      </c>
      <c r="F17" s="2490">
        <v>0</v>
      </c>
      <c r="G17" s="2492"/>
      <c r="H17" s="2493"/>
      <c r="I17" s="2494"/>
      <c r="K17" s="5" t="s">
        <v>1840</v>
      </c>
      <c r="L17" s="5">
        <v>20</v>
      </c>
    </row>
    <row r="18" spans="1:12" ht="30" customHeight="1">
      <c r="A18" s="2096"/>
      <c r="B18" s="2098"/>
      <c r="C18" s="2541"/>
      <c r="D18" s="2543"/>
      <c r="E18" s="324">
        <f>ROUNDUP(IF(D17=0,0,IF(D17&lt;=8,L17,L17+((D17-8)*L18))),0)</f>
        <v>0</v>
      </c>
      <c r="F18" s="2534"/>
      <c r="G18" s="2535"/>
      <c r="H18" s="2536"/>
      <c r="I18" s="2537"/>
      <c r="K18" s="5" t="s">
        <v>1842</v>
      </c>
      <c r="L18" s="5">
        <v>0.5</v>
      </c>
    </row>
    <row r="19" spans="1:12" s="553" customFormat="1" ht="30" customHeight="1">
      <c r="A19" s="271">
        <v>23.9</v>
      </c>
      <c r="B19" s="226" t="s">
        <v>189</v>
      </c>
      <c r="C19" s="220" t="s">
        <v>85</v>
      </c>
      <c r="D19" s="219">
        <v>1</v>
      </c>
      <c r="E19" s="962">
        <v>0</v>
      </c>
      <c r="F19" s="222">
        <f>ROUND(D19*E19,0)</f>
        <v>0</v>
      </c>
      <c r="G19" s="2369"/>
      <c r="H19" s="2370"/>
      <c r="I19" s="2371"/>
    </row>
    <row r="20" spans="1:12" ht="30" customHeight="1">
      <c r="A20" s="274">
        <v>23.1</v>
      </c>
      <c r="B20" s="302" t="s">
        <v>1637</v>
      </c>
      <c r="C20" s="220" t="s">
        <v>85</v>
      </c>
      <c r="D20" s="219">
        <v>1</v>
      </c>
      <c r="E20" s="962">
        <v>0</v>
      </c>
      <c r="F20" s="222">
        <f>ROUND(D20*E20,0)</f>
        <v>0</v>
      </c>
      <c r="G20" s="2369"/>
      <c r="H20" s="2370"/>
      <c r="I20" s="2371"/>
    </row>
    <row r="21" spans="1:12" ht="30" customHeight="1">
      <c r="A21" s="274">
        <v>23.11</v>
      </c>
      <c r="B21" s="302" t="s">
        <v>1038</v>
      </c>
      <c r="C21" s="220" t="s">
        <v>85</v>
      </c>
      <c r="D21" s="219">
        <v>1</v>
      </c>
      <c r="E21" s="962">
        <v>0</v>
      </c>
      <c r="F21" s="222">
        <f>ROUND(D21*E21,0)</f>
        <v>0</v>
      </c>
      <c r="G21" s="2369"/>
      <c r="H21" s="2370"/>
      <c r="I21" s="2371"/>
    </row>
    <row r="22" spans="1:12" ht="20.100000000000001" customHeight="1">
      <c r="A22" s="2438" t="s">
        <v>306</v>
      </c>
      <c r="B22" s="2439"/>
      <c r="C22" s="2439"/>
      <c r="D22" s="2439"/>
      <c r="E22" s="2439"/>
      <c r="F22" s="247">
        <f>SUM(F10:F21)</f>
        <v>0</v>
      </c>
      <c r="G22" s="2506"/>
      <c r="H22" s="2507"/>
      <c r="I22" s="2508"/>
    </row>
    <row r="23" spans="1:12" ht="30" customHeight="1">
      <c r="A23" s="274">
        <v>23.12</v>
      </c>
      <c r="B23" s="555" t="s">
        <v>133</v>
      </c>
      <c r="C23" s="542" t="s">
        <v>85</v>
      </c>
      <c r="D23" s="222">
        <v>1</v>
      </c>
      <c r="E23" s="962">
        <v>0</v>
      </c>
      <c r="F23" s="222">
        <f>ROUND(D23*E23,0)</f>
        <v>0</v>
      </c>
      <c r="G23" s="2369"/>
      <c r="H23" s="2370"/>
      <c r="I23" s="2371"/>
    </row>
    <row r="24" spans="1:12" ht="30" customHeight="1">
      <c r="A24" s="274">
        <v>23.13</v>
      </c>
      <c r="B24" s="302" t="s">
        <v>707</v>
      </c>
      <c r="C24" s="220" t="s">
        <v>85</v>
      </c>
      <c r="D24" s="222">
        <v>1</v>
      </c>
      <c r="E24" s="222">
        <f>F43</f>
        <v>0</v>
      </c>
      <c r="F24" s="222">
        <f>ROUND(D24*E24,0)</f>
        <v>0</v>
      </c>
      <c r="G24" s="2369"/>
      <c r="H24" s="2370"/>
      <c r="I24" s="2371"/>
    </row>
    <row r="25" spans="1:12" ht="30" customHeight="1">
      <c r="A25" s="274">
        <v>23.14</v>
      </c>
      <c r="B25" s="302" t="s">
        <v>307</v>
      </c>
      <c r="C25" s="220" t="s">
        <v>85</v>
      </c>
      <c r="D25" s="219" t="s">
        <v>878</v>
      </c>
      <c r="E25" s="965">
        <v>0</v>
      </c>
      <c r="F25" s="222">
        <f>ROUND(E25*F22,0)</f>
        <v>0</v>
      </c>
      <c r="G25" s="2369"/>
      <c r="H25" s="2370"/>
      <c r="I25" s="2371"/>
    </row>
    <row r="26" spans="1:12" ht="30" customHeight="1">
      <c r="A26" s="274">
        <v>23.15</v>
      </c>
      <c r="B26" s="605" t="s">
        <v>92</v>
      </c>
      <c r="C26" s="542" t="s">
        <v>85</v>
      </c>
      <c r="D26" s="219" t="s">
        <v>878</v>
      </c>
      <c r="E26" s="965">
        <v>0</v>
      </c>
      <c r="F26" s="222">
        <f>ROUND(E26*F22,0)</f>
        <v>0</v>
      </c>
      <c r="G26" s="2369"/>
      <c r="H26" s="2370"/>
      <c r="I26" s="2371"/>
    </row>
    <row r="27" spans="1:12" ht="30" customHeight="1">
      <c r="A27" s="274">
        <v>23.16</v>
      </c>
      <c r="B27" s="302" t="s">
        <v>169</v>
      </c>
      <c r="C27" s="220" t="s">
        <v>85</v>
      </c>
      <c r="D27" s="219" t="s">
        <v>878</v>
      </c>
      <c r="E27" s="965">
        <v>0</v>
      </c>
      <c r="F27" s="222">
        <f>ROUND(E27*F22,0)</f>
        <v>0</v>
      </c>
      <c r="G27" s="2369"/>
      <c r="H27" s="2370"/>
      <c r="I27" s="2371"/>
    </row>
    <row r="28" spans="1:12" ht="20.100000000000001" customHeight="1">
      <c r="A28" s="2512" t="s">
        <v>643</v>
      </c>
      <c r="B28" s="2513"/>
      <c r="C28" s="2513"/>
      <c r="D28" s="2513"/>
      <c r="E28" s="2513"/>
      <c r="F28" s="247">
        <f>SUM(F23:F27)</f>
        <v>0</v>
      </c>
      <c r="G28" s="2506"/>
      <c r="H28" s="2507"/>
      <c r="I28" s="2508"/>
    </row>
    <row r="29" spans="1:12" ht="30" customHeight="1">
      <c r="A29" s="274">
        <v>23.17</v>
      </c>
      <c r="B29" s="605" t="s">
        <v>78</v>
      </c>
      <c r="C29" s="542" t="s">
        <v>85</v>
      </c>
      <c r="D29" s="219" t="s">
        <v>878</v>
      </c>
      <c r="E29" s="965">
        <v>0</v>
      </c>
      <c r="F29" s="222">
        <f>ROUND(E29*(F28+F22),0)</f>
        <v>0</v>
      </c>
      <c r="G29" s="2369"/>
      <c r="H29" s="2370"/>
      <c r="I29" s="2371"/>
    </row>
    <row r="30" spans="1:12" ht="20.100000000000001" customHeight="1" thickBot="1">
      <c r="A30" s="2518" t="s">
        <v>305</v>
      </c>
      <c r="B30" s="2519"/>
      <c r="C30" s="2519"/>
      <c r="D30" s="2519"/>
      <c r="E30" s="2519"/>
      <c r="F30" s="248">
        <f>SUM(F22,F28,F29)</f>
        <v>0</v>
      </c>
      <c r="G30" s="2520"/>
      <c r="H30" s="2367"/>
      <c r="I30" s="2368"/>
    </row>
    <row r="31" spans="1:12" ht="25.5" customHeight="1" thickBot="1"/>
    <row r="32" spans="1:12" s="268" customFormat="1" ht="36.75" customHeight="1" thickBot="1">
      <c r="A32" s="2389" t="s">
        <v>82</v>
      </c>
      <c r="B32" s="2088"/>
      <c r="C32" s="279" t="s">
        <v>87</v>
      </c>
      <c r="D32" s="279" t="s">
        <v>101</v>
      </c>
      <c r="E32" s="279" t="s">
        <v>706</v>
      </c>
      <c r="F32" s="279" t="s">
        <v>102</v>
      </c>
      <c r="G32" s="279" t="s">
        <v>164</v>
      </c>
      <c r="H32" s="279" t="s">
        <v>575</v>
      </c>
      <c r="I32" s="280" t="s">
        <v>576</v>
      </c>
    </row>
    <row r="33" spans="1:9" s="268" customFormat="1" ht="20.100000000000001" customHeight="1">
      <c r="A33" s="2554" t="s">
        <v>839</v>
      </c>
      <c r="B33" s="2555"/>
      <c r="C33" s="281" t="s">
        <v>141</v>
      </c>
      <c r="D33" s="974">
        <v>0</v>
      </c>
      <c r="E33" s="974">
        <v>0</v>
      </c>
      <c r="F33" s="244">
        <f t="shared" ref="F33:F38" si="1">E33*D33</f>
        <v>0</v>
      </c>
      <c r="G33" s="998"/>
      <c r="H33" s="282"/>
      <c r="I33" s="977">
        <v>0</v>
      </c>
    </row>
    <row r="34" spans="1:9" s="268" customFormat="1" ht="20.100000000000001" customHeight="1">
      <c r="A34" s="2552" t="s">
        <v>838</v>
      </c>
      <c r="B34" s="2553"/>
      <c r="C34" s="283" t="s">
        <v>141</v>
      </c>
      <c r="D34" s="975">
        <v>0</v>
      </c>
      <c r="E34" s="975">
        <v>0</v>
      </c>
      <c r="F34" s="245">
        <f t="shared" si="1"/>
        <v>0</v>
      </c>
      <c r="G34" s="999"/>
      <c r="H34" s="284"/>
      <c r="I34" s="978">
        <v>0</v>
      </c>
    </row>
    <row r="35" spans="1:9" s="268" customFormat="1" ht="20.100000000000001" customHeight="1">
      <c r="A35" s="2093" t="s">
        <v>1033</v>
      </c>
      <c r="B35" s="2094"/>
      <c r="C35" s="283" t="s">
        <v>141</v>
      </c>
      <c r="D35" s="975">
        <v>0</v>
      </c>
      <c r="E35" s="975">
        <v>0</v>
      </c>
      <c r="F35" s="245">
        <f t="shared" si="1"/>
        <v>0</v>
      </c>
      <c r="G35" s="999"/>
      <c r="H35" s="284"/>
      <c r="I35" s="978">
        <v>0</v>
      </c>
    </row>
    <row r="36" spans="1:9" s="268" customFormat="1" ht="20.100000000000001" customHeight="1">
      <c r="A36" s="2093" t="s">
        <v>1034</v>
      </c>
      <c r="B36" s="2094"/>
      <c r="C36" s="283" t="s">
        <v>141</v>
      </c>
      <c r="D36" s="975">
        <v>0</v>
      </c>
      <c r="E36" s="975">
        <v>0</v>
      </c>
      <c r="F36" s="245">
        <f t="shared" si="1"/>
        <v>0</v>
      </c>
      <c r="G36" s="999"/>
      <c r="H36" s="284"/>
      <c r="I36" s="978">
        <v>0</v>
      </c>
    </row>
    <row r="37" spans="1:9" s="268" customFormat="1" ht="20.100000000000001" customHeight="1">
      <c r="A37" s="2552" t="s">
        <v>840</v>
      </c>
      <c r="B37" s="2553"/>
      <c r="C37" s="283" t="s">
        <v>141</v>
      </c>
      <c r="D37" s="975">
        <v>0</v>
      </c>
      <c r="E37" s="975">
        <v>0</v>
      </c>
      <c r="F37" s="245">
        <f>E37*D37</f>
        <v>0</v>
      </c>
      <c r="G37" s="999"/>
      <c r="H37" s="284"/>
      <c r="I37" s="978">
        <v>0</v>
      </c>
    </row>
    <row r="38" spans="1:9" s="268" customFormat="1" ht="20.100000000000001" customHeight="1">
      <c r="A38" s="2552" t="s">
        <v>1036</v>
      </c>
      <c r="B38" s="2553"/>
      <c r="C38" s="283" t="s">
        <v>141</v>
      </c>
      <c r="D38" s="975">
        <v>0</v>
      </c>
      <c r="E38" s="975">
        <v>0</v>
      </c>
      <c r="F38" s="245">
        <f t="shared" si="1"/>
        <v>0</v>
      </c>
      <c r="G38" s="999"/>
      <c r="H38" s="284"/>
      <c r="I38" s="978">
        <v>0</v>
      </c>
    </row>
    <row r="39" spans="1:9" s="268" customFormat="1" ht="20.100000000000001" customHeight="1">
      <c r="A39" s="2552" t="s">
        <v>231</v>
      </c>
      <c r="B39" s="2553"/>
      <c r="C39" s="283" t="s">
        <v>141</v>
      </c>
      <c r="D39" s="975">
        <v>0</v>
      </c>
      <c r="E39" s="975">
        <v>0</v>
      </c>
      <c r="F39" s="245">
        <f>E39*D39</f>
        <v>0</v>
      </c>
      <c r="G39" s="999"/>
      <c r="H39" s="284"/>
      <c r="I39" s="978">
        <v>0</v>
      </c>
    </row>
    <row r="40" spans="1:9" s="268" customFormat="1" ht="20.100000000000001" customHeight="1" thickBot="1">
      <c r="A40" s="2383" t="s">
        <v>238</v>
      </c>
      <c r="B40" s="2384"/>
      <c r="C40" s="285"/>
      <c r="D40" s="285"/>
      <c r="E40" s="285"/>
      <c r="F40" s="249">
        <f>SUM(F33:F39)</f>
        <v>0</v>
      </c>
      <c r="G40" s="1000"/>
      <c r="H40" s="556" t="s">
        <v>1402</v>
      </c>
      <c r="I40" s="250">
        <f>SUM(I33:I39)</f>
        <v>0</v>
      </c>
    </row>
    <row r="41" spans="1:9" s="268" customFormat="1" ht="20.100000000000001" customHeight="1" thickTop="1">
      <c r="A41" s="2385" t="s">
        <v>861</v>
      </c>
      <c r="B41" s="2386"/>
      <c r="C41" s="281" t="s">
        <v>141</v>
      </c>
      <c r="D41" s="974">
        <v>0</v>
      </c>
      <c r="E41" s="974">
        <v>0</v>
      </c>
      <c r="F41" s="244">
        <f>E41*D41</f>
        <v>0</v>
      </c>
      <c r="G41" s="2550" t="s">
        <v>1403</v>
      </c>
      <c r="H41" s="2551"/>
      <c r="I41" s="293" t="s">
        <v>1116</v>
      </c>
    </row>
    <row r="42" spans="1:9" s="268" customFormat="1" ht="20.100000000000001" customHeight="1" thickBot="1">
      <c r="A42" s="2387" t="s">
        <v>155</v>
      </c>
      <c r="B42" s="2388"/>
      <c r="C42" s="286" t="s">
        <v>141</v>
      </c>
      <c r="D42" s="976">
        <v>0</v>
      </c>
      <c r="E42" s="976">
        <v>0</v>
      </c>
      <c r="F42" s="246">
        <f>E42*D42</f>
        <v>0</v>
      </c>
      <c r="G42" s="2544" t="s">
        <v>1404</v>
      </c>
      <c r="H42" s="2545"/>
      <c r="I42" s="294" t="s">
        <v>1116</v>
      </c>
    </row>
    <row r="43" spans="1:9" s="288" customFormat="1" ht="20.100000000000001" customHeight="1" thickTop="1" thickBot="1">
      <c r="A43" s="2067" t="s">
        <v>156</v>
      </c>
      <c r="B43" s="2068"/>
      <c r="C43" s="287"/>
      <c r="D43" s="287"/>
      <c r="E43" s="287"/>
      <c r="F43" s="251">
        <f>SUM(F40:F42)</f>
        <v>0</v>
      </c>
      <c r="G43" s="1002"/>
      <c r="H43" s="557" t="s">
        <v>1414</v>
      </c>
      <c r="I43" s="296">
        <f>I40</f>
        <v>0</v>
      </c>
    </row>
    <row r="44" spans="1:9" s="268" customFormat="1" ht="15.6">
      <c r="A44" s="289"/>
      <c r="C44" s="290"/>
      <c r="D44" s="290"/>
      <c r="E44" s="290"/>
      <c r="F44" s="346" t="s">
        <v>1815</v>
      </c>
      <c r="G44" s="346"/>
      <c r="H44" s="3"/>
      <c r="I44" s="346" t="s">
        <v>1405</v>
      </c>
    </row>
  </sheetData>
  <mergeCells count="52">
    <mergeCell ref="G23:I23"/>
    <mergeCell ref="G24:I24"/>
    <mergeCell ref="G25:I25"/>
    <mergeCell ref="A4:B4"/>
    <mergeCell ref="C4:F4"/>
    <mergeCell ref="A5:B5"/>
    <mergeCell ref="C5:F5"/>
    <mergeCell ref="A6:B6"/>
    <mergeCell ref="C6:F6"/>
    <mergeCell ref="G16:I16"/>
    <mergeCell ref="G19:I19"/>
    <mergeCell ref="G20:I20"/>
    <mergeCell ref="G21:I21"/>
    <mergeCell ref="A17:A18"/>
    <mergeCell ref="B17:B18"/>
    <mergeCell ref="G17:I18"/>
    <mergeCell ref="A42:B42"/>
    <mergeCell ref="A43:B43"/>
    <mergeCell ref="A35:B35"/>
    <mergeCell ref="A36:B36"/>
    <mergeCell ref="A38:B38"/>
    <mergeCell ref="A39:B39"/>
    <mergeCell ref="A40:B40"/>
    <mergeCell ref="A37:B37"/>
    <mergeCell ref="A41:B41"/>
    <mergeCell ref="F17:F18"/>
    <mergeCell ref="A34:B34"/>
    <mergeCell ref="A22:E22"/>
    <mergeCell ref="A28:E28"/>
    <mergeCell ref="A30:E30"/>
    <mergeCell ref="A32:B32"/>
    <mergeCell ref="A33:B33"/>
    <mergeCell ref="D17:D18"/>
    <mergeCell ref="C17:C18"/>
    <mergeCell ref="G22:I22"/>
    <mergeCell ref="G11:I11"/>
    <mergeCell ref="G12:I12"/>
    <mergeCell ref="G13:I13"/>
    <mergeCell ref="G14:I14"/>
    <mergeCell ref="G15:I15"/>
    <mergeCell ref="G4:I4"/>
    <mergeCell ref="G5:I5"/>
    <mergeCell ref="G6:I6"/>
    <mergeCell ref="G9:I9"/>
    <mergeCell ref="G10:I10"/>
    <mergeCell ref="G26:I26"/>
    <mergeCell ref="G27:I27"/>
    <mergeCell ref="G29:I29"/>
    <mergeCell ref="G41:H41"/>
    <mergeCell ref="G42:H42"/>
    <mergeCell ref="G28:I28"/>
    <mergeCell ref="G30:I30"/>
  </mergeCells>
  <phoneticPr fontId="0" type="noConversion"/>
  <dataValidations count="1">
    <dataValidation type="list" allowBlank="1" showInputMessage="1" showErrorMessage="1" sqref="H33:H39" xr:uid="{00000000-0002-0000-2700-000000000000}">
      <formula1>yesno</formula1>
    </dataValidation>
  </dataValidations>
  <printOptions horizontalCentered="1"/>
  <pageMargins left="0.5" right="0.5" top="0.86" bottom="0.74" header="0.5" footer="0.34"/>
  <pageSetup scale="58" orientation="landscape" r:id="rId1"/>
  <headerFooter alignWithMargins="0">
    <oddHeader>&amp;C&amp;"Arial,Bold"&amp;12&amp;UProject Activity 23: Lighting Analysis</oddHeader>
    <oddFooter>&amp;L&amp;F
&amp;A&amp;CPage &amp;P of &amp;N&amp;R&amp;D</oddFooter>
  </headerFooter>
  <rowBreaks count="1" manualBreakCount="1">
    <brk id="31" max="7" man="1"/>
  </rowBreaks>
  <ignoredErrors>
    <ignoredError sqref="F40" formula="1"/>
  </ignoredErrors>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DB02E-083E-4C54-A88F-A02DC6C4C908}">
  <sheetPr codeName="Sheet41"/>
  <dimension ref="A1:AI30"/>
  <sheetViews>
    <sheetView showGridLines="0" topLeftCell="B1" zoomScale="85" zoomScaleNormal="85" workbookViewId="0">
      <selection activeCell="B1" sqref="B1:C3"/>
    </sheetView>
  </sheetViews>
  <sheetFormatPr defaultColWidth="9.109375" defaultRowHeight="15.6"/>
  <cols>
    <col min="1" max="1" width="12.44140625" style="1077" hidden="1" customWidth="1"/>
    <col min="2" max="2" width="6.88671875" style="1084" customWidth="1"/>
    <col min="3" max="3" width="50.77734375" style="1085" customWidth="1"/>
    <col min="4" max="4" width="14.77734375" style="1085" customWidth="1"/>
    <col min="5" max="5" width="14.77734375" style="1084" customWidth="1"/>
    <col min="6" max="7" width="14.77734375" style="1086" customWidth="1"/>
    <col min="8" max="9" width="14.77734375" style="1087" customWidth="1"/>
    <col min="10" max="10" width="14.77734375" style="1077" customWidth="1"/>
    <col min="11" max="11" width="100.77734375" style="1077" customWidth="1"/>
    <col min="12" max="12" width="70.77734375" style="1077" customWidth="1"/>
    <col min="13" max="13" width="8.6640625" style="348" customWidth="1"/>
    <col min="14" max="14" width="15.5546875" style="348" customWidth="1"/>
    <col min="15" max="15" width="9.88671875" style="348" hidden="1" customWidth="1"/>
    <col min="16" max="24" width="12.77734375" style="348" hidden="1" customWidth="1"/>
    <col min="25" max="26" width="12.77734375" style="1076" hidden="1" customWidth="1"/>
    <col min="27" max="27" width="12.77734375" style="348" hidden="1" customWidth="1"/>
    <col min="28" max="29" width="12.77734375" style="1076" hidden="1" customWidth="1"/>
    <col min="30" max="16384" width="9.109375" style="1077"/>
  </cols>
  <sheetData>
    <row r="1" spans="1:35" s="1075" customFormat="1" ht="15" customHeight="1">
      <c r="B1" s="2136" t="s">
        <v>592</v>
      </c>
      <c r="C1" s="2137"/>
      <c r="D1" s="2133" t="s">
        <v>2572</v>
      </c>
      <c r="E1" s="2133"/>
      <c r="F1" s="2133"/>
      <c r="G1" s="2133"/>
      <c r="H1" s="2133"/>
      <c r="I1" s="2133"/>
      <c r="J1" s="2133"/>
      <c r="K1" s="1055" t="str">
        <f>'Project Information'!B3</f>
        <v>Enter project name &amp; description</v>
      </c>
      <c r="L1" s="2120" t="s">
        <v>1819</v>
      </c>
      <c r="M1" s="1142"/>
      <c r="N1" s="1142"/>
      <c r="O1" s="1142"/>
      <c r="P1" s="1142"/>
      <c r="Q1" s="1143"/>
      <c r="R1" s="1143"/>
      <c r="S1" s="1143"/>
      <c r="T1" s="1143"/>
      <c r="U1" s="1143"/>
      <c r="V1" s="1142"/>
      <c r="W1" s="1142"/>
      <c r="X1" s="1142"/>
      <c r="Y1" s="1147"/>
      <c r="Z1" s="1147"/>
      <c r="AA1" s="1142"/>
      <c r="AB1" s="1147"/>
      <c r="AC1" s="1147"/>
    </row>
    <row r="2" spans="1:35" s="1075" customFormat="1" ht="15" customHeight="1">
      <c r="B2" s="2138"/>
      <c r="C2" s="2139"/>
      <c r="D2" s="2134"/>
      <c r="E2" s="2134"/>
      <c r="F2" s="2134"/>
      <c r="G2" s="2134"/>
      <c r="H2" s="2134"/>
      <c r="I2" s="2134"/>
      <c r="J2" s="2134"/>
      <c r="K2" s="1056" t="str">
        <f>'Project Information'!B1</f>
        <v>999999-1-32-01</v>
      </c>
      <c r="L2" s="2121"/>
      <c r="M2" s="1142"/>
      <c r="N2" s="1142"/>
      <c r="O2" s="1142"/>
      <c r="P2" s="1142"/>
      <c r="Q2" s="1143"/>
      <c r="R2" s="1143"/>
      <c r="S2" s="1143"/>
      <c r="T2" s="1143"/>
      <c r="U2" s="1143"/>
      <c r="V2" s="1142"/>
      <c r="W2" s="1142"/>
      <c r="X2" s="1142"/>
      <c r="Y2" s="1147"/>
      <c r="Z2" s="1147"/>
      <c r="AA2" s="1142"/>
      <c r="AB2" s="1147"/>
      <c r="AC2" s="1147"/>
    </row>
    <row r="3" spans="1:35" s="1058" customFormat="1" ht="15" customHeight="1" thickBot="1">
      <c r="B3" s="2140"/>
      <c r="C3" s="2141"/>
      <c r="D3" s="2135"/>
      <c r="E3" s="2135"/>
      <c r="F3" s="2135"/>
      <c r="G3" s="2135"/>
      <c r="H3" s="2135"/>
      <c r="I3" s="2135"/>
      <c r="J3" s="2135"/>
      <c r="K3" s="1057"/>
      <c r="L3" s="2122"/>
      <c r="M3" s="1146"/>
      <c r="N3" s="1146"/>
      <c r="O3" s="1146"/>
      <c r="P3" s="1146"/>
      <c r="Q3" s="1143"/>
      <c r="R3" s="1143"/>
      <c r="S3" s="1143"/>
      <c r="T3" s="1143"/>
      <c r="U3" s="1143"/>
      <c r="V3" s="1146"/>
      <c r="W3" s="1146"/>
      <c r="X3" s="1146"/>
      <c r="Y3" s="1200"/>
      <c r="Z3" s="1200"/>
      <c r="AA3" s="1146"/>
      <c r="AB3" s="1200"/>
      <c r="AC3" s="1200"/>
    </row>
    <row r="4" spans="1:35" s="1058" customFormat="1" ht="30" customHeight="1" thickBot="1">
      <c r="B4" s="2198" t="s">
        <v>1396</v>
      </c>
      <c r="C4" s="2199"/>
      <c r="D4" s="2200" t="s">
        <v>1397</v>
      </c>
      <c r="E4" s="2200"/>
      <c r="F4" s="2200"/>
      <c r="G4" s="2200"/>
      <c r="H4" s="2200"/>
      <c r="I4" s="2200"/>
      <c r="J4" s="2200"/>
      <c r="K4" s="1111" t="s">
        <v>1398</v>
      </c>
      <c r="L4" s="1580" t="s">
        <v>2625</v>
      </c>
      <c r="M4" s="1146"/>
      <c r="N4" s="1146"/>
      <c r="O4" s="1146"/>
      <c r="P4" s="1146"/>
      <c r="Q4" s="1143"/>
      <c r="R4" s="1143"/>
      <c r="S4" s="1143"/>
      <c r="T4" s="1143"/>
      <c r="U4" s="1143"/>
      <c r="V4" s="1146"/>
      <c r="W4" s="1146"/>
      <c r="X4" s="1146"/>
      <c r="Y4" s="1200"/>
      <c r="Z4" s="1200"/>
      <c r="AA4" s="1146"/>
      <c r="AB4" s="1200"/>
      <c r="AC4" s="1200"/>
    </row>
    <row r="5" spans="1:35" s="1058" customFormat="1" ht="30" customHeight="1">
      <c r="B5" s="2201" t="s">
        <v>1400</v>
      </c>
      <c r="C5" s="2202"/>
      <c r="D5" s="2203"/>
      <c r="E5" s="2203"/>
      <c r="F5" s="2203"/>
      <c r="G5" s="2203"/>
      <c r="H5" s="2203"/>
      <c r="I5" s="2203"/>
      <c r="J5" s="2203"/>
      <c r="K5" s="1059"/>
      <c r="L5" s="2253" t="s">
        <v>1820</v>
      </c>
      <c r="M5" s="1147"/>
      <c r="N5" s="1146"/>
      <c r="O5" s="1146"/>
      <c r="P5" s="1146"/>
      <c r="Q5" s="1201"/>
      <c r="R5" s="1201"/>
      <c r="S5" s="1201"/>
      <c r="T5" s="1201"/>
      <c r="U5" s="1201"/>
      <c r="V5" s="1146"/>
      <c r="W5" s="1146"/>
      <c r="X5" s="1146"/>
      <c r="Y5" s="1200"/>
      <c r="Z5" s="1200"/>
      <c r="AA5" s="1146"/>
      <c r="AB5" s="1200"/>
      <c r="AC5" s="1200"/>
    </row>
    <row r="6" spans="1:35" s="1058" customFormat="1" ht="30" customHeight="1" thickBot="1">
      <c r="B6" s="2204" t="s">
        <v>1399</v>
      </c>
      <c r="C6" s="2205"/>
      <c r="D6" s="2206"/>
      <c r="E6" s="2206"/>
      <c r="F6" s="2206"/>
      <c r="G6" s="2206"/>
      <c r="H6" s="2206"/>
      <c r="I6" s="2206"/>
      <c r="J6" s="2206"/>
      <c r="K6" s="1060"/>
      <c r="L6" s="2254"/>
      <c r="M6" s="1147"/>
      <c r="N6" s="1146"/>
      <c r="O6" s="1146"/>
      <c r="P6" s="1146"/>
      <c r="Q6" s="1201"/>
      <c r="R6" s="1201"/>
      <c r="S6" s="1201"/>
      <c r="T6" s="1201"/>
      <c r="U6" s="1201"/>
      <c r="V6" s="1146"/>
      <c r="W6" s="1146"/>
      <c r="X6" s="1146"/>
      <c r="Y6" s="1200"/>
      <c r="Z6" s="1200"/>
      <c r="AA6" s="1146"/>
      <c r="AB6" s="1200"/>
      <c r="AC6" s="1200"/>
    </row>
    <row r="7" spans="1:35" s="1058" customFormat="1" ht="15" customHeight="1">
      <c r="B7" s="1112" t="s">
        <v>1430</v>
      </c>
      <c r="C7" s="1182"/>
      <c r="D7" s="1183"/>
      <c r="E7" s="1183"/>
      <c r="F7" s="1183"/>
      <c r="G7" s="1183"/>
      <c r="H7" s="1183"/>
      <c r="I7" s="1183"/>
      <c r="J7" s="1183"/>
      <c r="K7" s="1184"/>
      <c r="L7" s="2254"/>
      <c r="M7" s="1147"/>
      <c r="N7" s="1146"/>
      <c r="O7" s="1146"/>
      <c r="P7" s="1146"/>
      <c r="Q7" s="1146"/>
      <c r="R7" s="1146"/>
      <c r="S7" s="1146"/>
      <c r="T7" s="1146"/>
      <c r="U7" s="1146"/>
      <c r="V7" s="1146"/>
      <c r="W7" s="1146"/>
      <c r="X7" s="1146"/>
      <c r="Y7" s="1200"/>
      <c r="Z7" s="1200"/>
      <c r="AA7" s="1146"/>
      <c r="AB7" s="1200"/>
      <c r="AC7" s="1200"/>
    </row>
    <row r="8" spans="1:35" s="1058" customFormat="1" ht="15" customHeight="1" thickBot="1">
      <c r="B8" s="1185"/>
      <c r="C8" s="1186"/>
      <c r="D8" s="1187"/>
      <c r="E8" s="1187"/>
      <c r="F8" s="1187"/>
      <c r="G8" s="1187"/>
      <c r="H8" s="1187"/>
      <c r="I8" s="1187"/>
      <c r="J8" s="1187"/>
      <c r="K8" s="1188"/>
      <c r="L8" s="2254"/>
      <c r="M8" s="1147"/>
      <c r="N8" s="1146"/>
      <c r="O8" s="1146"/>
      <c r="P8" s="1146"/>
      <c r="Q8" s="1146"/>
      <c r="R8" s="1146"/>
      <c r="S8" s="1146"/>
      <c r="T8" s="1146"/>
      <c r="U8" s="1146"/>
      <c r="V8" s="1146"/>
      <c r="W8" s="1146"/>
      <c r="X8" s="1146"/>
      <c r="Y8" s="1200"/>
      <c r="Z8" s="1200"/>
      <c r="AA8" s="1146"/>
      <c r="AB8" s="1200"/>
      <c r="AC8" s="1200"/>
      <c r="AD8" s="1103"/>
      <c r="AE8" s="1103"/>
      <c r="AF8" s="1103"/>
      <c r="AG8" s="1103"/>
      <c r="AH8" s="1103"/>
      <c r="AI8" s="1103"/>
    </row>
    <row r="9" spans="1:35" s="1058" customFormat="1" ht="30" customHeight="1">
      <c r="B9" s="2226" t="s">
        <v>79</v>
      </c>
      <c r="C9" s="2155" t="s">
        <v>190</v>
      </c>
      <c r="D9" s="2157" t="s">
        <v>1821</v>
      </c>
      <c r="E9" s="2158"/>
      <c r="F9" s="2159"/>
      <c r="G9" s="2230" t="s">
        <v>1822</v>
      </c>
      <c r="H9" s="2230"/>
      <c r="I9" s="2230"/>
      <c r="J9" s="2230"/>
      <c r="K9" s="1120" t="s">
        <v>1823</v>
      </c>
      <c r="L9" s="2254"/>
      <c r="M9" s="1147"/>
      <c r="N9" s="1854"/>
      <c r="O9" s="2170" t="s">
        <v>190</v>
      </c>
      <c r="P9" s="2214" t="s">
        <v>1869</v>
      </c>
      <c r="Q9" s="2213"/>
      <c r="R9" s="2213"/>
      <c r="S9" s="2213"/>
      <c r="T9" s="2215"/>
      <c r="U9" s="2214" t="s">
        <v>1914</v>
      </c>
      <c r="V9" s="2213"/>
      <c r="W9" s="2215"/>
      <c r="X9" s="2214" t="s">
        <v>1960</v>
      </c>
      <c r="Y9" s="2213"/>
      <c r="Z9" s="2215"/>
      <c r="AA9" s="2214" t="s">
        <v>1862</v>
      </c>
      <c r="AB9" s="2213"/>
      <c r="AC9" s="2215"/>
      <c r="AD9" s="1103"/>
      <c r="AE9" s="1103"/>
      <c r="AF9" s="1103"/>
      <c r="AG9" s="1103"/>
      <c r="AH9" s="1103"/>
      <c r="AI9" s="1103"/>
    </row>
    <row r="10" spans="1:35" s="1076" customFormat="1" ht="30" customHeight="1" thickBot="1">
      <c r="B10" s="2531"/>
      <c r="C10" s="2259"/>
      <c r="D10" s="1121" t="s">
        <v>1824</v>
      </c>
      <c r="E10" s="1121" t="s">
        <v>87</v>
      </c>
      <c r="F10" s="1121" t="s">
        <v>1825</v>
      </c>
      <c r="G10" s="1121" t="s">
        <v>1826</v>
      </c>
      <c r="H10" s="1121" t="s">
        <v>1827</v>
      </c>
      <c r="I10" s="1121" t="s">
        <v>1196</v>
      </c>
      <c r="J10" s="1121" t="s">
        <v>1837</v>
      </c>
      <c r="K10" s="1123" t="s">
        <v>1829</v>
      </c>
      <c r="L10" s="2281"/>
      <c r="M10" s="1147"/>
      <c r="N10" s="1854"/>
      <c r="O10" s="2282"/>
      <c r="P10" s="1259" t="s">
        <v>1926</v>
      </c>
      <c r="Q10" s="1213" t="s">
        <v>1859</v>
      </c>
      <c r="R10" s="1213" t="s">
        <v>1860</v>
      </c>
      <c r="S10" s="1213" t="s">
        <v>1861</v>
      </c>
      <c r="T10" s="1214" t="s">
        <v>1927</v>
      </c>
      <c r="U10" s="1213" t="s">
        <v>1883</v>
      </c>
      <c r="V10" s="1213" t="s">
        <v>1833</v>
      </c>
      <c r="W10" s="1214" t="s">
        <v>1834</v>
      </c>
      <c r="X10" s="1259" t="s">
        <v>1928</v>
      </c>
      <c r="Y10" s="1213" t="s">
        <v>1929</v>
      </c>
      <c r="Z10" s="1213" t="s">
        <v>1930</v>
      </c>
      <c r="AA10" s="1259" t="s">
        <v>1931</v>
      </c>
      <c r="AB10" s="1213" t="s">
        <v>1932</v>
      </c>
      <c r="AC10" s="1214" t="s">
        <v>1933</v>
      </c>
      <c r="AD10" s="1103"/>
      <c r="AE10" s="1103"/>
      <c r="AF10" s="1103"/>
      <c r="AG10" s="1103"/>
      <c r="AH10" s="1103"/>
      <c r="AI10" s="1103"/>
    </row>
    <row r="11" spans="1:35" ht="30" customHeight="1">
      <c r="A11" s="1104" t="s">
        <v>1961</v>
      </c>
      <c r="B11" s="2223">
        <v>24.1</v>
      </c>
      <c r="C11" s="1208" t="s">
        <v>94</v>
      </c>
      <c r="D11" s="1191"/>
      <c r="E11" s="1211">
        <v>0</v>
      </c>
      <c r="F11" s="1348"/>
      <c r="G11" s="1216">
        <f>IF(E11=1,X11,0)</f>
        <v>0</v>
      </c>
      <c r="H11" s="1211">
        <v>0</v>
      </c>
      <c r="I11" s="1211">
        <v>0</v>
      </c>
      <c r="J11" s="1211">
        <v>0</v>
      </c>
      <c r="K11" s="1329"/>
      <c r="L11" s="2149" t="s">
        <v>1882</v>
      </c>
      <c r="M11" s="1142"/>
      <c r="N11" s="1207"/>
      <c r="O11" s="2235">
        <v>24.1</v>
      </c>
      <c r="P11" s="1160"/>
      <c r="Q11" s="1335"/>
      <c r="R11" s="1161"/>
      <c r="S11" s="1309"/>
      <c r="T11" s="1162"/>
      <c r="U11" s="1160"/>
      <c r="V11" s="1222"/>
      <c r="W11" s="1202"/>
      <c r="X11" s="1160">
        <v>4</v>
      </c>
      <c r="Y11" s="1223"/>
      <c r="Z11" s="1351"/>
      <c r="AA11" s="1160"/>
      <c r="AB11" s="1223"/>
      <c r="AC11" s="1224"/>
      <c r="AD11" s="1103"/>
      <c r="AE11" s="1103"/>
      <c r="AF11" s="1103"/>
      <c r="AG11" s="1103"/>
      <c r="AH11" s="1103"/>
      <c r="AI11" s="1103"/>
    </row>
    <row r="12" spans="1:35" ht="30" customHeight="1">
      <c r="A12" s="1104" t="s">
        <v>1962</v>
      </c>
      <c r="B12" s="2217"/>
      <c r="C12" s="1190" t="s">
        <v>1838</v>
      </c>
      <c r="D12" s="1191"/>
      <c r="E12" s="1193">
        <v>0</v>
      </c>
      <c r="F12" s="1348"/>
      <c r="G12" s="1210">
        <f>IF(E11=1,IF(E12=1,X12,0),0)</f>
        <v>0</v>
      </c>
      <c r="H12" s="1211">
        <v>0</v>
      </c>
      <c r="I12" s="1211">
        <v>0</v>
      </c>
      <c r="J12" s="1211">
        <v>0</v>
      </c>
      <c r="K12" s="1217"/>
      <c r="L12" s="2150"/>
      <c r="M12" s="1142"/>
      <c r="N12" s="1207"/>
      <c r="O12" s="2528"/>
      <c r="P12" s="1245"/>
      <c r="Q12" s="1248"/>
      <c r="R12" s="1246"/>
      <c r="S12" s="1315"/>
      <c r="T12" s="1247"/>
      <c r="U12" s="1290"/>
      <c r="V12" s="1248"/>
      <c r="W12" s="1249"/>
      <c r="X12" s="1245">
        <v>2</v>
      </c>
      <c r="Y12" s="1250"/>
      <c r="Z12" s="1292"/>
      <c r="AA12" s="1245"/>
      <c r="AB12" s="1250"/>
      <c r="AC12" s="1251"/>
    </row>
    <row r="13" spans="1:35" ht="30" customHeight="1">
      <c r="A13" s="1104" t="s">
        <v>1963</v>
      </c>
      <c r="B13" s="240">
        <v>24.2</v>
      </c>
      <c r="C13" s="265" t="s">
        <v>229</v>
      </c>
      <c r="D13" s="1192"/>
      <c r="E13" s="1193">
        <v>0</v>
      </c>
      <c r="F13" s="1102"/>
      <c r="G13" s="1210">
        <f>IF(E13=1,IF(F13="Simple",U13,(IF(F13="Standard",V13,(IF(F13="Complex",W13,0))))),0)</f>
        <v>0</v>
      </c>
      <c r="H13" s="1211">
        <v>0</v>
      </c>
      <c r="I13" s="1211">
        <v>0</v>
      </c>
      <c r="J13" s="1211">
        <v>0</v>
      </c>
      <c r="K13" s="1217"/>
      <c r="L13" s="2150"/>
      <c r="M13" s="1142"/>
      <c r="N13" s="1207"/>
      <c r="O13" s="1233">
        <f>B13</f>
        <v>24.2</v>
      </c>
      <c r="P13" s="1330"/>
      <c r="Q13" s="1227"/>
      <c r="R13" s="1151"/>
      <c r="S13" s="1314"/>
      <c r="T13" s="1153"/>
      <c r="U13" s="1154">
        <v>6</v>
      </c>
      <c r="V13" s="1227">
        <v>9</v>
      </c>
      <c r="W13" s="1152">
        <v>12</v>
      </c>
      <c r="X13" s="1232"/>
      <c r="Y13" s="1151"/>
      <c r="Z13" s="1252"/>
      <c r="AA13" s="1232"/>
      <c r="AB13" s="1151"/>
      <c r="AC13" s="1152"/>
    </row>
    <row r="14" spans="1:35" ht="30" customHeight="1">
      <c r="A14" s="1104" t="s">
        <v>1964</v>
      </c>
      <c r="B14" s="1240">
        <v>24.3</v>
      </c>
      <c r="C14" s="373" t="s">
        <v>1039</v>
      </c>
      <c r="D14" s="1210" t="s">
        <v>1905</v>
      </c>
      <c r="E14" s="1064">
        <v>0</v>
      </c>
      <c r="F14" s="1192"/>
      <c r="G14" s="1215">
        <f>IF(E14=0,0,ROUNDUP(X14+(E14*AA14),0))</f>
        <v>0</v>
      </c>
      <c r="H14" s="1211">
        <v>0</v>
      </c>
      <c r="I14" s="1211">
        <v>0</v>
      </c>
      <c r="J14" s="1211">
        <v>0</v>
      </c>
      <c r="K14" s="1217"/>
      <c r="L14" s="2150"/>
      <c r="M14" s="1142"/>
      <c r="N14" s="1207"/>
      <c r="O14" s="1233">
        <f>B14</f>
        <v>24.3</v>
      </c>
      <c r="P14" s="1330"/>
      <c r="Q14" s="1227"/>
      <c r="R14" s="1151"/>
      <c r="S14" s="1293"/>
      <c r="T14" s="1152"/>
      <c r="U14" s="1150"/>
      <c r="V14" s="1228"/>
      <c r="W14" s="1153"/>
      <c r="X14" s="1232">
        <v>5</v>
      </c>
      <c r="Y14" s="1151"/>
      <c r="Z14" s="1252"/>
      <c r="AA14" s="1232">
        <v>0.2</v>
      </c>
      <c r="AB14" s="1151"/>
      <c r="AC14" s="1152"/>
    </row>
    <row r="15" spans="1:35" ht="30" customHeight="1">
      <c r="A15" s="1104" t="s">
        <v>1965</v>
      </c>
      <c r="B15" s="240">
        <v>24.4</v>
      </c>
      <c r="C15" s="265" t="s">
        <v>95</v>
      </c>
      <c r="D15" s="1192"/>
      <c r="E15" s="1193">
        <v>0</v>
      </c>
      <c r="F15" s="1192"/>
      <c r="G15" s="1210">
        <f>IF(E15=1,X15,0)</f>
        <v>0</v>
      </c>
      <c r="H15" s="1211">
        <v>0</v>
      </c>
      <c r="I15" s="1211">
        <v>0</v>
      </c>
      <c r="J15" s="1211">
        <v>0</v>
      </c>
      <c r="K15" s="1217"/>
      <c r="L15" s="2150"/>
      <c r="M15" s="1142"/>
      <c r="N15" s="1207"/>
      <c r="O15" s="1229">
        <v>24.4</v>
      </c>
      <c r="P15" s="1331"/>
      <c r="Q15" s="1227"/>
      <c r="R15" s="1151"/>
      <c r="S15" s="1293"/>
      <c r="T15" s="1152"/>
      <c r="U15" s="1150"/>
      <c r="V15" s="1227"/>
      <c r="W15" s="1153"/>
      <c r="X15" s="1232">
        <v>6</v>
      </c>
      <c r="Y15" s="1151"/>
      <c r="Z15" s="1252"/>
      <c r="AA15" s="1232"/>
      <c r="AB15" s="1151"/>
      <c r="AC15" s="1152"/>
    </row>
    <row r="16" spans="1:35" ht="30" customHeight="1">
      <c r="A16" s="1104" t="s">
        <v>1966</v>
      </c>
      <c r="B16" s="2095">
        <v>24.5</v>
      </c>
      <c r="C16" s="1254" t="s">
        <v>1906</v>
      </c>
      <c r="D16" s="1210" t="s">
        <v>2790</v>
      </c>
      <c r="E16" s="1064">
        <v>0</v>
      </c>
      <c r="F16" s="1191"/>
      <c r="G16" s="1139">
        <f>E16*X16</f>
        <v>0</v>
      </c>
      <c r="H16" s="1211">
        <v>0</v>
      </c>
      <c r="I16" s="1211">
        <v>0</v>
      </c>
      <c r="J16" s="1211">
        <v>0</v>
      </c>
      <c r="K16" s="1217"/>
      <c r="L16" s="2150"/>
      <c r="M16" s="1142"/>
      <c r="N16" s="1207"/>
      <c r="O16" s="2522">
        <v>24.5</v>
      </c>
      <c r="P16" s="1331"/>
      <c r="Q16" s="1383"/>
      <c r="R16" s="1384"/>
      <c r="S16" s="1385"/>
      <c r="T16" s="1386"/>
      <c r="U16" s="1382"/>
      <c r="V16" s="1387"/>
      <c r="W16" s="1388"/>
      <c r="X16" s="1382">
        <v>3</v>
      </c>
      <c r="Y16" s="1384"/>
      <c r="Z16" s="1397"/>
      <c r="AA16" s="1382"/>
      <c r="AB16" s="1384"/>
      <c r="AC16" s="1398"/>
    </row>
    <row r="17" spans="1:29" ht="30" customHeight="1">
      <c r="A17" s="1104" t="s">
        <v>1967</v>
      </c>
      <c r="B17" s="2489"/>
      <c r="C17" s="2097" t="s">
        <v>1907</v>
      </c>
      <c r="D17" s="1210" t="s">
        <v>1910</v>
      </c>
      <c r="E17" s="1064">
        <v>0</v>
      </c>
      <c r="F17" s="1192"/>
      <c r="G17" s="1210">
        <f>E17*X17</f>
        <v>0</v>
      </c>
      <c r="H17" s="1211">
        <v>0</v>
      </c>
      <c r="I17" s="1211">
        <v>0</v>
      </c>
      <c r="J17" s="1211">
        <v>0</v>
      </c>
      <c r="K17" s="1217"/>
      <c r="L17" s="2150"/>
      <c r="M17" s="1142"/>
      <c r="N17" s="1207"/>
      <c r="O17" s="2523"/>
      <c r="P17" s="1400"/>
      <c r="Q17" s="1336"/>
      <c r="R17" s="1164"/>
      <c r="S17" s="1165"/>
      <c r="T17" s="1390"/>
      <c r="U17" s="1389"/>
      <c r="V17" s="1391"/>
      <c r="W17" s="1392"/>
      <c r="X17" s="1389">
        <v>4</v>
      </c>
      <c r="Y17" s="1401"/>
      <c r="Z17" s="1402"/>
      <c r="AA17" s="1389"/>
      <c r="AB17" s="1401"/>
      <c r="AC17" s="1403"/>
    </row>
    <row r="18" spans="1:29" ht="30" customHeight="1">
      <c r="A18" s="1104" t="s">
        <v>1968</v>
      </c>
      <c r="B18" s="2096"/>
      <c r="C18" s="2098"/>
      <c r="D18" s="1215" t="s">
        <v>1978</v>
      </c>
      <c r="E18" s="1064">
        <v>0</v>
      </c>
      <c r="F18" s="1192"/>
      <c r="G18" s="1210">
        <f>E18*X18</f>
        <v>0</v>
      </c>
      <c r="H18" s="1211">
        <v>0</v>
      </c>
      <c r="I18" s="1211">
        <v>0</v>
      </c>
      <c r="J18" s="1211">
        <v>0</v>
      </c>
      <c r="K18" s="1217"/>
      <c r="L18" s="2150"/>
      <c r="M18" s="1142"/>
      <c r="N18" s="1207"/>
      <c r="O18" s="2530"/>
      <c r="P18" s="1399"/>
      <c r="Q18" s="1248"/>
      <c r="R18" s="1246"/>
      <c r="S18" s="1295"/>
      <c r="T18" s="1249"/>
      <c r="U18" s="1245"/>
      <c r="V18" s="1379"/>
      <c r="W18" s="1247"/>
      <c r="X18" s="1245">
        <v>24</v>
      </c>
      <c r="Y18" s="1250"/>
      <c r="Z18" s="1292"/>
      <c r="AA18" s="1245"/>
      <c r="AB18" s="1250"/>
      <c r="AC18" s="1251"/>
    </row>
    <row r="19" spans="1:29" ht="30" customHeight="1">
      <c r="A19" s="1104" t="s">
        <v>1969</v>
      </c>
      <c r="B19" s="2095">
        <v>24.6</v>
      </c>
      <c r="C19" s="2097" t="s">
        <v>207</v>
      </c>
      <c r="D19" s="2234" t="s">
        <v>617</v>
      </c>
      <c r="E19" s="1064">
        <v>0</v>
      </c>
      <c r="F19" s="1138" t="s">
        <v>1883</v>
      </c>
      <c r="G19" s="1139">
        <f>E19*U19</f>
        <v>0</v>
      </c>
      <c r="H19" s="1211">
        <v>0</v>
      </c>
      <c r="I19" s="1211">
        <v>0</v>
      </c>
      <c r="J19" s="1211">
        <v>0</v>
      </c>
      <c r="K19" s="1217"/>
      <c r="L19" s="2150"/>
      <c r="M19" s="1142"/>
      <c r="N19" s="1207"/>
      <c r="O19" s="2522">
        <v>24.6</v>
      </c>
      <c r="P19" s="1331"/>
      <c r="Q19" s="1383"/>
      <c r="R19" s="1384"/>
      <c r="S19" s="1385"/>
      <c r="T19" s="1386"/>
      <c r="U19" s="1382">
        <v>4</v>
      </c>
      <c r="V19" s="1387"/>
      <c r="W19" s="1388"/>
      <c r="X19" s="1382"/>
      <c r="Y19" s="1404"/>
      <c r="Z19" s="1397"/>
      <c r="AA19" s="1382"/>
      <c r="AB19" s="1404"/>
      <c r="AC19" s="1398"/>
    </row>
    <row r="20" spans="1:29" ht="30" customHeight="1">
      <c r="A20" s="1104" t="s">
        <v>1970</v>
      </c>
      <c r="B20" s="2489"/>
      <c r="C20" s="2445"/>
      <c r="D20" s="2260"/>
      <c r="E20" s="1064">
        <v>0</v>
      </c>
      <c r="F20" s="1138" t="s">
        <v>1833</v>
      </c>
      <c r="G20" s="1139">
        <f>E20*V20</f>
        <v>0</v>
      </c>
      <c r="H20" s="1211">
        <v>0</v>
      </c>
      <c r="I20" s="1211">
        <v>0</v>
      </c>
      <c r="J20" s="1211">
        <v>0</v>
      </c>
      <c r="K20" s="1217"/>
      <c r="L20" s="2150"/>
      <c r="M20" s="1142"/>
      <c r="N20" s="1207"/>
      <c r="O20" s="2523"/>
      <c r="P20" s="1400"/>
      <c r="Q20" s="1336"/>
      <c r="R20" s="1164"/>
      <c r="S20" s="1165"/>
      <c r="T20" s="1390"/>
      <c r="U20" s="1389"/>
      <c r="V20" s="1391">
        <v>8</v>
      </c>
      <c r="W20" s="1392"/>
      <c r="X20" s="1389"/>
      <c r="Y20" s="1401"/>
      <c r="Z20" s="1402"/>
      <c r="AA20" s="1389"/>
      <c r="AB20" s="1401"/>
      <c r="AC20" s="1403"/>
    </row>
    <row r="21" spans="1:29" ht="30" customHeight="1">
      <c r="A21" s="1104" t="s">
        <v>1971</v>
      </c>
      <c r="B21" s="2096"/>
      <c r="C21" s="2098"/>
      <c r="D21" s="2277"/>
      <c r="E21" s="1064">
        <v>0</v>
      </c>
      <c r="F21" s="1138" t="s">
        <v>1834</v>
      </c>
      <c r="G21" s="1139">
        <f>IF(E21=0,0,(E21*W21)+X21)</f>
        <v>0</v>
      </c>
      <c r="H21" s="1211">
        <v>0</v>
      </c>
      <c r="I21" s="1211">
        <v>0</v>
      </c>
      <c r="J21" s="1211">
        <v>0</v>
      </c>
      <c r="K21" s="1217"/>
      <c r="L21" s="2150"/>
      <c r="M21" s="1142"/>
      <c r="N21" s="1207"/>
      <c r="O21" s="2524"/>
      <c r="P21" s="1399"/>
      <c r="Q21" s="1248"/>
      <c r="R21" s="1246"/>
      <c r="S21" s="1295"/>
      <c r="T21" s="1249"/>
      <c r="U21" s="1245"/>
      <c r="V21" s="1379"/>
      <c r="W21" s="1247">
        <v>8</v>
      </c>
      <c r="X21" s="1245">
        <v>4</v>
      </c>
      <c r="Y21" s="1246"/>
      <c r="Z21" s="1292"/>
      <c r="AA21" s="1245"/>
      <c r="AB21" s="1246"/>
      <c r="AC21" s="1251"/>
    </row>
    <row r="22" spans="1:29" ht="30" customHeight="1">
      <c r="A22" s="1104" t="s">
        <v>1972</v>
      </c>
      <c r="B22" s="2095">
        <v>24.7</v>
      </c>
      <c r="C22" s="2097" t="s">
        <v>1884</v>
      </c>
      <c r="D22" s="2234" t="s">
        <v>1885</v>
      </c>
      <c r="E22" s="1064">
        <v>0</v>
      </c>
      <c r="F22" s="1138" t="s">
        <v>1883</v>
      </c>
      <c r="G22" s="1139">
        <f>E22*U22</f>
        <v>0</v>
      </c>
      <c r="H22" s="1211">
        <v>0</v>
      </c>
      <c r="I22" s="1211">
        <v>0</v>
      </c>
      <c r="J22" s="1211">
        <v>0</v>
      </c>
      <c r="K22" s="1217"/>
      <c r="L22" s="2150"/>
      <c r="M22" s="1142"/>
      <c r="N22" s="1204"/>
      <c r="O22" s="2522">
        <v>24.7</v>
      </c>
      <c r="P22" s="1331"/>
      <c r="Q22" s="1383"/>
      <c r="R22" s="1384"/>
      <c r="S22" s="1385"/>
      <c r="T22" s="1386"/>
      <c r="U22" s="1382">
        <v>6</v>
      </c>
      <c r="V22" s="1387"/>
      <c r="W22" s="1388"/>
      <c r="X22" s="1405"/>
      <c r="Y22" s="1404"/>
      <c r="Z22" s="1397"/>
      <c r="AA22" s="1405"/>
      <c r="AB22" s="1404"/>
      <c r="AC22" s="1398"/>
    </row>
    <row r="23" spans="1:29" ht="30" customHeight="1">
      <c r="A23" s="1104" t="s">
        <v>1973</v>
      </c>
      <c r="B23" s="2489"/>
      <c r="C23" s="2445"/>
      <c r="D23" s="2260"/>
      <c r="E23" s="1064">
        <v>0</v>
      </c>
      <c r="F23" s="1138" t="s">
        <v>1833</v>
      </c>
      <c r="G23" s="1139">
        <f>E23*V23</f>
        <v>0</v>
      </c>
      <c r="H23" s="1211">
        <v>0</v>
      </c>
      <c r="I23" s="1211">
        <v>0</v>
      </c>
      <c r="J23" s="1211">
        <v>0</v>
      </c>
      <c r="K23" s="1218"/>
      <c r="L23" s="2150"/>
      <c r="M23" s="1142"/>
      <c r="N23" s="1204"/>
      <c r="O23" s="2523"/>
      <c r="P23" s="1400"/>
      <c r="Q23" s="1336"/>
      <c r="R23" s="1164"/>
      <c r="S23" s="1165"/>
      <c r="T23" s="1390"/>
      <c r="U23" s="1409"/>
      <c r="V23" s="1391">
        <v>12</v>
      </c>
      <c r="W23" s="1392"/>
      <c r="X23" s="1389"/>
      <c r="Y23" s="1401"/>
      <c r="Z23" s="1402"/>
      <c r="AA23" s="1389"/>
      <c r="AB23" s="1401"/>
      <c r="AC23" s="1403"/>
    </row>
    <row r="24" spans="1:29" s="1078" customFormat="1" ht="30" customHeight="1">
      <c r="A24" s="1104" t="s">
        <v>1974</v>
      </c>
      <c r="B24" s="2096"/>
      <c r="C24" s="2098"/>
      <c r="D24" s="2277"/>
      <c r="E24" s="1064">
        <v>0</v>
      </c>
      <c r="F24" s="1138" t="s">
        <v>1834</v>
      </c>
      <c r="G24" s="1139">
        <f>E24*W24</f>
        <v>0</v>
      </c>
      <c r="H24" s="1211">
        <v>0</v>
      </c>
      <c r="I24" s="1211">
        <v>0</v>
      </c>
      <c r="J24" s="1211">
        <v>0</v>
      </c>
      <c r="K24" s="1238"/>
      <c r="L24" s="2150"/>
      <c r="M24" s="1173"/>
      <c r="N24" s="1142"/>
      <c r="O24" s="2524"/>
      <c r="P24" s="1399"/>
      <c r="Q24" s="1379"/>
      <c r="R24" s="1323"/>
      <c r="S24" s="1315"/>
      <c r="T24" s="1247"/>
      <c r="U24" s="1245"/>
      <c r="V24" s="1379"/>
      <c r="W24" s="1247">
        <v>16</v>
      </c>
      <c r="X24" s="1245"/>
      <c r="Y24" s="1406"/>
      <c r="Z24" s="1407"/>
      <c r="AA24" s="1245"/>
      <c r="AB24" s="1406"/>
      <c r="AC24" s="1408"/>
    </row>
    <row r="25" spans="1:29" s="1078" customFormat="1" ht="30" customHeight="1" thickBot="1">
      <c r="A25" s="1104" t="s">
        <v>1975</v>
      </c>
      <c r="B25" s="1257">
        <v>24.8</v>
      </c>
      <c r="C25" s="1243" t="s">
        <v>1717</v>
      </c>
      <c r="D25" s="1258"/>
      <c r="E25" s="1196">
        <v>0</v>
      </c>
      <c r="F25" s="1100"/>
      <c r="G25" s="1071">
        <f>IF(E25=1,(IF(F25="Simple",U25,IF(F25="Standard",V25,(IF(F25="Complex",W25,0))))),0)</f>
        <v>0</v>
      </c>
      <c r="H25" s="1255">
        <v>0</v>
      </c>
      <c r="I25" s="1255">
        <v>0</v>
      </c>
      <c r="J25" s="1255">
        <v>0</v>
      </c>
      <c r="K25" s="1220"/>
      <c r="L25" s="2218"/>
      <c r="M25" s="1173"/>
      <c r="N25" s="1142"/>
      <c r="O25" s="1233">
        <v>24.8</v>
      </c>
      <c r="P25" s="1330"/>
      <c r="Q25" s="1227"/>
      <c r="R25" s="1151"/>
      <c r="S25" s="1293"/>
      <c r="T25" s="1152"/>
      <c r="U25" s="1154">
        <v>16</v>
      </c>
      <c r="V25" s="1228">
        <v>32</v>
      </c>
      <c r="W25" s="1153">
        <v>48</v>
      </c>
      <c r="X25" s="1150"/>
      <c r="Y25" s="1230"/>
      <c r="Z25" s="1291"/>
      <c r="AA25" s="1150"/>
      <c r="AB25" s="1230"/>
      <c r="AC25" s="1231"/>
    </row>
    <row r="26" spans="1:29" ht="19.2" customHeight="1" thickBot="1">
      <c r="A26" s="1104"/>
      <c r="B26" s="2246" t="s">
        <v>1908</v>
      </c>
      <c r="C26" s="2247"/>
      <c r="D26" s="2247"/>
      <c r="E26" s="2247"/>
      <c r="F26" s="2247"/>
      <c r="G26" s="1079">
        <f>SUM(G11:G25)</f>
        <v>0</v>
      </c>
      <c r="H26" s="1079">
        <f>SUM(H11:H25)</f>
        <v>0</v>
      </c>
      <c r="I26" s="1079">
        <f>SUM(I11:I25)</f>
        <v>0</v>
      </c>
      <c r="J26" s="1080">
        <f>SUM(J11:J25)</f>
        <v>0</v>
      </c>
      <c r="K26" s="1198"/>
      <c r="L26" s="2189"/>
      <c r="M26" s="1173"/>
      <c r="N26" s="1142"/>
      <c r="O26" s="1142"/>
      <c r="P26" s="1142"/>
      <c r="Q26" s="1207"/>
      <c r="R26" s="1207"/>
      <c r="S26" s="1207"/>
      <c r="T26" s="1207"/>
      <c r="U26" s="1252"/>
      <c r="V26" s="1144"/>
      <c r="W26" s="1144"/>
      <c r="X26" s="1144"/>
      <c r="Y26" s="1234"/>
      <c r="Z26" s="1234"/>
      <c r="AA26" s="1144"/>
      <c r="AB26" s="1234"/>
      <c r="AC26" s="1234"/>
    </row>
    <row r="27" spans="1:29" ht="30" customHeight="1">
      <c r="A27" s="1104" t="s">
        <v>1976</v>
      </c>
      <c r="B27" s="1240">
        <v>24.9</v>
      </c>
      <c r="C27" s="1189" t="s">
        <v>307</v>
      </c>
      <c r="D27" s="1070" t="s">
        <v>878</v>
      </c>
      <c r="E27" s="1211">
        <v>1</v>
      </c>
      <c r="F27" s="1347">
        <v>0.05</v>
      </c>
      <c r="G27" s="1578">
        <f>IF($E27=0,0,ROUNDUP($F27*G26,0))</f>
        <v>0</v>
      </c>
      <c r="H27" s="1578">
        <f>IF($E27=0,0,ROUNDUP($F27*H26,0))</f>
        <v>0</v>
      </c>
      <c r="I27" s="1578">
        <f>IF($E27=0,0,ROUNDUP($F27*I26,0))</f>
        <v>0</v>
      </c>
      <c r="J27" s="1065">
        <f>IF($E27=0,0,ROUNDUP($F27*J26,0))</f>
        <v>0</v>
      </c>
      <c r="K27" s="1081"/>
      <c r="L27" s="2190"/>
      <c r="M27" s="1173"/>
      <c r="N27" s="1142"/>
      <c r="O27" s="1229">
        <v>24.9</v>
      </c>
      <c r="P27" s="1331"/>
      <c r="Q27" s="1228"/>
      <c r="R27" s="1206"/>
      <c r="S27" s="1314"/>
      <c r="T27" s="1153"/>
      <c r="U27" s="1150"/>
      <c r="V27" s="1228"/>
      <c r="W27" s="1153"/>
      <c r="X27" s="1150"/>
      <c r="Y27" s="1235"/>
      <c r="Z27" s="1294"/>
      <c r="AA27" s="1150"/>
      <c r="AB27" s="1235"/>
      <c r="AC27" s="1236"/>
    </row>
    <row r="28" spans="1:29" ht="30" customHeight="1" thickBot="1">
      <c r="A28" s="1104" t="s">
        <v>1977</v>
      </c>
      <c r="B28" s="1135">
        <v>24.1</v>
      </c>
      <c r="C28" s="1197" t="s">
        <v>169</v>
      </c>
      <c r="D28" s="1071" t="s">
        <v>878</v>
      </c>
      <c r="E28" s="1211">
        <v>1</v>
      </c>
      <c r="F28" s="1560">
        <v>0.05</v>
      </c>
      <c r="G28" s="1559">
        <f>IF($E28=0,0,ROUNDUP($F28*G26,0))</f>
        <v>0</v>
      </c>
      <c r="H28" s="1559">
        <f>IF($E28=0,0,ROUNDUP($F28*H26,0))</f>
        <v>0</v>
      </c>
      <c r="I28" s="1559">
        <f>IF($E28=0,0,ROUNDUP($F28*I26,0))</f>
        <v>0</v>
      </c>
      <c r="J28" s="1065">
        <f>IF($E28=0,0,ROUNDUP($F28*J26,0))</f>
        <v>0</v>
      </c>
      <c r="K28" s="1082"/>
      <c r="L28" s="2190"/>
      <c r="M28" s="1173"/>
      <c r="N28" s="1142"/>
      <c r="O28" s="1253">
        <v>24.1</v>
      </c>
      <c r="P28" s="1332"/>
      <c r="Q28" s="1228"/>
      <c r="R28" s="1206"/>
      <c r="S28" s="1314"/>
      <c r="T28" s="1153"/>
      <c r="U28" s="1154"/>
      <c r="V28" s="1228"/>
      <c r="W28" s="1153"/>
      <c r="X28" s="1150"/>
      <c r="Y28" s="1235"/>
      <c r="Z28" s="1294"/>
      <c r="AA28" s="1150"/>
      <c r="AB28" s="1235"/>
      <c r="AC28" s="1236"/>
    </row>
    <row r="29" spans="1:29" ht="20.100000000000001" customHeight="1" thickBot="1">
      <c r="B29" s="2183" t="s">
        <v>1909</v>
      </c>
      <c r="C29" s="2184"/>
      <c r="D29" s="2184"/>
      <c r="E29" s="2184"/>
      <c r="F29" s="2185"/>
      <c r="G29" s="1132">
        <f>SUM(G26:G28)</f>
        <v>0</v>
      </c>
      <c r="H29" s="1132">
        <f>SUM(H26:H28)</f>
        <v>0</v>
      </c>
      <c r="I29" s="1132">
        <f>SUM(I26:I28)</f>
        <v>0</v>
      </c>
      <c r="J29" s="1132">
        <f>SUM(J26:J28)</f>
        <v>0</v>
      </c>
      <c r="K29" s="1199"/>
      <c r="L29" s="2191"/>
      <c r="M29" s="1142"/>
      <c r="N29" s="1142"/>
      <c r="O29" s="1142"/>
      <c r="P29" s="1142"/>
      <c r="Q29" s="1142"/>
      <c r="R29" s="1142"/>
      <c r="S29" s="1142"/>
      <c r="T29" s="1142"/>
      <c r="U29" s="1142"/>
      <c r="V29" s="1142"/>
      <c r="W29" s="1142"/>
      <c r="X29" s="1142"/>
      <c r="Y29" s="1203"/>
      <c r="Z29" s="1203"/>
      <c r="AA29" s="1142"/>
      <c r="AB29" s="1203"/>
      <c r="AC29" s="1203"/>
    </row>
    <row r="30" spans="1:29">
      <c r="J30" s="182" t="s">
        <v>1858</v>
      </c>
    </row>
  </sheetData>
  <sheetProtection algorithmName="SHA-512" hashValue="wgx8/atqAIuQo33pH/ZAHqfueFQnQhYCmskcQFN8skHUH8fS7QVHuhFaqkNuuJmdIAruPmYaQ/oEy9m7O6W1Xw==" saltValue="uFDIonsIMTSLcD2xhhzPUw==" spinCount="100000" sheet="1" formatCells="0" formatColumns="0" formatRows="0" insertColumns="0" insertRows="0"/>
  <mergeCells count="36">
    <mergeCell ref="X9:Z9"/>
    <mergeCell ref="AA9:AC9"/>
    <mergeCell ref="O9:O10"/>
    <mergeCell ref="O11:O12"/>
    <mergeCell ref="B26:F26"/>
    <mergeCell ref="L26:L29"/>
    <mergeCell ref="U9:W9"/>
    <mergeCell ref="B16:B18"/>
    <mergeCell ref="O16:O18"/>
    <mergeCell ref="C17:C18"/>
    <mergeCell ref="P9:T9"/>
    <mergeCell ref="B11:B12"/>
    <mergeCell ref="O19:O21"/>
    <mergeCell ref="B22:B24"/>
    <mergeCell ref="B29:F29"/>
    <mergeCell ref="C22:C24"/>
    <mergeCell ref="B1:C3"/>
    <mergeCell ref="D1:J3"/>
    <mergeCell ref="L1:L3"/>
    <mergeCell ref="B4:C4"/>
    <mergeCell ref="D4:J4"/>
    <mergeCell ref="B5:C5"/>
    <mergeCell ref="D5:J5"/>
    <mergeCell ref="L5:L10"/>
    <mergeCell ref="B6:C6"/>
    <mergeCell ref="D6:J6"/>
    <mergeCell ref="B9:B10"/>
    <mergeCell ref="C9:C10"/>
    <mergeCell ref="D9:F9"/>
    <mergeCell ref="G9:J9"/>
    <mergeCell ref="D22:D24"/>
    <mergeCell ref="O22:O24"/>
    <mergeCell ref="B19:B21"/>
    <mergeCell ref="C19:C21"/>
    <mergeCell ref="D19:D21"/>
    <mergeCell ref="L11:L25"/>
  </mergeCells>
  <phoneticPr fontId="51" type="noConversion"/>
  <dataValidations xWindow="672" yWindow="458" count="7">
    <dataValidation type="whole" allowBlank="1" showInputMessage="1" showErrorMessage="1" error="Enter 1 or 0._x000a_Yes=1_x000a_No=0" sqref="E25 E11 E13 E15 E27:E28" xr:uid="{91C373D3-09FE-435C-91E9-A0ADFFB56FA2}">
      <formula1>0</formula1>
      <formula2>1</formula2>
    </dataValidation>
    <dataValidation type="list" allowBlank="1" showInputMessage="1" showErrorMessage="1" promptTitle="Complexity" prompt="What is the complexity of the temporary lighting installations?" sqref="F25" xr:uid="{3D9A0436-3822-4FA9-9098-14FC9E0179A1}">
      <formula1>$U$10:$W$10</formula1>
    </dataValidation>
    <dataValidation type="whole" operator="greaterThanOrEqual" allowBlank="1" showInputMessage="1" showErrorMessage="1" error="Input a positive whole number." sqref="E16" xr:uid="{0DA56D8E-DB82-4BC1-B84F-296CDEA249B2}">
      <formula1>0</formula1>
    </dataValidation>
    <dataValidation type="whole" operator="greaterThanOrEqual" allowBlank="1" showInputMessage="1" showErrorMessage="1" error="Input a whole number greater or equal to zero." sqref="E17:E18 E22:E24 E14" xr:uid="{27E5CACD-55D7-4825-B1ED-6A8E88135401}">
      <formula1>0</formula1>
    </dataValidation>
    <dataValidation type="whole" operator="greaterThanOrEqual" allowBlank="1" showInputMessage="1" showErrorMessage="1" error="Input a whole number greater than or equal to zero." sqref="E19:E21" xr:uid="{9DBEECB0-31A1-480B-8711-84834E219373}">
      <formula1>0</formula1>
    </dataValidation>
    <dataValidation type="whole" allowBlank="1" showInputMessage="1" showErrorMessage="1" error="Enter 1 or 0._x000a_Yes=1_x000a_No=2" sqref="E12" xr:uid="{19E65B9C-1B18-426F-8606-3CE3A62054F8}">
      <formula1>0</formula1>
      <formula2>1</formula2>
    </dataValidation>
    <dataValidation type="list" allowBlank="1" showInputMessage="1" showErrorMessage="1" promptTitle="Complexity" prompt="What is the estimated complexity of the General Notes/Pay Item Notes Sheet?" sqref="F13" xr:uid="{CB869AB6-9E32-4324-81F0-4B7DF82F4BD3}">
      <formula1>$U$10:$W$10</formula1>
    </dataValidation>
  </dataValidations>
  <hyperlinks>
    <hyperlink ref="L4" r:id="rId1" display="Video Tutorial - A short webinar for the Drainage Plans tab" xr:uid="{09F13789-5DC2-4712-9C5C-9AFA91781346}"/>
  </hyperlinks>
  <pageMargins left="0.7" right="0.7" top="0.75" bottom="0.75" header="0.3" footer="0.3"/>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AAB98-8F5D-4267-B3C8-D7C21BEF1DC1}">
  <sheetPr codeName="Sheet42"/>
  <dimension ref="A1:L26"/>
  <sheetViews>
    <sheetView showGridLines="0" zoomScaleNormal="100" workbookViewId="0">
      <selection sqref="A1:G1"/>
    </sheetView>
  </sheetViews>
  <sheetFormatPr defaultColWidth="8.88671875" defaultRowHeight="13.8"/>
  <cols>
    <col min="1" max="1" width="33.109375" style="1581" customWidth="1"/>
    <col min="2" max="2" width="12.6640625" style="1581" customWidth="1"/>
    <col min="3" max="3" width="69.77734375" style="1581" customWidth="1"/>
    <col min="4" max="5" width="13.88671875" style="1581" customWidth="1"/>
    <col min="6" max="6" width="36.6640625" style="1581" customWidth="1"/>
    <col min="7" max="7" width="17.33203125" style="1581" customWidth="1"/>
    <col min="8" max="8" width="8.88671875" style="1581"/>
    <col min="9" max="12" width="0" style="1581" hidden="1" customWidth="1"/>
    <col min="13" max="16384" width="8.88671875" style="1581"/>
  </cols>
  <sheetData>
    <row r="1" spans="1:12" ht="26.25" customHeight="1">
      <c r="A1" s="2318" t="s">
        <v>1694</v>
      </c>
      <c r="B1" s="2318"/>
      <c r="C1" s="2318"/>
      <c r="D1" s="2318"/>
      <c r="E1" s="2318"/>
      <c r="F1" s="2318"/>
      <c r="G1" s="2319"/>
    </row>
    <row r="2" spans="1:12" ht="33" customHeight="1" thickBot="1">
      <c r="A2" s="2320" t="s">
        <v>2145</v>
      </c>
      <c r="B2" s="2320"/>
      <c r="C2" s="2320"/>
      <c r="D2" s="2320"/>
      <c r="E2" s="2320"/>
      <c r="F2" s="2320"/>
      <c r="G2" s="2320"/>
    </row>
    <row r="3" spans="1:12" ht="30" customHeight="1" thickBot="1">
      <c r="A3" s="1583" t="s">
        <v>2047</v>
      </c>
      <c r="B3" s="2321" t="s">
        <v>2048</v>
      </c>
      <c r="C3" s="2321"/>
      <c r="D3" s="1638" t="s">
        <v>1825</v>
      </c>
      <c r="E3" s="1584" t="s">
        <v>2049</v>
      </c>
      <c r="F3" s="2322" t="s">
        <v>164</v>
      </c>
      <c r="G3" s="2323"/>
      <c r="I3" s="1581" t="s">
        <v>2050</v>
      </c>
      <c r="J3" s="1581" t="s">
        <v>1883</v>
      </c>
      <c r="K3" s="1581" t="s">
        <v>1833</v>
      </c>
      <c r="L3" s="1581" t="s">
        <v>1834</v>
      </c>
    </row>
    <row r="4" spans="1:12" ht="20.100000000000001" customHeight="1">
      <c r="A4" s="2314" t="s">
        <v>2146</v>
      </c>
      <c r="B4" s="1585" t="s">
        <v>2052</v>
      </c>
      <c r="C4" s="1586" t="s">
        <v>2147</v>
      </c>
      <c r="D4" s="2317"/>
      <c r="E4" s="2302">
        <f>IF(D4="N/A",0,IF(D4="Simple",1,IF(D4="Standard",2,IF(D4="Complex",3,0))))</f>
        <v>0</v>
      </c>
      <c r="F4" s="2307"/>
      <c r="G4" s="2308"/>
    </row>
    <row r="5" spans="1:12" ht="20.100000000000001" customHeight="1">
      <c r="A5" s="2315"/>
      <c r="B5" s="1585" t="s">
        <v>2053</v>
      </c>
      <c r="C5" s="1586" t="s">
        <v>2148</v>
      </c>
      <c r="D5" s="2287"/>
      <c r="E5" s="2303"/>
      <c r="F5" s="2307"/>
      <c r="G5" s="2308"/>
    </row>
    <row r="6" spans="1:12">
      <c r="A6" s="2316"/>
      <c r="B6" s="1585" t="s">
        <v>2055</v>
      </c>
      <c r="C6" s="1586" t="s">
        <v>2545</v>
      </c>
      <c r="D6" s="2288"/>
      <c r="E6" s="2304"/>
      <c r="F6" s="2309"/>
      <c r="G6" s="2310"/>
    </row>
    <row r="7" spans="1:12" ht="20.100000000000001" customHeight="1">
      <c r="A7" s="2311" t="s">
        <v>1313</v>
      </c>
      <c r="B7" s="1588" t="s">
        <v>2052</v>
      </c>
      <c r="C7" s="1589" t="s">
        <v>1314</v>
      </c>
      <c r="D7" s="2298"/>
      <c r="E7" s="2289">
        <f>IF(D7="N/A",0,IF(D7="Simple",1,IF(D7="Standard",2,IF(D7="Complex",3,0))))</f>
        <v>0</v>
      </c>
      <c r="F7" s="2291"/>
      <c r="G7" s="2292"/>
    </row>
    <row r="8" spans="1:12" ht="20.100000000000001" customHeight="1">
      <c r="A8" s="2312"/>
      <c r="B8" s="1588" t="s">
        <v>2053</v>
      </c>
      <c r="C8" s="1589" t="s">
        <v>1315</v>
      </c>
      <c r="D8" s="2287"/>
      <c r="E8" s="2289"/>
      <c r="F8" s="2293"/>
      <c r="G8" s="2294"/>
    </row>
    <row r="9" spans="1:12" ht="20.100000000000001" customHeight="1">
      <c r="A9" s="2313"/>
      <c r="B9" s="1588" t="s">
        <v>2055</v>
      </c>
      <c r="C9" s="1589" t="s">
        <v>2149</v>
      </c>
      <c r="D9" s="2288"/>
      <c r="E9" s="2290"/>
      <c r="F9" s="2295"/>
      <c r="G9" s="2296"/>
    </row>
    <row r="10" spans="1:12" ht="20.100000000000001" customHeight="1">
      <c r="A10" s="2299" t="s">
        <v>1317</v>
      </c>
      <c r="B10" s="1585" t="s">
        <v>2052</v>
      </c>
      <c r="C10" s="1586" t="s">
        <v>1318</v>
      </c>
      <c r="D10" s="2298"/>
      <c r="E10" s="2302">
        <f>IF(D10="N/A",0,IF(D10="Simple",1,IF(D10="Standard",2,IF(D10="Complex",3,0))))</f>
        <v>0</v>
      </c>
      <c r="F10" s="2305"/>
      <c r="G10" s="2306"/>
    </row>
    <row r="11" spans="1:12" ht="20.100000000000001" customHeight="1">
      <c r="A11" s="2300"/>
      <c r="B11" s="1585" t="s">
        <v>2053</v>
      </c>
      <c r="C11" s="1586" t="s">
        <v>1705</v>
      </c>
      <c r="D11" s="2287"/>
      <c r="E11" s="2303"/>
      <c r="F11" s="2307"/>
      <c r="G11" s="2308"/>
    </row>
    <row r="12" spans="1:12" ht="20.100000000000001" customHeight="1">
      <c r="A12" s="2301"/>
      <c r="B12" s="1585" t="s">
        <v>2055</v>
      </c>
      <c r="C12" s="1587" t="s">
        <v>1706</v>
      </c>
      <c r="D12" s="2288"/>
      <c r="E12" s="2304"/>
      <c r="F12" s="2309"/>
      <c r="G12" s="2310"/>
    </row>
    <row r="13" spans="1:12" ht="20.100000000000001" customHeight="1">
      <c r="A13" s="2285" t="s">
        <v>2150</v>
      </c>
      <c r="B13" s="1588" t="s">
        <v>2052</v>
      </c>
      <c r="C13" s="1589" t="s">
        <v>2151</v>
      </c>
      <c r="D13" s="2298"/>
      <c r="E13" s="2289">
        <f>IF(D13="N/A",0,IF(D13="Simple",1,IF(D13="Standard",2,IF(D13="Complex",3,0))))</f>
        <v>0</v>
      </c>
      <c r="F13" s="2291"/>
      <c r="G13" s="2292"/>
    </row>
    <row r="14" spans="1:12" ht="20.100000000000001" customHeight="1">
      <c r="A14" s="2286"/>
      <c r="B14" s="1588" t="s">
        <v>2053</v>
      </c>
      <c r="C14" s="1589" t="s">
        <v>2152</v>
      </c>
      <c r="D14" s="2287"/>
      <c r="E14" s="2289"/>
      <c r="F14" s="2293"/>
      <c r="G14" s="2294"/>
    </row>
    <row r="15" spans="1:12" ht="20.100000000000001" customHeight="1">
      <c r="A15" s="2297"/>
      <c r="B15" s="1588" t="s">
        <v>2055</v>
      </c>
      <c r="C15" s="1589" t="s">
        <v>2153</v>
      </c>
      <c r="D15" s="2288"/>
      <c r="E15" s="2290"/>
      <c r="F15" s="2295"/>
      <c r="G15" s="2296"/>
    </row>
    <row r="16" spans="1:12" ht="20.100000000000001" customHeight="1">
      <c r="A16" s="2299" t="s">
        <v>1320</v>
      </c>
      <c r="B16" s="1585" t="s">
        <v>2052</v>
      </c>
      <c r="C16" s="1586" t="s">
        <v>2154</v>
      </c>
      <c r="D16" s="2298"/>
      <c r="E16" s="2302">
        <f>IF(D16="N/A",0,IF(D16="Simple",1,IF(D16="Standard",2,IF(D16="Complex",3,0))))</f>
        <v>0</v>
      </c>
      <c r="F16" s="2305"/>
      <c r="G16" s="2306"/>
    </row>
    <row r="17" spans="1:7" ht="20.100000000000001" customHeight="1">
      <c r="A17" s="2300"/>
      <c r="B17" s="1585" t="s">
        <v>2053</v>
      </c>
      <c r="C17" s="1586" t="s">
        <v>2155</v>
      </c>
      <c r="D17" s="2287"/>
      <c r="E17" s="2303"/>
      <c r="F17" s="2307"/>
      <c r="G17" s="2308"/>
    </row>
    <row r="18" spans="1:7" ht="20.100000000000001" customHeight="1">
      <c r="A18" s="2301"/>
      <c r="B18" s="1585" t="s">
        <v>2055</v>
      </c>
      <c r="C18" s="1587" t="s">
        <v>2156</v>
      </c>
      <c r="D18" s="2288"/>
      <c r="E18" s="2304"/>
      <c r="F18" s="2309"/>
      <c r="G18" s="2310"/>
    </row>
    <row r="19" spans="1:7" ht="20.100000000000001" customHeight="1">
      <c r="A19" s="2285" t="s">
        <v>1043</v>
      </c>
      <c r="B19" s="1588" t="s">
        <v>2052</v>
      </c>
      <c r="C19" s="1589" t="s">
        <v>1695</v>
      </c>
      <c r="D19" s="2298"/>
      <c r="E19" s="2289">
        <f>IF(D19="N/A",0,IF(D19="Simple",1,IF(D19="Standard",2,IF(D19="Complex",3,0))))</f>
        <v>0</v>
      </c>
      <c r="F19" s="2291"/>
      <c r="G19" s="2292"/>
    </row>
    <row r="20" spans="1:7" ht="20.100000000000001" customHeight="1">
      <c r="A20" s="2286"/>
      <c r="B20" s="1588" t="s">
        <v>2053</v>
      </c>
      <c r="C20" s="1589" t="s">
        <v>1696</v>
      </c>
      <c r="D20" s="2287"/>
      <c r="E20" s="2289"/>
      <c r="F20" s="2293"/>
      <c r="G20" s="2294"/>
    </row>
    <row r="21" spans="1:7" ht="20.100000000000001" customHeight="1" thickBot="1">
      <c r="A21" s="2562"/>
      <c r="B21" s="1639" t="s">
        <v>2055</v>
      </c>
      <c r="C21" s="1640" t="s">
        <v>1697</v>
      </c>
      <c r="D21" s="2563"/>
      <c r="E21" s="2564"/>
      <c r="F21" s="2565"/>
      <c r="G21" s="2566"/>
    </row>
    <row r="22" spans="1:7" ht="33.75" customHeight="1" thickBot="1">
      <c r="A22" s="2567" t="s">
        <v>2079</v>
      </c>
      <c r="B22" s="2568"/>
      <c r="C22" s="2568"/>
      <c r="D22" s="2568"/>
      <c r="E22" s="1642">
        <f>SUM(E4:E21)</f>
        <v>0</v>
      </c>
      <c r="F22" s="1641" t="s">
        <v>2157</v>
      </c>
      <c r="G22" s="1643" t="str">
        <f>IF(E22=0,"N/A",IF(E22&lt;=6,"Low",IF(E22&lt;=12,"Mid",IF(E22&gt;12,"High","N/A"))))</f>
        <v>N/A</v>
      </c>
    </row>
    <row r="23" spans="1:7">
      <c r="A23" s="1582"/>
      <c r="B23" s="1582"/>
      <c r="C23" s="1582"/>
      <c r="D23" s="1582"/>
      <c r="E23" s="1582"/>
      <c r="F23" s="1582"/>
      <c r="G23" s="1582"/>
    </row>
    <row r="24" spans="1:7">
      <c r="A24" s="1582"/>
      <c r="B24" s="1582"/>
      <c r="C24" s="1582"/>
      <c r="D24" s="1582"/>
      <c r="E24" s="1582"/>
      <c r="F24" s="1644" t="s">
        <v>2158</v>
      </c>
      <c r="G24" s="1593" t="s">
        <v>1859</v>
      </c>
    </row>
    <row r="25" spans="1:7">
      <c r="A25" s="1582"/>
      <c r="B25" s="1582"/>
      <c r="C25" s="1582"/>
      <c r="D25" s="1582"/>
      <c r="E25" s="1582"/>
      <c r="F25" s="1645" t="s">
        <v>2159</v>
      </c>
      <c r="G25" s="1594" t="s">
        <v>1860</v>
      </c>
    </row>
    <row r="26" spans="1:7">
      <c r="A26" s="1582"/>
      <c r="B26" s="1582"/>
      <c r="C26" s="1582"/>
      <c r="D26" s="1582"/>
      <c r="E26" s="1582"/>
      <c r="F26" s="1646" t="s">
        <v>2160</v>
      </c>
      <c r="G26" s="1595" t="s">
        <v>2161</v>
      </c>
    </row>
  </sheetData>
  <mergeCells count="29">
    <mergeCell ref="A19:A21"/>
    <mergeCell ref="D19:D21"/>
    <mergeCell ref="E19:E21"/>
    <mergeCell ref="F19:G21"/>
    <mergeCell ref="A22:D22"/>
    <mergeCell ref="A13:A15"/>
    <mergeCell ref="D13:D15"/>
    <mergeCell ref="E13:E15"/>
    <mergeCell ref="F13:G15"/>
    <mergeCell ref="A16:A18"/>
    <mergeCell ref="D16:D18"/>
    <mergeCell ref="E16:E18"/>
    <mergeCell ref="F16:G18"/>
    <mergeCell ref="A7:A9"/>
    <mergeCell ref="D7:D9"/>
    <mergeCell ref="E7:E9"/>
    <mergeCell ref="F7:G9"/>
    <mergeCell ref="A10:A12"/>
    <mergeCell ref="D10:D12"/>
    <mergeCell ref="E10:E12"/>
    <mergeCell ref="F10:G12"/>
    <mergeCell ref="A4:A6"/>
    <mergeCell ref="D4:D6"/>
    <mergeCell ref="E4:E6"/>
    <mergeCell ref="F4:G6"/>
    <mergeCell ref="A1:G1"/>
    <mergeCell ref="A2:G2"/>
    <mergeCell ref="B3:C3"/>
    <mergeCell ref="F3:G3"/>
  </mergeCells>
  <dataValidations count="1">
    <dataValidation type="list" allowBlank="1" showInputMessage="1" showErrorMessage="1" sqref="D4:D21" xr:uid="{3A890F48-8F09-4A99-B223-C8275A918A33}">
      <formula1>$I$3:$L$3</formula1>
    </dataValidation>
  </dataValidations>
  <pageMargins left="0.7" right="0.7" top="0.75" bottom="0.75" header="0.3" footer="0.3"/>
  <pageSetup orientation="portrait" r:id="rId1"/>
  <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29447-7897-4528-A28F-3A6D3A156F45}">
  <sheetPr codeName="Sheet43">
    <pageSetUpPr fitToPage="1"/>
  </sheetPr>
  <dimension ref="A1:AH66"/>
  <sheetViews>
    <sheetView showGridLines="0" topLeftCell="B1" zoomScale="85" zoomScaleNormal="85" workbookViewId="0">
      <selection activeCell="B1" sqref="B1:C3"/>
    </sheetView>
  </sheetViews>
  <sheetFormatPr defaultColWidth="9.109375" defaultRowHeight="15.6"/>
  <cols>
    <col min="1" max="1" width="12.5546875" style="1077" hidden="1" customWidth="1"/>
    <col min="2" max="2" width="6.88671875" style="1084" customWidth="1"/>
    <col min="3" max="3" width="50.77734375" style="1085" customWidth="1"/>
    <col min="4" max="4" width="14.77734375" style="1085" customWidth="1"/>
    <col min="5" max="5" width="14.77734375" style="1084" customWidth="1"/>
    <col min="6" max="7" width="14.77734375" style="1086" customWidth="1"/>
    <col min="8" max="9" width="14.77734375" style="1087" customWidth="1"/>
    <col min="10" max="10" width="14.77734375" style="1077" customWidth="1"/>
    <col min="11" max="11" width="100.77734375" style="1077" customWidth="1"/>
    <col min="12" max="12" width="70.77734375" style="1077" customWidth="1"/>
    <col min="13" max="13" width="8.6640625" style="348" customWidth="1"/>
    <col min="14" max="14" width="15.5546875" style="348" customWidth="1"/>
    <col min="15" max="16" width="9.88671875" style="348" hidden="1" customWidth="1"/>
    <col min="17" max="23" width="12.77734375" style="348" hidden="1" customWidth="1"/>
    <col min="24" max="29" width="12.77734375" style="1076" hidden="1" customWidth="1"/>
    <col min="30" max="16384" width="9.109375" style="1077"/>
  </cols>
  <sheetData>
    <row r="1" spans="1:34" s="1075" customFormat="1" ht="15" customHeight="1">
      <c r="B1" s="2136" t="s">
        <v>592</v>
      </c>
      <c r="C1" s="2137"/>
      <c r="D1" s="2133" t="s">
        <v>2413</v>
      </c>
      <c r="E1" s="2133"/>
      <c r="F1" s="2133"/>
      <c r="G1" s="2133"/>
      <c r="H1" s="2133"/>
      <c r="I1" s="2133"/>
      <c r="J1" s="2133"/>
      <c r="K1" s="1055" t="str">
        <f>'Project Information'!B3</f>
        <v>Enter project name &amp; description</v>
      </c>
      <c r="L1" s="2120" t="s">
        <v>1819</v>
      </c>
      <c r="M1" s="1142"/>
      <c r="N1" s="1142"/>
      <c r="O1" s="1142"/>
      <c r="P1" s="1142"/>
      <c r="Q1" s="1143"/>
      <c r="R1" s="1143"/>
      <c r="S1" s="1143"/>
      <c r="T1" s="1143"/>
      <c r="U1" s="1142"/>
      <c r="V1" s="1142"/>
      <c r="W1" s="1142"/>
      <c r="X1" s="1147"/>
      <c r="Y1" s="1147"/>
      <c r="Z1" s="1147"/>
      <c r="AA1" s="1147"/>
      <c r="AB1" s="1147"/>
      <c r="AC1" s="1147"/>
    </row>
    <row r="2" spans="1:34" s="1075" customFormat="1" ht="15" customHeight="1">
      <c r="B2" s="2138"/>
      <c r="C2" s="2139"/>
      <c r="D2" s="2134"/>
      <c r="E2" s="2134"/>
      <c r="F2" s="2134"/>
      <c r="G2" s="2134"/>
      <c r="H2" s="2134"/>
      <c r="I2" s="2134"/>
      <c r="J2" s="2134"/>
      <c r="K2" s="1056" t="str">
        <f>'Project Information'!B1</f>
        <v>999999-1-32-01</v>
      </c>
      <c r="L2" s="2121"/>
      <c r="M2" s="1142"/>
      <c r="N2" s="1142"/>
      <c r="O2" s="1142"/>
      <c r="P2" s="1142"/>
      <c r="Q2" s="1143"/>
      <c r="R2" s="1143"/>
      <c r="S2" s="1143"/>
      <c r="T2" s="1143"/>
      <c r="U2" s="1142"/>
      <c r="V2" s="1142"/>
      <c r="W2" s="1142"/>
      <c r="X2" s="1147"/>
      <c r="Y2" s="1147"/>
      <c r="Z2" s="1147"/>
      <c r="AA2" s="1147"/>
      <c r="AB2" s="1147"/>
      <c r="AC2" s="1147"/>
    </row>
    <row r="3" spans="1:34" s="1058" customFormat="1" ht="15" customHeight="1" thickBot="1">
      <c r="B3" s="2140"/>
      <c r="C3" s="2141"/>
      <c r="D3" s="2135"/>
      <c r="E3" s="2135"/>
      <c r="F3" s="2135"/>
      <c r="G3" s="2135"/>
      <c r="H3" s="2135"/>
      <c r="I3" s="2135"/>
      <c r="J3" s="2135"/>
      <c r="K3" s="1057"/>
      <c r="L3" s="2122"/>
      <c r="M3" s="1146"/>
      <c r="N3" s="1146"/>
      <c r="O3" s="1146"/>
      <c r="P3" s="1146"/>
      <c r="Q3" s="1143"/>
      <c r="R3" s="1143"/>
      <c r="S3" s="1143"/>
      <c r="T3" s="1143"/>
      <c r="U3" s="1146"/>
      <c r="V3" s="1146"/>
      <c r="W3" s="1146"/>
      <c r="X3" s="1200"/>
      <c r="Y3" s="1200"/>
      <c r="Z3" s="1200"/>
      <c r="AA3" s="1200"/>
      <c r="AB3" s="1200"/>
      <c r="AC3" s="1200"/>
    </row>
    <row r="4" spans="1:34" s="1058" customFormat="1" ht="30" customHeight="1" thickBot="1">
      <c r="B4" s="2198" t="s">
        <v>1396</v>
      </c>
      <c r="C4" s="2199"/>
      <c r="D4" s="2200" t="s">
        <v>1397</v>
      </c>
      <c r="E4" s="2200"/>
      <c r="F4" s="2200"/>
      <c r="G4" s="2200"/>
      <c r="H4" s="2200"/>
      <c r="I4" s="2200"/>
      <c r="J4" s="2200"/>
      <c r="K4" s="1111" t="s">
        <v>1398</v>
      </c>
      <c r="L4" s="1580" t="s">
        <v>2625</v>
      </c>
      <c r="M4" s="1146"/>
      <c r="N4" s="1146"/>
      <c r="O4" s="1146"/>
      <c r="P4" s="1146"/>
      <c r="Q4" s="1143"/>
      <c r="R4" s="1143"/>
      <c r="S4" s="1143"/>
      <c r="T4" s="1143"/>
      <c r="U4" s="1146"/>
      <c r="V4" s="1146"/>
      <c r="W4" s="1146"/>
      <c r="X4" s="1200"/>
      <c r="Y4" s="1200"/>
      <c r="Z4" s="1200"/>
      <c r="AA4" s="1200"/>
      <c r="AB4" s="1200"/>
      <c r="AC4" s="1200"/>
    </row>
    <row r="5" spans="1:34" s="1058" customFormat="1" ht="30" customHeight="1">
      <c r="B5" s="2201" t="s">
        <v>1400</v>
      </c>
      <c r="C5" s="2202"/>
      <c r="D5" s="2203"/>
      <c r="E5" s="2203"/>
      <c r="F5" s="2203"/>
      <c r="G5" s="2203"/>
      <c r="H5" s="2203"/>
      <c r="I5" s="2203"/>
      <c r="J5" s="2203"/>
      <c r="K5" s="1059"/>
      <c r="L5" s="2195" t="s">
        <v>1820</v>
      </c>
      <c r="M5" s="1147"/>
      <c r="N5" s="1146"/>
      <c r="O5" s="1146"/>
      <c r="P5" s="1146"/>
      <c r="Q5" s="1201"/>
      <c r="R5" s="1201"/>
      <c r="S5" s="1201"/>
      <c r="T5" s="1201"/>
      <c r="U5" s="1146"/>
      <c r="V5" s="1146"/>
      <c r="W5" s="1146"/>
      <c r="X5" s="1200"/>
      <c r="Y5" s="1200"/>
      <c r="Z5" s="1200"/>
      <c r="AA5" s="1200"/>
      <c r="AB5" s="1200"/>
      <c r="AC5" s="1200"/>
    </row>
    <row r="6" spans="1:34" s="1058" customFormat="1" ht="30" customHeight="1" thickBot="1">
      <c r="B6" s="2204" t="s">
        <v>1399</v>
      </c>
      <c r="C6" s="2205"/>
      <c r="D6" s="2206"/>
      <c r="E6" s="2206"/>
      <c r="F6" s="2206"/>
      <c r="G6" s="2206"/>
      <c r="H6" s="2206"/>
      <c r="I6" s="2206"/>
      <c r="J6" s="2206"/>
      <c r="K6" s="1060"/>
      <c r="L6" s="2196"/>
      <c r="M6" s="1147"/>
      <c r="N6" s="1146"/>
      <c r="O6" s="1146"/>
      <c r="P6" s="1146"/>
      <c r="Q6" s="1201"/>
      <c r="R6" s="1201"/>
      <c r="S6" s="1201"/>
      <c r="T6" s="1201"/>
      <c r="U6" s="1146"/>
      <c r="V6" s="1146"/>
      <c r="W6" s="1146"/>
      <c r="X6" s="1200"/>
      <c r="Y6" s="1200"/>
      <c r="Z6" s="1200"/>
      <c r="AA6" s="1200"/>
      <c r="AB6" s="1200"/>
      <c r="AC6" s="1200"/>
    </row>
    <row r="7" spans="1:34" s="1058" customFormat="1" ht="15" customHeight="1">
      <c r="B7" s="1112" t="s">
        <v>1430</v>
      </c>
      <c r="C7" s="1182"/>
      <c r="D7" s="1183"/>
      <c r="E7" s="1183"/>
      <c r="F7" s="1183"/>
      <c r="G7" s="1183"/>
      <c r="H7" s="1183"/>
      <c r="I7" s="1183"/>
      <c r="J7" s="1183"/>
      <c r="K7" s="1184"/>
      <c r="L7" s="2196"/>
      <c r="M7" s="1147"/>
      <c r="N7" s="1146"/>
      <c r="O7" s="1146"/>
      <c r="P7" s="1146"/>
      <c r="Q7" s="1146"/>
      <c r="R7" s="1146"/>
      <c r="S7" s="1146"/>
      <c r="T7" s="1146"/>
      <c r="U7" s="1146"/>
      <c r="V7" s="1146"/>
      <c r="W7" s="1146"/>
      <c r="X7" s="1200"/>
      <c r="Y7" s="1200"/>
      <c r="Z7" s="1200"/>
      <c r="AA7" s="1200"/>
      <c r="AB7" s="1200"/>
      <c r="AC7" s="1200"/>
    </row>
    <row r="8" spans="1:34" s="1058" customFormat="1" ht="15" customHeight="1" thickBot="1">
      <c r="B8" s="1185"/>
      <c r="C8" s="1186"/>
      <c r="D8" s="1187"/>
      <c r="E8" s="1187"/>
      <c r="F8" s="1187"/>
      <c r="G8" s="1187"/>
      <c r="H8" s="1187"/>
      <c r="I8" s="1187"/>
      <c r="J8" s="1187"/>
      <c r="K8" s="1188"/>
      <c r="L8" s="2196"/>
      <c r="M8" s="1147"/>
      <c r="N8" s="1146"/>
      <c r="O8" s="1146"/>
      <c r="P8" s="1146"/>
      <c r="Q8" s="1146"/>
      <c r="R8" s="1146"/>
      <c r="S8" s="1146"/>
      <c r="T8" s="1146"/>
      <c r="U8" s="1146"/>
      <c r="V8" s="1146"/>
      <c r="W8" s="1146"/>
      <c r="X8" s="1200"/>
      <c r="Y8" s="1200"/>
      <c r="Z8" s="1200"/>
      <c r="AA8" s="1200"/>
      <c r="AB8" s="1200"/>
      <c r="AC8" s="1200"/>
      <c r="AD8" s="1103"/>
      <c r="AE8" s="1103"/>
      <c r="AF8" s="1103"/>
      <c r="AG8" s="1103"/>
      <c r="AH8" s="1103"/>
    </row>
    <row r="9" spans="1:34" s="1058" customFormat="1" ht="30" customHeight="1">
      <c r="B9" s="2226" t="s">
        <v>79</v>
      </c>
      <c r="C9" s="2228" t="s">
        <v>190</v>
      </c>
      <c r="D9" s="2157" t="s">
        <v>1821</v>
      </c>
      <c r="E9" s="2158"/>
      <c r="F9" s="2159"/>
      <c r="G9" s="2230" t="s">
        <v>1822</v>
      </c>
      <c r="H9" s="2230"/>
      <c r="I9" s="2230"/>
      <c r="J9" s="2230"/>
      <c r="K9" s="1120" t="s">
        <v>1823</v>
      </c>
      <c r="L9" s="2196"/>
      <c r="M9" s="1147"/>
      <c r="N9" s="2324"/>
      <c r="O9" s="2167" t="s">
        <v>190</v>
      </c>
      <c r="P9" s="2214" t="s">
        <v>1869</v>
      </c>
      <c r="Q9" s="2213"/>
      <c r="R9" s="2213"/>
      <c r="S9" s="2213"/>
      <c r="T9" s="2215"/>
      <c r="U9" s="2214" t="s">
        <v>1914</v>
      </c>
      <c r="V9" s="2213"/>
      <c r="W9" s="2215"/>
      <c r="X9" s="2214" t="s">
        <v>1960</v>
      </c>
      <c r="Y9" s="2213"/>
      <c r="Z9" s="2215"/>
      <c r="AA9" s="2214" t="s">
        <v>1862</v>
      </c>
      <c r="AB9" s="2213"/>
      <c r="AC9" s="2215"/>
      <c r="AD9" s="1103"/>
      <c r="AE9" s="1103"/>
      <c r="AF9" s="1103"/>
      <c r="AG9" s="1103"/>
      <c r="AH9" s="1103"/>
    </row>
    <row r="10" spans="1:34" s="1076" customFormat="1" ht="30" customHeight="1">
      <c r="B10" s="2227"/>
      <c r="C10" s="2229"/>
      <c r="D10" s="1879" t="s">
        <v>1824</v>
      </c>
      <c r="E10" s="1879" t="s">
        <v>87</v>
      </c>
      <c r="F10" s="1879" t="s">
        <v>1825</v>
      </c>
      <c r="G10" s="2177" t="s">
        <v>1826</v>
      </c>
      <c r="H10" s="2177" t="s">
        <v>1827</v>
      </c>
      <c r="I10" s="2177" t="s">
        <v>1196</v>
      </c>
      <c r="J10" s="2177" t="s">
        <v>1837</v>
      </c>
      <c r="K10" s="2207" t="s">
        <v>1829</v>
      </c>
      <c r="L10" s="2196"/>
      <c r="M10" s="1147"/>
      <c r="N10" s="2324"/>
      <c r="O10" s="2167"/>
      <c r="P10" s="1606" t="s">
        <v>1926</v>
      </c>
      <c r="Q10" s="1607" t="s">
        <v>1859</v>
      </c>
      <c r="R10" s="1607" t="s">
        <v>1860</v>
      </c>
      <c r="S10" s="1607" t="s">
        <v>1861</v>
      </c>
      <c r="T10" s="1608" t="s">
        <v>1927</v>
      </c>
      <c r="U10" s="1607" t="s">
        <v>1883</v>
      </c>
      <c r="V10" s="1607" t="s">
        <v>1833</v>
      </c>
      <c r="W10" s="1607" t="s">
        <v>1834</v>
      </c>
      <c r="X10" s="1606" t="s">
        <v>1928</v>
      </c>
      <c r="Y10" s="1607" t="s">
        <v>1929</v>
      </c>
      <c r="Z10" s="1607" t="s">
        <v>1930</v>
      </c>
      <c r="AA10" s="1606" t="s">
        <v>1931</v>
      </c>
      <c r="AB10" s="1607" t="s">
        <v>1932</v>
      </c>
      <c r="AC10" s="1608" t="s">
        <v>1933</v>
      </c>
      <c r="AD10" s="1103"/>
      <c r="AE10" s="1103"/>
      <c r="AF10" s="1103"/>
      <c r="AG10" s="1103"/>
      <c r="AH10" s="1103"/>
    </row>
    <row r="11" spans="1:34" s="1076" customFormat="1" ht="30" customHeight="1" thickBot="1">
      <c r="B11" s="2246" t="s">
        <v>2561</v>
      </c>
      <c r="C11" s="2247"/>
      <c r="D11" s="2247"/>
      <c r="E11" s="2266"/>
      <c r="F11" s="1887"/>
      <c r="G11" s="2209"/>
      <c r="H11" s="2209"/>
      <c r="I11" s="2209"/>
      <c r="J11" s="2209"/>
      <c r="K11" s="2208"/>
      <c r="L11" s="2197"/>
      <c r="M11" s="1147"/>
      <c r="N11" s="1201"/>
      <c r="O11" s="1647"/>
      <c r="P11" s="1606"/>
      <c r="Q11" s="1607"/>
      <c r="R11" s="1607"/>
      <c r="S11" s="1607"/>
      <c r="T11" s="1608"/>
      <c r="U11" s="1607"/>
      <c r="V11" s="1607"/>
      <c r="W11" s="1607"/>
      <c r="X11" s="1606"/>
      <c r="Y11" s="1607"/>
      <c r="Z11" s="1607"/>
      <c r="AA11" s="1606"/>
      <c r="AB11" s="1607"/>
      <c r="AC11" s="1608"/>
      <c r="AD11" s="1103"/>
      <c r="AE11" s="1103"/>
      <c r="AF11" s="1103"/>
      <c r="AG11" s="1103"/>
      <c r="AH11" s="1103"/>
    </row>
    <row r="12" spans="1:34" ht="30" customHeight="1">
      <c r="A12" s="1104" t="s">
        <v>2414</v>
      </c>
      <c r="B12" s="1603">
        <v>25.1</v>
      </c>
      <c r="C12" s="1613" t="s">
        <v>689</v>
      </c>
      <c r="D12" s="1615" t="s">
        <v>85</v>
      </c>
      <c r="E12" s="1629">
        <v>0</v>
      </c>
      <c r="F12" s="1837"/>
      <c r="G12" s="1615">
        <f>IF(E12=0,0,IF(F12="Simple",U12,(IF(F12="Standard",V12,(IF(F12="Complex",W12,0))))))</f>
        <v>0</v>
      </c>
      <c r="H12" s="1629">
        <v>0</v>
      </c>
      <c r="I12" s="1629">
        <v>0</v>
      </c>
      <c r="J12" s="1629">
        <v>0</v>
      </c>
      <c r="K12" s="1329"/>
      <c r="L12" s="2532" t="s">
        <v>1882</v>
      </c>
      <c r="M12" s="1142"/>
      <c r="N12" s="1207"/>
      <c r="O12" s="1210">
        <v>25.1</v>
      </c>
      <c r="P12" s="1150"/>
      <c r="Q12" s="1227"/>
      <c r="R12" s="1151"/>
      <c r="S12" s="1293"/>
      <c r="T12" s="1152"/>
      <c r="U12" s="1150">
        <v>8</v>
      </c>
      <c r="V12" s="1151">
        <v>24</v>
      </c>
      <c r="W12" s="1152">
        <v>40</v>
      </c>
      <c r="X12" s="1150"/>
      <c r="Y12" s="1230"/>
      <c r="Z12" s="1291"/>
      <c r="AA12" s="1150"/>
      <c r="AB12" s="1230"/>
      <c r="AC12" s="1231"/>
      <c r="AD12" s="1103"/>
      <c r="AE12" s="1103"/>
      <c r="AF12" s="1103"/>
      <c r="AG12" s="1103"/>
      <c r="AH12" s="1103"/>
    </row>
    <row r="13" spans="1:34" ht="30" customHeight="1">
      <c r="A13" s="1104" t="s">
        <v>2415</v>
      </c>
      <c r="B13" s="1554">
        <v>25.2</v>
      </c>
      <c r="C13" s="351" t="s">
        <v>2416</v>
      </c>
      <c r="D13" s="1210" t="s">
        <v>2417</v>
      </c>
      <c r="E13" s="1064">
        <v>0</v>
      </c>
      <c r="F13" s="1375"/>
      <c r="G13" s="1210">
        <f>E13*X13</f>
        <v>0</v>
      </c>
      <c r="H13" s="1193">
        <v>0</v>
      </c>
      <c r="I13" s="1193">
        <v>0</v>
      </c>
      <c r="J13" s="1193">
        <v>0</v>
      </c>
      <c r="K13" s="1217"/>
      <c r="L13" s="2533"/>
      <c r="M13" s="1142"/>
      <c r="N13" s="1207"/>
      <c r="O13" s="1210">
        <v>25.2</v>
      </c>
      <c r="P13" s="1150"/>
      <c r="Q13" s="1227"/>
      <c r="R13" s="1151"/>
      <c r="S13" s="1293"/>
      <c r="T13" s="1152"/>
      <c r="U13" s="1154"/>
      <c r="V13" s="1314"/>
      <c r="W13" s="1353"/>
      <c r="X13" s="1154">
        <v>4</v>
      </c>
      <c r="Y13" s="1230"/>
      <c r="Z13" s="1291"/>
      <c r="AA13" s="1154"/>
      <c r="AB13" s="1230"/>
      <c r="AC13" s="1231"/>
    </row>
    <row r="14" spans="1:34" ht="30" customHeight="1">
      <c r="A14" s="1104" t="s">
        <v>2418</v>
      </c>
      <c r="B14" s="1603">
        <v>25.3</v>
      </c>
      <c r="C14" s="351" t="s">
        <v>2419</v>
      </c>
      <c r="D14" s="1210" t="s">
        <v>85</v>
      </c>
      <c r="E14" s="1629">
        <v>0</v>
      </c>
      <c r="F14" s="1837"/>
      <c r="G14" s="1615">
        <f>IF(E14=0,0,IF(F14="Simple",U14,(IF(F14="Standard",V14,(IF(F14="Complex",W14,0))))))</f>
        <v>0</v>
      </c>
      <c r="H14" s="1193">
        <v>0</v>
      </c>
      <c r="I14" s="1193">
        <v>0</v>
      </c>
      <c r="J14" s="1193">
        <v>0</v>
      </c>
      <c r="K14" s="1329"/>
      <c r="L14" s="2533"/>
      <c r="M14" s="1142"/>
      <c r="N14" s="1207"/>
      <c r="O14" s="1210">
        <v>25.3</v>
      </c>
      <c r="P14" s="1412"/>
      <c r="Q14" s="1838"/>
      <c r="R14" s="1413"/>
      <c r="S14" s="1417"/>
      <c r="T14" s="1345"/>
      <c r="U14" s="1150">
        <v>16</v>
      </c>
      <c r="V14" s="1293">
        <v>28</v>
      </c>
      <c r="W14" s="1349">
        <v>40</v>
      </c>
      <c r="X14" s="1150"/>
      <c r="Y14" s="1230"/>
      <c r="Z14" s="1291"/>
      <c r="AA14" s="1150"/>
      <c r="AB14" s="1230"/>
      <c r="AC14" s="1231"/>
      <c r="AD14" s="1103"/>
      <c r="AE14" s="1103"/>
      <c r="AF14" s="1103"/>
      <c r="AG14" s="1103"/>
      <c r="AH14" s="1103"/>
    </row>
    <row r="15" spans="1:34" ht="30" customHeight="1">
      <c r="A15" s="1104" t="s">
        <v>2420</v>
      </c>
      <c r="B15" s="2221">
        <v>25.4</v>
      </c>
      <c r="C15" s="2109" t="s">
        <v>690</v>
      </c>
      <c r="D15" s="1210" t="s">
        <v>1830</v>
      </c>
      <c r="E15" s="1105">
        <v>0</v>
      </c>
      <c r="F15" s="1993" t="str">
        <f>IF($F$11=0,"",$F$11)</f>
        <v/>
      </c>
      <c r="G15" s="1210">
        <f>ROUNDUP((ROUND(E15,2))*(IF(F15="Low",Q15,(IF(F15="Mid",R15,(IF(F15="Upper",S15,0)))))),0)</f>
        <v>0</v>
      </c>
      <c r="H15" s="1193">
        <v>0</v>
      </c>
      <c r="I15" s="1629">
        <v>0</v>
      </c>
      <c r="J15" s="1629">
        <v>0</v>
      </c>
      <c r="K15" s="1217"/>
      <c r="L15" s="2533"/>
      <c r="M15" s="1142"/>
      <c r="N15" s="1207"/>
      <c r="O15" s="2528">
        <v>25.4</v>
      </c>
      <c r="P15" s="1150"/>
      <c r="Q15" s="1227">
        <v>8</v>
      </c>
      <c r="R15" s="1151">
        <v>32</v>
      </c>
      <c r="S15" s="1293">
        <v>56</v>
      </c>
      <c r="T15" s="1152"/>
      <c r="U15" s="1245"/>
      <c r="V15" s="1295"/>
      <c r="W15" s="1762"/>
      <c r="X15" s="1245"/>
      <c r="Y15" s="1250"/>
      <c r="Z15" s="1292"/>
      <c r="AA15" s="1245"/>
      <c r="AB15" s="1250"/>
      <c r="AC15" s="1251"/>
    </row>
    <row r="16" spans="1:34" ht="30" customHeight="1">
      <c r="A16" s="1104" t="s">
        <v>2421</v>
      </c>
      <c r="B16" s="2223"/>
      <c r="C16" s="2111"/>
      <c r="D16" s="1210" t="s">
        <v>2422</v>
      </c>
      <c r="E16" s="1105">
        <v>0</v>
      </c>
      <c r="F16" s="1993" t="str">
        <f>IF($F$11=0,"",$F$11)</f>
        <v/>
      </c>
      <c r="G16" s="1210">
        <f>ROUNDUP((ROUND(E16,2))*(IF(F16="Low",Q16,(IF(F16="Mid",R16,(IF(F16="Upper",S16,0)))))),0)</f>
        <v>0</v>
      </c>
      <c r="H16" s="1193">
        <v>0</v>
      </c>
      <c r="I16" s="1629">
        <v>0</v>
      </c>
      <c r="J16" s="1629">
        <v>0</v>
      </c>
      <c r="K16" s="1217"/>
      <c r="L16" s="2533"/>
      <c r="M16" s="1142"/>
      <c r="N16" s="1207"/>
      <c r="O16" s="2528"/>
      <c r="P16" s="1150"/>
      <c r="Q16" s="1227">
        <v>0.5</v>
      </c>
      <c r="R16" s="1151">
        <v>2</v>
      </c>
      <c r="S16" s="1293">
        <v>3</v>
      </c>
      <c r="T16" s="1152"/>
      <c r="U16" s="1245"/>
      <c r="V16" s="1295"/>
      <c r="W16" s="1762"/>
      <c r="X16" s="1245"/>
      <c r="Y16" s="1250"/>
      <c r="Z16" s="1292"/>
      <c r="AA16" s="1245"/>
      <c r="AB16" s="1250"/>
      <c r="AC16" s="1251"/>
    </row>
    <row r="17" spans="1:29" ht="30" customHeight="1">
      <c r="A17" s="1104" t="s">
        <v>2423</v>
      </c>
      <c r="B17" s="2221">
        <v>25.5</v>
      </c>
      <c r="C17" s="2109" t="s">
        <v>2424</v>
      </c>
      <c r="D17" s="1210" t="s">
        <v>2425</v>
      </c>
      <c r="E17" s="1105">
        <v>0</v>
      </c>
      <c r="F17" s="1102"/>
      <c r="G17" s="1210">
        <f>ROUNDUP((ROUND(E17,2))*(IF(F17="Simple",U17,(IF(F17="Standard",V17,(IF(F17="Complex",W17,0)))))),0)</f>
        <v>0</v>
      </c>
      <c r="H17" s="1193">
        <v>0</v>
      </c>
      <c r="I17" s="1193">
        <v>0</v>
      </c>
      <c r="J17" s="1193">
        <v>0</v>
      </c>
      <c r="K17" s="1217"/>
      <c r="L17" s="2533"/>
      <c r="M17" s="1142"/>
      <c r="N17" s="1207"/>
      <c r="O17" s="2234">
        <v>25.5</v>
      </c>
      <c r="P17" s="1150"/>
      <c r="Q17" s="1227"/>
      <c r="R17" s="1151"/>
      <c r="S17" s="1293"/>
      <c r="T17" s="1152"/>
      <c r="U17" s="1150">
        <v>16</v>
      </c>
      <c r="V17" s="1293">
        <v>28</v>
      </c>
      <c r="W17" s="1349">
        <v>40</v>
      </c>
      <c r="X17" s="1150"/>
      <c r="Y17" s="1151"/>
      <c r="Z17" s="1293"/>
      <c r="AA17" s="1150"/>
      <c r="AB17" s="1151"/>
      <c r="AC17" s="1152"/>
    </row>
    <row r="18" spans="1:29" ht="30" customHeight="1">
      <c r="A18" s="1104" t="s">
        <v>2426</v>
      </c>
      <c r="B18" s="2223"/>
      <c r="C18" s="2111"/>
      <c r="D18" s="1210" t="s">
        <v>2422</v>
      </c>
      <c r="E18" s="1105">
        <v>0</v>
      </c>
      <c r="F18" s="1102"/>
      <c r="G18" s="1210">
        <f>ROUNDUP((ROUND(E18,2))*(IF(F18="Simple",U18,(IF(F18="Standard",V18,(IF(F18="Complex",W18,0)))))),0)</f>
        <v>0</v>
      </c>
      <c r="H18" s="1193">
        <v>0</v>
      </c>
      <c r="I18" s="1193">
        <v>0</v>
      </c>
      <c r="J18" s="1193">
        <v>0</v>
      </c>
      <c r="K18" s="1217"/>
      <c r="L18" s="2533"/>
      <c r="M18" s="1142"/>
      <c r="N18" s="1207"/>
      <c r="O18" s="2235"/>
      <c r="P18" s="1150"/>
      <c r="Q18" s="1227"/>
      <c r="R18" s="1151"/>
      <c r="S18" s="1293"/>
      <c r="T18" s="1152"/>
      <c r="U18" s="1150">
        <v>1</v>
      </c>
      <c r="V18" s="1293">
        <v>2</v>
      </c>
      <c r="W18" s="1349">
        <v>3</v>
      </c>
      <c r="X18" s="1150"/>
      <c r="Y18" s="1151"/>
      <c r="Z18" s="1293"/>
      <c r="AA18" s="1150"/>
      <c r="AB18" s="1151"/>
      <c r="AC18" s="1152"/>
    </row>
    <row r="19" spans="1:29" ht="30" customHeight="1">
      <c r="A19" s="1104" t="s">
        <v>2427</v>
      </c>
      <c r="B19" s="2221">
        <v>25.6</v>
      </c>
      <c r="C19" s="2109" t="s">
        <v>1662</v>
      </c>
      <c r="D19" s="1210" t="s">
        <v>2428</v>
      </c>
      <c r="E19" s="1629">
        <v>0</v>
      </c>
      <c r="F19" s="1993" t="str">
        <f>IF($F$11=0,"",$F$11)</f>
        <v/>
      </c>
      <c r="G19" s="1210">
        <f>IF(E19=0,0,E19*(IF(F19="Low",Q19,(IF(F19="Mid",R19,(IF(F19="Upper",S19,0)))))))</f>
        <v>0</v>
      </c>
      <c r="H19" s="1193">
        <v>0</v>
      </c>
      <c r="I19" s="1193">
        <v>0</v>
      </c>
      <c r="J19" s="1193">
        <v>0</v>
      </c>
      <c r="K19" s="1217"/>
      <c r="L19" s="2533"/>
      <c r="M19" s="1142"/>
      <c r="N19" s="1207"/>
      <c r="O19" s="2528">
        <v>25.6</v>
      </c>
      <c r="P19" s="1150"/>
      <c r="Q19" s="1227">
        <v>16</v>
      </c>
      <c r="R19" s="1151">
        <v>28</v>
      </c>
      <c r="S19" s="1293">
        <v>40</v>
      </c>
      <c r="T19" s="1152"/>
      <c r="U19" s="1154"/>
      <c r="V19" s="1314"/>
      <c r="W19" s="1349"/>
      <c r="X19" s="1150"/>
      <c r="Y19" s="1151"/>
      <c r="Z19" s="1293"/>
      <c r="AA19" s="1150"/>
      <c r="AB19" s="1151"/>
      <c r="AC19" s="1152"/>
    </row>
    <row r="20" spans="1:29" ht="30" customHeight="1">
      <c r="A20" s="1104" t="s">
        <v>2429</v>
      </c>
      <c r="B20" s="2222"/>
      <c r="C20" s="2110"/>
      <c r="D20" s="1210" t="s">
        <v>2425</v>
      </c>
      <c r="E20" s="1105">
        <v>0</v>
      </c>
      <c r="F20" s="1993" t="str">
        <f>IF($F$11=0,"",$F$11)</f>
        <v/>
      </c>
      <c r="G20" s="1210">
        <f>ROUNDUP((ROUND(E20,2))*(IF(F20="Low",Q20,(IF(F20="Mid",R20,(IF(F20="Upper",S20,0)))))),0)</f>
        <v>0</v>
      </c>
      <c r="H20" s="1193">
        <v>0</v>
      </c>
      <c r="I20" s="1193">
        <v>0</v>
      </c>
      <c r="J20" s="1193">
        <v>0</v>
      </c>
      <c r="K20" s="1217"/>
      <c r="L20" s="2533"/>
      <c r="M20" s="1142"/>
      <c r="N20" s="1207"/>
      <c r="O20" s="2528"/>
      <c r="P20" s="1150"/>
      <c r="Q20" s="1227">
        <v>24</v>
      </c>
      <c r="R20" s="1151">
        <v>40</v>
      </c>
      <c r="S20" s="1293">
        <v>60</v>
      </c>
      <c r="T20" s="1152"/>
      <c r="U20" s="1154"/>
      <c r="V20" s="1314"/>
      <c r="W20" s="1349"/>
      <c r="X20" s="1150"/>
      <c r="Y20" s="1151"/>
      <c r="Z20" s="1293"/>
      <c r="AA20" s="1150"/>
      <c r="AB20" s="1151"/>
      <c r="AC20" s="1152"/>
    </row>
    <row r="21" spans="1:29" ht="30" customHeight="1">
      <c r="A21" s="1104" t="s">
        <v>2430</v>
      </c>
      <c r="B21" s="2222"/>
      <c r="C21" s="2110"/>
      <c r="D21" s="1210" t="s">
        <v>2422</v>
      </c>
      <c r="E21" s="1105">
        <v>0</v>
      </c>
      <c r="F21" s="1993" t="str">
        <f>IF($F$11=0,"",$F$11)</f>
        <v/>
      </c>
      <c r="G21" s="1210">
        <f>ROUNDUP((ROUND(E21,2))*(IF(F21="Low",Q21,(IF(F21="Mid",R21,(IF(F21="Upper",S21,0)))))),0)</f>
        <v>0</v>
      </c>
      <c r="H21" s="1193">
        <v>0</v>
      </c>
      <c r="I21" s="1193">
        <v>0</v>
      </c>
      <c r="J21" s="1193">
        <v>0</v>
      </c>
      <c r="K21" s="1217"/>
      <c r="L21" s="2533"/>
      <c r="M21" s="1142"/>
      <c r="N21" s="1207"/>
      <c r="O21" s="2528"/>
      <c r="P21" s="1150"/>
      <c r="Q21" s="1227">
        <v>1</v>
      </c>
      <c r="R21" s="1151">
        <v>2</v>
      </c>
      <c r="S21" s="1293">
        <v>3</v>
      </c>
      <c r="T21" s="1152"/>
      <c r="U21" s="1154"/>
      <c r="V21" s="1314"/>
      <c r="W21" s="1349"/>
      <c r="X21" s="1150"/>
      <c r="Y21" s="1151"/>
      <c r="Z21" s="1293"/>
      <c r="AA21" s="1150"/>
      <c r="AB21" s="1151"/>
      <c r="AC21" s="1152"/>
    </row>
    <row r="22" spans="1:29" ht="30" customHeight="1">
      <c r="A22" s="1104" t="s">
        <v>2431</v>
      </c>
      <c r="B22" s="2221">
        <v>25.7</v>
      </c>
      <c r="C22" s="2109" t="s">
        <v>1664</v>
      </c>
      <c r="D22" s="1210" t="s">
        <v>2425</v>
      </c>
      <c r="E22" s="1105">
        <v>0</v>
      </c>
      <c r="F22" s="1993" t="str">
        <f>IF($F$11=0,"",$F$11)</f>
        <v/>
      </c>
      <c r="G22" s="1210">
        <f>ROUNDUP((ROUND(E22,2))*(IF(F22="Low",Q22,(IF(F22="Mid",R22,(IF(F22="Upper",S22,0)))))),0)</f>
        <v>0</v>
      </c>
      <c r="H22" s="1193">
        <v>0</v>
      </c>
      <c r="I22" s="1193">
        <v>0</v>
      </c>
      <c r="J22" s="1193">
        <v>0</v>
      </c>
      <c r="K22" s="1217"/>
      <c r="L22" s="2533"/>
      <c r="M22" s="1142"/>
      <c r="N22" s="1207"/>
      <c r="O22" s="2528">
        <v>25.7</v>
      </c>
      <c r="P22" s="1150"/>
      <c r="Q22" s="1227">
        <v>60</v>
      </c>
      <c r="R22" s="1151">
        <v>120</v>
      </c>
      <c r="S22" s="1293">
        <v>180</v>
      </c>
      <c r="T22" s="1152"/>
      <c r="U22" s="1154"/>
      <c r="V22" s="1314"/>
      <c r="W22" s="1349"/>
      <c r="X22" s="1150"/>
      <c r="Y22" s="1151"/>
      <c r="Z22" s="1293"/>
      <c r="AA22" s="1150"/>
      <c r="AB22" s="1151"/>
      <c r="AC22" s="1152"/>
    </row>
    <row r="23" spans="1:29" ht="30" customHeight="1">
      <c r="A23" s="1104" t="s">
        <v>2432</v>
      </c>
      <c r="B23" s="2222"/>
      <c r="C23" s="2110"/>
      <c r="D23" s="1210" t="s">
        <v>2422</v>
      </c>
      <c r="E23" s="1105">
        <v>0</v>
      </c>
      <c r="F23" s="1993" t="str">
        <f>IF($F$11=0,"",$F$11)</f>
        <v/>
      </c>
      <c r="G23" s="1210">
        <f>ROUNDUP((ROUND(E23,2))*(IF(F23="Low",Q23,(IF(F23="Mid",R23,(IF(F23="Upper",S23,0)))))),0)</f>
        <v>0</v>
      </c>
      <c r="H23" s="1193">
        <v>0</v>
      </c>
      <c r="I23" s="1193">
        <v>0</v>
      </c>
      <c r="J23" s="1193">
        <v>0</v>
      </c>
      <c r="K23" s="1217"/>
      <c r="L23" s="2533"/>
      <c r="M23" s="1142"/>
      <c r="N23" s="1207"/>
      <c r="O23" s="2528"/>
      <c r="P23" s="1150"/>
      <c r="Q23" s="1227">
        <v>2</v>
      </c>
      <c r="R23" s="1151">
        <v>5</v>
      </c>
      <c r="S23" s="1293">
        <v>8</v>
      </c>
      <c r="T23" s="1152"/>
      <c r="U23" s="1154"/>
      <c r="V23" s="1314"/>
      <c r="W23" s="1349"/>
      <c r="X23" s="1150"/>
      <c r="Y23" s="1151"/>
      <c r="Z23" s="1293"/>
      <c r="AA23" s="1150"/>
      <c r="AB23" s="1151"/>
      <c r="AC23" s="1152"/>
    </row>
    <row r="24" spans="1:29" ht="30" customHeight="1">
      <c r="A24" s="1104" t="s">
        <v>2433</v>
      </c>
      <c r="B24" s="2221">
        <v>25.8</v>
      </c>
      <c r="C24" s="2109" t="s">
        <v>1665</v>
      </c>
      <c r="D24" s="1210" t="s">
        <v>1666</v>
      </c>
      <c r="E24" s="1629">
        <v>0</v>
      </c>
      <c r="F24" s="1102"/>
      <c r="G24" s="1210">
        <f>IF(E24=0,0,IF(F24="Simple",U24,(IF(F24="Standard",V24,(IF(F24="Complex",W24,0))))))</f>
        <v>0</v>
      </c>
      <c r="H24" s="1193">
        <v>0</v>
      </c>
      <c r="I24" s="1193">
        <v>0</v>
      </c>
      <c r="J24" s="1193">
        <v>0</v>
      </c>
      <c r="K24" s="1217"/>
      <c r="L24" s="2533"/>
      <c r="M24" s="1142"/>
      <c r="N24" s="1207"/>
      <c r="O24" s="2528">
        <v>25.8</v>
      </c>
      <c r="P24" s="1150"/>
      <c r="Q24" s="1227"/>
      <c r="R24" s="1151"/>
      <c r="S24" s="1293"/>
      <c r="T24" s="1152"/>
      <c r="U24" s="1154">
        <v>16</v>
      </c>
      <c r="V24" s="1314">
        <v>24</v>
      </c>
      <c r="W24" s="1349">
        <v>32</v>
      </c>
      <c r="X24" s="1150"/>
      <c r="Y24" s="1151"/>
      <c r="Z24" s="1293"/>
      <c r="AA24" s="1150"/>
      <c r="AB24" s="1151"/>
      <c r="AC24" s="1152"/>
    </row>
    <row r="25" spans="1:29" ht="30" customHeight="1">
      <c r="A25" s="1104" t="s">
        <v>2434</v>
      </c>
      <c r="B25" s="2222"/>
      <c r="C25" s="2110"/>
      <c r="D25" s="1210" t="s">
        <v>2425</v>
      </c>
      <c r="E25" s="1105">
        <v>0</v>
      </c>
      <c r="F25" s="1102"/>
      <c r="G25" s="1210">
        <f>ROUNDUP((ROUND(E25,2))*(IF(F25="Simple",U25,(IF(F25="Standard",V25,(IF(F25="Complex",W25,0)))))),0)</f>
        <v>0</v>
      </c>
      <c r="H25" s="1193">
        <v>0</v>
      </c>
      <c r="I25" s="1193">
        <v>0</v>
      </c>
      <c r="J25" s="1193">
        <v>0</v>
      </c>
      <c r="K25" s="1217"/>
      <c r="L25" s="2533"/>
      <c r="M25" s="1142"/>
      <c r="N25" s="1207"/>
      <c r="O25" s="2528"/>
      <c r="P25" s="1150"/>
      <c r="Q25" s="1227"/>
      <c r="R25" s="1151"/>
      <c r="S25" s="1293"/>
      <c r="T25" s="1152"/>
      <c r="U25" s="1227">
        <v>20</v>
      </c>
      <c r="V25" s="1151">
        <v>35</v>
      </c>
      <c r="W25" s="1293">
        <v>50</v>
      </c>
      <c r="X25" s="1150"/>
      <c r="Y25" s="1151"/>
      <c r="Z25" s="1293"/>
      <c r="AA25" s="1150"/>
      <c r="AB25" s="1151"/>
      <c r="AC25" s="1152"/>
    </row>
    <row r="26" spans="1:29" ht="30" customHeight="1">
      <c r="A26" s="1104" t="s">
        <v>2435</v>
      </c>
      <c r="B26" s="2222"/>
      <c r="C26" s="2110"/>
      <c r="D26" s="1210" t="s">
        <v>2436</v>
      </c>
      <c r="E26" s="1105">
        <v>0</v>
      </c>
      <c r="F26" s="1102"/>
      <c r="G26" s="1210">
        <f>ROUNDUP((ROUND(E26,2))*(IF(F26="Simple",U26,(IF(F26="Standard",V26,(IF(F26="Complex",W26,0)))))),0)</f>
        <v>0</v>
      </c>
      <c r="H26" s="1193">
        <v>0</v>
      </c>
      <c r="I26" s="1193">
        <v>0</v>
      </c>
      <c r="J26" s="1193">
        <v>0</v>
      </c>
      <c r="K26" s="1217"/>
      <c r="L26" s="2533"/>
      <c r="M26" s="1142"/>
      <c r="N26" s="1207"/>
      <c r="O26" s="2528"/>
      <c r="P26" s="1150"/>
      <c r="Q26" s="1227"/>
      <c r="R26" s="1151"/>
      <c r="S26" s="1293"/>
      <c r="T26" s="1152"/>
      <c r="U26" s="1154">
        <v>1</v>
      </c>
      <c r="V26" s="1314">
        <v>2</v>
      </c>
      <c r="W26" s="1349">
        <v>3</v>
      </c>
      <c r="X26" s="1150"/>
      <c r="Y26" s="1151"/>
      <c r="Z26" s="1293"/>
      <c r="AA26" s="1150"/>
      <c r="AB26" s="1151"/>
      <c r="AC26" s="1152"/>
    </row>
    <row r="27" spans="1:29" ht="30" customHeight="1">
      <c r="A27" s="1104" t="s">
        <v>2437</v>
      </c>
      <c r="B27" s="2221">
        <v>25.9</v>
      </c>
      <c r="C27" s="2109" t="s">
        <v>2598</v>
      </c>
      <c r="D27" s="1210" t="s">
        <v>2438</v>
      </c>
      <c r="E27" s="1105">
        <v>0</v>
      </c>
      <c r="F27" s="1102"/>
      <c r="G27" s="1210">
        <f>ROUNDUP((ROUND(E27,2))*(IF(F27="Simple",U27,(IF(F27="Standard",V27,(IF(F27="Complex",W27,0)))))),0)</f>
        <v>0</v>
      </c>
      <c r="H27" s="1193">
        <v>0</v>
      </c>
      <c r="I27" s="1193">
        <v>0</v>
      </c>
      <c r="J27" s="1193">
        <v>0</v>
      </c>
      <c r="K27" s="1217"/>
      <c r="L27" s="2533"/>
      <c r="M27" s="1142"/>
      <c r="N27" s="1207"/>
      <c r="O27" s="2528">
        <v>25.9</v>
      </c>
      <c r="P27" s="1150"/>
      <c r="Q27" s="1227"/>
      <c r="R27" s="1151"/>
      <c r="S27" s="1293"/>
      <c r="T27" s="1152"/>
      <c r="U27" s="1227">
        <v>50</v>
      </c>
      <c r="V27" s="1151">
        <v>100</v>
      </c>
      <c r="W27" s="1293">
        <v>150</v>
      </c>
      <c r="X27" s="1150"/>
      <c r="Y27" s="1151"/>
      <c r="Z27" s="1293"/>
      <c r="AA27" s="1150"/>
      <c r="AB27" s="1151"/>
      <c r="AC27" s="1152"/>
    </row>
    <row r="28" spans="1:29" ht="30" customHeight="1">
      <c r="A28" s="1104" t="s">
        <v>2439</v>
      </c>
      <c r="B28" s="2222"/>
      <c r="C28" s="2110"/>
      <c r="D28" s="1210" t="s">
        <v>2436</v>
      </c>
      <c r="E28" s="1105">
        <v>0</v>
      </c>
      <c r="F28" s="1102"/>
      <c r="G28" s="1210">
        <f>ROUNDUP((ROUND(E28,2))*(IF(F28="Simple",U28,(IF(F28="Standard",V28,(IF(F28="Complex",W28,0)))))),0)</f>
        <v>0</v>
      </c>
      <c r="H28" s="1193">
        <v>0</v>
      </c>
      <c r="I28" s="1193">
        <v>0</v>
      </c>
      <c r="J28" s="1193">
        <v>0</v>
      </c>
      <c r="K28" s="1217"/>
      <c r="L28" s="2533"/>
      <c r="M28" s="1142"/>
      <c r="N28" s="1207"/>
      <c r="O28" s="2528"/>
      <c r="P28" s="1150"/>
      <c r="Q28" s="1227"/>
      <c r="R28" s="1151"/>
      <c r="S28" s="1293"/>
      <c r="T28" s="1152"/>
      <c r="U28" s="1154">
        <v>2</v>
      </c>
      <c r="V28" s="1314">
        <v>5</v>
      </c>
      <c r="W28" s="1349">
        <v>8</v>
      </c>
      <c r="X28" s="1150"/>
      <c r="Y28" s="1151"/>
      <c r="Z28" s="1293"/>
      <c r="AA28" s="1150"/>
      <c r="AB28" s="1151"/>
      <c r="AC28" s="1152"/>
    </row>
    <row r="29" spans="1:29" ht="30" customHeight="1">
      <c r="A29" s="1104" t="s">
        <v>2440</v>
      </c>
      <c r="B29" s="2186">
        <v>25.1</v>
      </c>
      <c r="C29" s="2109" t="s">
        <v>1667</v>
      </c>
      <c r="D29" s="1210" t="s">
        <v>2428</v>
      </c>
      <c r="E29" s="1629">
        <v>0</v>
      </c>
      <c r="F29" s="1102"/>
      <c r="G29" s="1210">
        <f>IF(E29=0,0,IF(F29="Simple",U29,(IF(F29="Standard",V29,(IF(F29="Complex",W29,0))))))</f>
        <v>0</v>
      </c>
      <c r="H29" s="1193">
        <v>0</v>
      </c>
      <c r="I29" s="1193">
        <v>0</v>
      </c>
      <c r="J29" s="1193">
        <v>0</v>
      </c>
      <c r="K29" s="1217"/>
      <c r="L29" s="2533"/>
      <c r="M29" s="1142"/>
      <c r="N29" s="1207"/>
      <c r="O29" s="2188">
        <v>25.1</v>
      </c>
      <c r="P29" s="1150"/>
      <c r="Q29" s="1227"/>
      <c r="R29" s="1151"/>
      <c r="S29" s="1293"/>
      <c r="T29" s="1152"/>
      <c r="U29" s="1154">
        <v>8</v>
      </c>
      <c r="V29" s="1314">
        <v>12</v>
      </c>
      <c r="W29" s="1349">
        <v>16</v>
      </c>
      <c r="X29" s="1150"/>
      <c r="Y29" s="1151"/>
      <c r="Z29" s="1293"/>
      <c r="AA29" s="1150"/>
      <c r="AB29" s="1151"/>
      <c r="AC29" s="1152"/>
    </row>
    <row r="30" spans="1:29" ht="30" customHeight="1">
      <c r="A30" s="1104" t="s">
        <v>2441</v>
      </c>
      <c r="B30" s="2187"/>
      <c r="C30" s="2111"/>
      <c r="D30" s="1210" t="s">
        <v>85</v>
      </c>
      <c r="E30" s="1629">
        <v>0</v>
      </c>
      <c r="F30" s="1102"/>
      <c r="G30" s="1210">
        <f>IF(E30=0,0,IF(F30="Simple",U30,(IF(F30="Standard",V30,(IF(F30="Complex",W30,0))))))</f>
        <v>0</v>
      </c>
      <c r="H30" s="1193">
        <v>0</v>
      </c>
      <c r="I30" s="1193">
        <v>0</v>
      </c>
      <c r="J30" s="1193">
        <v>0</v>
      </c>
      <c r="K30" s="1217"/>
      <c r="L30" s="2533"/>
      <c r="M30" s="1142"/>
      <c r="N30" s="1207"/>
      <c r="O30" s="2188"/>
      <c r="P30" s="1150"/>
      <c r="Q30" s="1227"/>
      <c r="R30" s="1151"/>
      <c r="S30" s="1293"/>
      <c r="T30" s="1152"/>
      <c r="U30" s="1227">
        <v>8</v>
      </c>
      <c r="V30" s="1151">
        <v>24</v>
      </c>
      <c r="W30" s="1293">
        <v>40</v>
      </c>
      <c r="X30" s="1150"/>
      <c r="Y30" s="1151"/>
      <c r="Z30" s="1293"/>
      <c r="AA30" s="1150"/>
      <c r="AB30" s="1151"/>
      <c r="AC30" s="1152"/>
    </row>
    <row r="31" spans="1:29" ht="30" customHeight="1">
      <c r="A31" s="1104" t="s">
        <v>2442</v>
      </c>
      <c r="B31" s="1554">
        <v>25.11</v>
      </c>
      <c r="C31" s="1426" t="s">
        <v>1668</v>
      </c>
      <c r="D31" s="1210" t="s">
        <v>85</v>
      </c>
      <c r="E31" s="1629">
        <v>0</v>
      </c>
      <c r="F31" s="1102"/>
      <c r="G31" s="1615">
        <f>IF(E31=0,0,IF(F31="Simple",U31,(IF(F31="Standard",V31,(IF(F31="Complex",W31,0))))))</f>
        <v>0</v>
      </c>
      <c r="H31" s="1193">
        <v>0</v>
      </c>
      <c r="I31" s="1193">
        <v>0</v>
      </c>
      <c r="J31" s="1193">
        <v>0</v>
      </c>
      <c r="K31" s="1217"/>
      <c r="L31" s="2533"/>
      <c r="M31" s="1142"/>
      <c r="N31" s="1207"/>
      <c r="O31" s="1210">
        <v>25.11</v>
      </c>
      <c r="P31" s="1150"/>
      <c r="Q31" s="1227"/>
      <c r="R31" s="1151"/>
      <c r="S31" s="1293"/>
      <c r="T31" s="1152"/>
      <c r="U31" s="1227">
        <v>80</v>
      </c>
      <c r="V31" s="1151">
        <v>120</v>
      </c>
      <c r="W31" s="1293">
        <v>160</v>
      </c>
      <c r="X31" s="1150"/>
      <c r="Y31" s="1151"/>
      <c r="Z31" s="1293"/>
      <c r="AA31" s="1150"/>
      <c r="AB31" s="1151"/>
      <c r="AC31" s="1152"/>
    </row>
    <row r="32" spans="1:29" ht="30" customHeight="1">
      <c r="A32" s="1104" t="s">
        <v>2443</v>
      </c>
      <c r="B32" s="1425">
        <v>25.12</v>
      </c>
      <c r="C32" s="1598" t="s">
        <v>2599</v>
      </c>
      <c r="D32" s="1210" t="s">
        <v>85</v>
      </c>
      <c r="E32" s="1241">
        <v>0</v>
      </c>
      <c r="F32" s="1993" t="str">
        <f>IF($F$11=0,"",$F$11)</f>
        <v/>
      </c>
      <c r="G32" s="1210">
        <f>IF(E32=0,0,IF(F32="Low",Q32,(IF(F32="Mid",R32,(IF(F32="Upper",S32,0))))))</f>
        <v>0</v>
      </c>
      <c r="H32" s="1193">
        <v>0</v>
      </c>
      <c r="I32" s="1193">
        <v>0</v>
      </c>
      <c r="J32" s="1193">
        <v>0</v>
      </c>
      <c r="K32" s="1217"/>
      <c r="L32" s="2533"/>
      <c r="M32" s="1142"/>
      <c r="N32" s="1207"/>
      <c r="O32" s="1210">
        <v>25.12</v>
      </c>
      <c r="P32" s="1150"/>
      <c r="Q32" s="1227">
        <v>20</v>
      </c>
      <c r="R32" s="1151">
        <v>24</v>
      </c>
      <c r="S32" s="1293">
        <v>28</v>
      </c>
      <c r="T32" s="1152"/>
      <c r="U32" s="1154"/>
      <c r="V32" s="1314"/>
      <c r="W32" s="1349"/>
      <c r="X32" s="1150"/>
      <c r="Y32" s="1151"/>
      <c r="Z32" s="1293"/>
      <c r="AA32" s="1150"/>
      <c r="AB32" s="1151"/>
      <c r="AC32" s="1152"/>
    </row>
    <row r="33" spans="1:29" ht="30" customHeight="1">
      <c r="A33" s="1104" t="s">
        <v>2444</v>
      </c>
      <c r="B33" s="2221">
        <v>25.13</v>
      </c>
      <c r="C33" s="2109" t="s">
        <v>691</v>
      </c>
      <c r="D33" s="1210" t="s">
        <v>2235</v>
      </c>
      <c r="E33" s="1064">
        <v>0</v>
      </c>
      <c r="F33" s="1993" t="str">
        <f>IF($F$11=0,"",$F$11)</f>
        <v/>
      </c>
      <c r="G33" s="1210">
        <f>IF(E33=0,0,E33*IF(F33="Low",Q33,(IF(F33="Mid",R33,(IF(F33="Upper",S33,0))))))</f>
        <v>0</v>
      </c>
      <c r="H33" s="1193">
        <v>0</v>
      </c>
      <c r="I33" s="1193">
        <v>0</v>
      </c>
      <c r="J33" s="1193">
        <v>0</v>
      </c>
      <c r="K33" s="1217"/>
      <c r="L33" s="2533"/>
      <c r="M33" s="1142"/>
      <c r="N33" s="1207"/>
      <c r="O33" s="2528">
        <v>25.13</v>
      </c>
      <c r="P33" s="1150"/>
      <c r="Q33" s="1227">
        <v>2</v>
      </c>
      <c r="R33" s="1151">
        <v>5</v>
      </c>
      <c r="S33" s="1293">
        <v>8</v>
      </c>
      <c r="T33" s="1152"/>
      <c r="U33" s="1154"/>
      <c r="V33" s="1314"/>
      <c r="W33" s="1349"/>
      <c r="X33" s="1150"/>
      <c r="Y33" s="1151"/>
      <c r="Z33" s="1293"/>
      <c r="AA33" s="1150"/>
      <c r="AB33" s="1151"/>
      <c r="AC33" s="1152"/>
    </row>
    <row r="34" spans="1:29" ht="30" customHeight="1">
      <c r="A34" s="1104" t="s">
        <v>2445</v>
      </c>
      <c r="B34" s="2223"/>
      <c r="C34" s="2111"/>
      <c r="D34" s="1210" t="s">
        <v>2237</v>
      </c>
      <c r="E34" s="1064">
        <v>0</v>
      </c>
      <c r="F34" s="1993" t="str">
        <f>IF($F$11=0,"",$F$11)</f>
        <v/>
      </c>
      <c r="G34" s="1210">
        <f>IF(E34=0,0,E34*IF(F34="Low",Q34,(IF(F34="Mid",R34,(IF(F34="Upper",S34,0))))))</f>
        <v>0</v>
      </c>
      <c r="H34" s="1193">
        <v>0</v>
      </c>
      <c r="I34" s="1193">
        <v>0</v>
      </c>
      <c r="J34" s="1193">
        <v>0</v>
      </c>
      <c r="K34" s="1217"/>
      <c r="L34" s="2533"/>
      <c r="M34" s="1142"/>
      <c r="N34" s="1207"/>
      <c r="O34" s="2528"/>
      <c r="P34" s="1150"/>
      <c r="Q34" s="1227">
        <v>2</v>
      </c>
      <c r="R34" s="1151">
        <v>4</v>
      </c>
      <c r="S34" s="1293">
        <v>6</v>
      </c>
      <c r="T34" s="1152"/>
      <c r="U34" s="1154"/>
      <c r="V34" s="1314"/>
      <c r="W34" s="1349"/>
      <c r="X34" s="1150"/>
      <c r="Y34" s="1151"/>
      <c r="Z34" s="1293"/>
      <c r="AA34" s="1150"/>
      <c r="AB34" s="1151"/>
      <c r="AC34" s="1152"/>
    </row>
    <row r="35" spans="1:29" ht="30" customHeight="1">
      <c r="A35" s="1104" t="s">
        <v>2446</v>
      </c>
      <c r="B35" s="1554">
        <v>25.14</v>
      </c>
      <c r="C35" s="351" t="s">
        <v>2239</v>
      </c>
      <c r="D35" s="1210" t="s">
        <v>2240</v>
      </c>
      <c r="E35" s="1064">
        <v>0</v>
      </c>
      <c r="F35" s="1129"/>
      <c r="G35" s="1138">
        <f>IF(E35=0,0,E35*X35)</f>
        <v>0</v>
      </c>
      <c r="H35" s="1193">
        <v>0</v>
      </c>
      <c r="I35" s="1193">
        <v>0</v>
      </c>
      <c r="J35" s="1193">
        <v>0</v>
      </c>
      <c r="K35" s="1217"/>
      <c r="L35" s="2533"/>
      <c r="M35" s="1142"/>
      <c r="N35" s="1207"/>
      <c r="O35" s="1210">
        <v>25.14</v>
      </c>
      <c r="P35" s="1150"/>
      <c r="Q35" s="1227"/>
      <c r="R35" s="1151"/>
      <c r="S35" s="1293"/>
      <c r="T35" s="1152"/>
      <c r="U35" s="1154"/>
      <c r="V35" s="1314"/>
      <c r="W35" s="1349"/>
      <c r="X35" s="1150">
        <v>6</v>
      </c>
      <c r="Y35" s="1151"/>
      <c r="Z35" s="1293"/>
      <c r="AA35" s="1150"/>
      <c r="AB35" s="1151"/>
      <c r="AC35" s="1152"/>
    </row>
    <row r="36" spans="1:29" ht="30" customHeight="1" thickBot="1">
      <c r="A36" s="1104" t="s">
        <v>2447</v>
      </c>
      <c r="B36" s="1554">
        <v>25.15</v>
      </c>
      <c r="C36" s="1128" t="s">
        <v>1669</v>
      </c>
      <c r="D36" s="1210" t="s">
        <v>85</v>
      </c>
      <c r="E36" s="1136"/>
      <c r="F36" s="1136"/>
      <c r="G36" s="1196">
        <v>0</v>
      </c>
      <c r="H36" s="1196">
        <v>0</v>
      </c>
      <c r="I36" s="1193">
        <v>0</v>
      </c>
      <c r="J36" s="1193">
        <v>0</v>
      </c>
      <c r="K36" s="1217"/>
      <c r="L36" s="2533"/>
      <c r="M36" s="1142"/>
      <c r="N36" s="1207"/>
      <c r="O36" s="1210">
        <v>25.15</v>
      </c>
      <c r="P36" s="1150"/>
      <c r="Q36" s="1227"/>
      <c r="R36" s="1151"/>
      <c r="S36" s="1293"/>
      <c r="T36" s="1152"/>
      <c r="U36" s="1154"/>
      <c r="V36" s="1314"/>
      <c r="W36" s="1353"/>
      <c r="X36" s="1154"/>
      <c r="Y36" s="1230"/>
      <c r="Z36" s="1291"/>
      <c r="AA36" s="1154"/>
      <c r="AB36" s="1230"/>
      <c r="AC36" s="1231"/>
    </row>
    <row r="37" spans="1:29" ht="19.2" customHeight="1" thickBot="1">
      <c r="B37" s="2183" t="s">
        <v>1686</v>
      </c>
      <c r="C37" s="2184"/>
      <c r="D37" s="2184"/>
      <c r="E37" s="2247"/>
      <c r="F37" s="2247"/>
      <c r="G37" s="1626">
        <f>SUM(G12:G36)</f>
        <v>0</v>
      </c>
      <c r="H37" s="1839">
        <f>SUM(H12:H36)</f>
        <v>0</v>
      </c>
      <c r="I37" s="1626">
        <f>SUM(I12:I36)</f>
        <v>0</v>
      </c>
      <c r="J37" s="1626">
        <f>SUM(J12:J36)</f>
        <v>0</v>
      </c>
      <c r="K37" s="1840"/>
      <c r="L37" s="2189"/>
      <c r="M37" s="1173"/>
      <c r="N37" s="1142"/>
      <c r="O37" s="1142"/>
      <c r="P37" s="1144"/>
      <c r="Q37" s="1207"/>
      <c r="R37" s="1207"/>
      <c r="S37" s="1207"/>
      <c r="T37" s="1207"/>
      <c r="U37" s="1144"/>
      <c r="V37" s="1144"/>
      <c r="W37" s="1144"/>
      <c r="X37" s="1234"/>
      <c r="Y37" s="1234"/>
      <c r="Z37" s="1234"/>
      <c r="AA37" s="1234"/>
      <c r="AB37" s="1234"/>
      <c r="AC37" s="1356"/>
    </row>
    <row r="38" spans="1:29" ht="30" customHeight="1">
      <c r="A38" s="1104" t="s">
        <v>2448</v>
      </c>
      <c r="B38" s="1134">
        <v>25.16</v>
      </c>
      <c r="C38" s="1189" t="s">
        <v>307</v>
      </c>
      <c r="D38" s="1070" t="s">
        <v>85</v>
      </c>
      <c r="E38" s="1212">
        <v>1</v>
      </c>
      <c r="F38" s="1347">
        <v>0.05</v>
      </c>
      <c r="G38" s="1578">
        <f>IF($E38=0,0,ROUNDUP($F38*G$37,0))</f>
        <v>0</v>
      </c>
      <c r="H38" s="1578">
        <f t="shared" ref="H38:J39" si="0">IF($E38=0,0,ROUNDUP($F38*H$37,0))</f>
        <v>0</v>
      </c>
      <c r="I38" s="1578">
        <f t="shared" si="0"/>
        <v>0</v>
      </c>
      <c r="J38" s="1062">
        <f t="shared" si="0"/>
        <v>0</v>
      </c>
      <c r="K38" s="1081"/>
      <c r="L38" s="2190"/>
      <c r="M38" s="1173"/>
      <c r="N38" s="1142"/>
      <c r="O38" s="1253">
        <v>25.16</v>
      </c>
      <c r="P38" s="1332"/>
      <c r="Q38" s="1228"/>
      <c r="R38" s="1206"/>
      <c r="S38" s="1314"/>
      <c r="T38" s="1153"/>
      <c r="U38" s="1154"/>
      <c r="V38" s="1314"/>
      <c r="W38" s="1355"/>
      <c r="X38" s="1841"/>
      <c r="Y38" s="1235"/>
      <c r="Z38" s="1294"/>
      <c r="AA38" s="1150"/>
      <c r="AB38" s="1235"/>
      <c r="AC38" s="1236"/>
    </row>
    <row r="39" spans="1:29" ht="30" customHeight="1">
      <c r="A39" s="1104" t="s">
        <v>2449</v>
      </c>
      <c r="B39" s="1658">
        <v>25.17</v>
      </c>
      <c r="C39" s="1190" t="s">
        <v>169</v>
      </c>
      <c r="D39" s="1210" t="s">
        <v>85</v>
      </c>
      <c r="E39" s="1193">
        <v>1</v>
      </c>
      <c r="F39" s="1636">
        <v>0.05</v>
      </c>
      <c r="G39" s="1620">
        <f>IF($E39=0,0,ROUNDUP($F39*G$37,0))</f>
        <v>0</v>
      </c>
      <c r="H39" s="1620">
        <f t="shared" si="0"/>
        <v>0</v>
      </c>
      <c r="I39" s="1620">
        <f t="shared" si="0"/>
        <v>0</v>
      </c>
      <c r="J39" s="1617">
        <f t="shared" si="0"/>
        <v>0</v>
      </c>
      <c r="K39" s="1217"/>
      <c r="L39" s="2190"/>
      <c r="M39" s="1173"/>
      <c r="N39" s="1142"/>
      <c r="O39" s="1253">
        <v>25.17</v>
      </c>
      <c r="P39" s="1332"/>
      <c r="Q39" s="1228"/>
      <c r="R39" s="1206"/>
      <c r="S39" s="1314"/>
      <c r="T39" s="1153"/>
      <c r="U39" s="1154"/>
      <c r="V39" s="1314"/>
      <c r="W39" s="1355"/>
      <c r="X39" s="1841"/>
      <c r="Y39" s="1235"/>
      <c r="Z39" s="1294"/>
      <c r="AA39" s="1150"/>
      <c r="AB39" s="1235"/>
      <c r="AC39" s="1236"/>
    </row>
    <row r="40" spans="1:29" ht="30" customHeight="1">
      <c r="A40" s="1104" t="s">
        <v>2450</v>
      </c>
      <c r="B40" s="2325">
        <v>25.18</v>
      </c>
      <c r="C40" s="2109" t="s">
        <v>2451</v>
      </c>
      <c r="D40" s="1615" t="s">
        <v>2134</v>
      </c>
      <c r="E40" s="1210">
        <f>D58</f>
        <v>0</v>
      </c>
      <c r="F40" s="1427"/>
      <c r="G40" s="1620">
        <f>(E40*X40)</f>
        <v>0</v>
      </c>
      <c r="H40" s="1065">
        <v>0</v>
      </c>
      <c r="I40" s="1065">
        <v>0</v>
      </c>
      <c r="J40" s="1065">
        <v>0</v>
      </c>
      <c r="K40" s="1329"/>
      <c r="L40" s="2190"/>
      <c r="M40" s="1173"/>
      <c r="N40" s="1142"/>
      <c r="O40" s="2256">
        <v>25.18</v>
      </c>
      <c r="P40" s="1332"/>
      <c r="Q40" s="1228"/>
      <c r="R40" s="1206"/>
      <c r="S40" s="1314"/>
      <c r="T40" s="1153"/>
      <c r="U40" s="1154"/>
      <c r="V40" s="1314"/>
      <c r="W40" s="1355"/>
      <c r="X40" s="1150">
        <v>2</v>
      </c>
      <c r="Y40" s="1235"/>
      <c r="Z40" s="1294"/>
      <c r="AA40" s="1150"/>
      <c r="AB40" s="1235"/>
      <c r="AC40" s="1236"/>
    </row>
    <row r="41" spans="1:29" ht="30" customHeight="1">
      <c r="A41" s="1104" t="s">
        <v>2452</v>
      </c>
      <c r="B41" s="2325"/>
      <c r="C41" s="2111"/>
      <c r="D41" s="1615" t="s">
        <v>2249</v>
      </c>
      <c r="E41" s="1427"/>
      <c r="F41" s="1427"/>
      <c r="G41" s="1842">
        <f>E58</f>
        <v>0</v>
      </c>
      <c r="H41" s="1065">
        <v>0</v>
      </c>
      <c r="I41" s="1065">
        <v>0</v>
      </c>
      <c r="J41" s="1065">
        <v>0</v>
      </c>
      <c r="K41" s="1843"/>
      <c r="L41" s="2190"/>
      <c r="M41" s="1173"/>
      <c r="N41" s="1142"/>
      <c r="O41" s="2257"/>
      <c r="P41" s="1332"/>
      <c r="Q41" s="1228"/>
      <c r="R41" s="1206"/>
      <c r="S41" s="1314"/>
      <c r="T41" s="1153"/>
      <c r="U41" s="1154"/>
      <c r="V41" s="1314"/>
      <c r="W41" s="1355"/>
      <c r="X41" s="1150"/>
      <c r="Y41" s="1235"/>
      <c r="Z41" s="1294"/>
      <c r="AA41" s="1150"/>
      <c r="AB41" s="1235"/>
      <c r="AC41" s="1236"/>
    </row>
    <row r="42" spans="1:29" ht="30" customHeight="1" thickBot="1">
      <c r="A42" s="1104" t="s">
        <v>2453</v>
      </c>
      <c r="B42" s="1633">
        <v>25.19</v>
      </c>
      <c r="C42" s="1197" t="s">
        <v>2251</v>
      </c>
      <c r="D42" s="1071" t="s">
        <v>85</v>
      </c>
      <c r="E42" s="1136"/>
      <c r="F42" s="1136"/>
      <c r="G42" s="1071">
        <f>G66</f>
        <v>0</v>
      </c>
      <c r="H42" s="1068">
        <v>0</v>
      </c>
      <c r="I42" s="1068">
        <v>0</v>
      </c>
      <c r="J42" s="1068">
        <v>0</v>
      </c>
      <c r="K42" s="1082"/>
      <c r="L42" s="2190"/>
      <c r="M42" s="1173"/>
      <c r="N42" s="1142"/>
      <c r="O42" s="1630">
        <v>25.19</v>
      </c>
      <c r="P42" s="1332"/>
      <c r="Q42" s="1228"/>
      <c r="R42" s="1206"/>
      <c r="S42" s="1314"/>
      <c r="T42" s="1153"/>
      <c r="U42" s="1154"/>
      <c r="V42" s="1314"/>
      <c r="W42" s="1355"/>
      <c r="X42" s="1150"/>
      <c r="Y42" s="1235"/>
      <c r="Z42" s="1294"/>
      <c r="AA42" s="1150"/>
      <c r="AB42" s="1235"/>
      <c r="AC42" s="1236"/>
    </row>
    <row r="43" spans="1:29" ht="19.2" customHeight="1" thickBot="1">
      <c r="B43" s="2183" t="s">
        <v>2454</v>
      </c>
      <c r="C43" s="2184"/>
      <c r="D43" s="2184"/>
      <c r="E43" s="2247"/>
      <c r="F43" s="2247"/>
      <c r="G43" s="1130">
        <f>SUM(G38:G42)</f>
        <v>0</v>
      </c>
      <c r="H43" s="1130">
        <f t="shared" ref="H43:J43" si="1">SUM(H38:H42)</f>
        <v>0</v>
      </c>
      <c r="I43" s="1130">
        <f t="shared" si="1"/>
        <v>0</v>
      </c>
      <c r="J43" s="1130">
        <f t="shared" si="1"/>
        <v>0</v>
      </c>
      <c r="K43" s="1429"/>
      <c r="L43" s="2191"/>
      <c r="M43" s="1173"/>
      <c r="N43" s="1142"/>
      <c r="O43" s="1142"/>
      <c r="P43" s="1144"/>
      <c r="Q43" s="1207"/>
      <c r="R43" s="1207"/>
      <c r="S43" s="1207"/>
      <c r="T43" s="1207"/>
      <c r="U43" s="1144"/>
      <c r="V43" s="1144"/>
      <c r="W43" s="1144"/>
      <c r="X43" s="1234"/>
      <c r="Y43" s="1234"/>
      <c r="Z43" s="1234"/>
      <c r="AA43" s="1234"/>
      <c r="AB43" s="1234"/>
      <c r="AC43" s="1356"/>
    </row>
    <row r="44" spans="1:29" ht="30" customHeight="1" thickBot="1">
      <c r="A44" s="1104" t="s">
        <v>2455</v>
      </c>
      <c r="B44" s="1134">
        <v>25.2</v>
      </c>
      <c r="C44" s="1189" t="s">
        <v>78</v>
      </c>
      <c r="D44" s="1210" t="s">
        <v>85</v>
      </c>
      <c r="E44" s="1668">
        <v>1</v>
      </c>
      <c r="F44" s="1347">
        <v>0.03</v>
      </c>
      <c r="G44" s="1670">
        <f>IF($E44=0,0,ROUNDUP((G$37+G$43)*$F$44,0))</f>
        <v>0</v>
      </c>
      <c r="H44" s="1670">
        <f t="shared" ref="H44:J44" si="2">IF($E44=0,0,ROUNDUP((H$37+H$43)*$F$44,0))</f>
        <v>0</v>
      </c>
      <c r="I44" s="1670">
        <f t="shared" si="2"/>
        <v>0</v>
      </c>
      <c r="J44" s="1902">
        <f t="shared" si="2"/>
        <v>0</v>
      </c>
      <c r="K44" s="1081"/>
      <c r="M44" s="1173"/>
      <c r="N44" s="1142"/>
      <c r="O44" s="1253">
        <v>25.2</v>
      </c>
      <c r="P44" s="1332"/>
      <c r="Q44" s="1228"/>
      <c r="R44" s="1206"/>
      <c r="S44" s="1314"/>
      <c r="T44" s="1153"/>
      <c r="U44" s="1154"/>
      <c r="V44" s="1314"/>
      <c r="W44" s="1355"/>
      <c r="X44" s="1841"/>
      <c r="Y44" s="1235"/>
      <c r="Z44" s="1294"/>
      <c r="AA44" s="1150"/>
      <c r="AB44" s="1235"/>
      <c r="AC44" s="1236"/>
    </row>
    <row r="45" spans="1:29" ht="19.2" customHeight="1" thickBot="1">
      <c r="B45" s="2183" t="s">
        <v>2456</v>
      </c>
      <c r="C45" s="2184"/>
      <c r="D45" s="2184"/>
      <c r="E45" s="2184"/>
      <c r="F45" s="2184"/>
      <c r="G45" s="1079">
        <f>G37+G43+G44</f>
        <v>0</v>
      </c>
      <c r="H45" s="1079">
        <f t="shared" ref="H45:J45" si="3">H37+H43+H44</f>
        <v>0</v>
      </c>
      <c r="I45" s="1079">
        <f t="shared" si="3"/>
        <v>0</v>
      </c>
      <c r="J45" s="1079">
        <f t="shared" si="3"/>
        <v>0</v>
      </c>
      <c r="K45" s="1199"/>
      <c r="M45" s="1142"/>
      <c r="N45" s="1142"/>
      <c r="O45" s="1142"/>
      <c r="P45" s="1142"/>
      <c r="Q45" s="1142"/>
      <c r="R45" s="1142"/>
      <c r="S45" s="1142"/>
      <c r="T45" s="1142"/>
      <c r="U45" s="1142"/>
      <c r="V45" s="1142"/>
      <c r="W45" s="1142"/>
      <c r="X45" s="1203"/>
      <c r="Y45" s="1203"/>
      <c r="Z45" s="1203"/>
      <c r="AA45" s="1203"/>
      <c r="AB45" s="1203"/>
      <c r="AC45" s="1203"/>
    </row>
    <row r="46" spans="1:29">
      <c r="J46" s="1674" t="s">
        <v>1858</v>
      </c>
    </row>
    <row r="47" spans="1:29" ht="16.2" thickBot="1"/>
    <row r="48" spans="1:29" ht="31.8" thickBot="1">
      <c r="C48" s="1677" t="s">
        <v>82</v>
      </c>
      <c r="D48" s="1678" t="s">
        <v>2139</v>
      </c>
      <c r="E48" s="1679" t="s">
        <v>2254</v>
      </c>
      <c r="F48" s="1678" t="s">
        <v>2140</v>
      </c>
      <c r="G48" s="2267" t="s">
        <v>1823</v>
      </c>
      <c r="H48" s="2268"/>
      <c r="I48" s="2268"/>
      <c r="J48" s="2269"/>
      <c r="K48" s="1147"/>
      <c r="L48" s="1147"/>
      <c r="M48" s="1147"/>
    </row>
    <row r="49" spans="1:34" ht="16.2" customHeight="1">
      <c r="C49" s="1692" t="s">
        <v>847</v>
      </c>
      <c r="D49" s="1815">
        <v>0</v>
      </c>
      <c r="E49" s="1815">
        <v>0</v>
      </c>
      <c r="F49" s="1815">
        <v>0</v>
      </c>
      <c r="G49" s="2569"/>
      <c r="H49" s="2569"/>
      <c r="I49" s="2569"/>
      <c r="J49" s="2570"/>
      <c r="X49" s="1061"/>
      <c r="Y49" s="1061"/>
    </row>
    <row r="50" spans="1:34" s="1076" customFormat="1">
      <c r="A50" s="1077"/>
      <c r="B50" s="1084"/>
      <c r="C50" s="1683" t="s">
        <v>1034</v>
      </c>
      <c r="D50" s="1684">
        <v>0</v>
      </c>
      <c r="E50" s="1684">
        <v>0</v>
      </c>
      <c r="F50" s="1684">
        <v>0</v>
      </c>
      <c r="G50" s="2162"/>
      <c r="H50" s="2162"/>
      <c r="I50" s="2162"/>
      <c r="J50" s="2163"/>
      <c r="K50" s="1077"/>
      <c r="L50" s="1077"/>
      <c r="M50" s="348"/>
      <c r="N50" s="348"/>
      <c r="O50" s="348"/>
      <c r="P50" s="348"/>
      <c r="Q50" s="348"/>
      <c r="R50" s="348"/>
      <c r="S50" s="348"/>
      <c r="T50" s="348"/>
      <c r="U50" s="348"/>
      <c r="V50" s="348"/>
      <c r="W50" s="348"/>
      <c r="X50" s="1061"/>
      <c r="Y50" s="1061"/>
      <c r="AD50" s="1077"/>
      <c r="AE50" s="1077"/>
      <c r="AF50" s="1077"/>
      <c r="AG50" s="1077"/>
      <c r="AH50" s="1077"/>
    </row>
    <row r="51" spans="1:34" s="1076" customFormat="1">
      <c r="A51" s="1077"/>
      <c r="B51" s="1084"/>
      <c r="C51" s="1683" t="s">
        <v>1040</v>
      </c>
      <c r="D51" s="1684">
        <v>0</v>
      </c>
      <c r="E51" s="1684">
        <v>0</v>
      </c>
      <c r="F51" s="1684">
        <v>0</v>
      </c>
      <c r="G51" s="2162"/>
      <c r="H51" s="2162"/>
      <c r="I51" s="2162"/>
      <c r="J51" s="2163"/>
      <c r="K51" s="1077"/>
      <c r="L51" s="1077"/>
      <c r="M51" s="348"/>
      <c r="N51" s="348"/>
      <c r="O51" s="348"/>
      <c r="P51" s="348"/>
      <c r="Q51" s="348"/>
      <c r="R51" s="348"/>
      <c r="S51" s="348"/>
      <c r="T51" s="348"/>
      <c r="U51" s="348"/>
      <c r="V51" s="348"/>
      <c r="W51" s="348"/>
      <c r="X51" s="1061"/>
      <c r="Y51" s="1061"/>
      <c r="AD51" s="1077"/>
      <c r="AE51" s="1077"/>
      <c r="AF51" s="1077"/>
      <c r="AG51" s="1077"/>
      <c r="AH51" s="1077"/>
    </row>
    <row r="52" spans="1:34" s="1076" customFormat="1">
      <c r="A52" s="1077"/>
      <c r="B52" s="1084"/>
      <c r="C52" s="1683" t="s">
        <v>1041</v>
      </c>
      <c r="D52" s="1684">
        <v>0</v>
      </c>
      <c r="E52" s="1684">
        <v>0</v>
      </c>
      <c r="F52" s="1684">
        <v>0</v>
      </c>
      <c r="G52" s="2162"/>
      <c r="H52" s="2162"/>
      <c r="I52" s="2162"/>
      <c r="J52" s="2163"/>
      <c r="K52" s="1077"/>
      <c r="L52" s="1077"/>
      <c r="M52" s="348"/>
      <c r="N52" s="348"/>
      <c r="O52" s="348"/>
      <c r="P52" s="348"/>
      <c r="Q52" s="348"/>
      <c r="R52" s="348"/>
      <c r="S52" s="348"/>
      <c r="T52" s="348"/>
      <c r="U52" s="348"/>
      <c r="V52" s="348"/>
      <c r="W52" s="348"/>
      <c r="X52" s="1061"/>
      <c r="Y52" s="1061"/>
      <c r="AD52" s="1077"/>
      <c r="AE52" s="1077"/>
      <c r="AF52" s="1077"/>
      <c r="AG52" s="1077"/>
      <c r="AH52" s="1077"/>
    </row>
    <row r="53" spans="1:34" s="1076" customFormat="1">
      <c r="A53" s="1077"/>
      <c r="B53" s="1084"/>
      <c r="C53" s="1683" t="s">
        <v>1042</v>
      </c>
      <c r="D53" s="1684">
        <v>0</v>
      </c>
      <c r="E53" s="1684">
        <v>0</v>
      </c>
      <c r="F53" s="1684">
        <v>0</v>
      </c>
      <c r="G53" s="2162"/>
      <c r="H53" s="2162"/>
      <c r="I53" s="2162"/>
      <c r="J53" s="2163"/>
      <c r="K53" s="1077"/>
      <c r="L53" s="1077"/>
      <c r="M53" s="348"/>
      <c r="N53" s="348"/>
      <c r="O53" s="348"/>
      <c r="P53" s="348"/>
      <c r="Q53" s="348"/>
      <c r="R53" s="348"/>
      <c r="S53" s="348"/>
      <c r="T53" s="348"/>
      <c r="U53" s="348"/>
      <c r="V53" s="348"/>
      <c r="W53" s="348"/>
      <c r="X53" s="1061"/>
      <c r="Y53" s="1061"/>
      <c r="AD53" s="1077"/>
      <c r="AE53" s="1077"/>
      <c r="AF53" s="1077"/>
      <c r="AG53" s="1077"/>
      <c r="AH53" s="1077"/>
    </row>
    <row r="54" spans="1:34" s="1076" customFormat="1" ht="16.2" thickBot="1">
      <c r="A54" s="1077"/>
      <c r="B54" s="1084"/>
      <c r="C54" s="1685" t="s">
        <v>231</v>
      </c>
      <c r="D54" s="1686">
        <v>0</v>
      </c>
      <c r="E54" s="1686">
        <v>0</v>
      </c>
      <c r="F54" s="1686">
        <v>0</v>
      </c>
      <c r="G54" s="2181"/>
      <c r="H54" s="2181"/>
      <c r="I54" s="2181"/>
      <c r="J54" s="2182"/>
      <c r="K54" s="1077"/>
      <c r="L54" s="1077"/>
      <c r="M54" s="348"/>
      <c r="N54" s="348"/>
      <c r="O54" s="348"/>
      <c r="P54" s="348"/>
      <c r="Q54" s="348"/>
      <c r="R54" s="348"/>
      <c r="S54" s="348"/>
      <c r="T54" s="348"/>
      <c r="U54" s="348"/>
      <c r="V54" s="348"/>
      <c r="W54" s="348"/>
      <c r="X54" s="1061"/>
      <c r="Y54" s="1061"/>
      <c r="AD54" s="1077"/>
      <c r="AE54" s="1077"/>
      <c r="AF54" s="1077"/>
      <c r="AG54" s="1077"/>
      <c r="AH54" s="1077"/>
    </row>
    <row r="55" spans="1:34" s="1076" customFormat="1" ht="16.2" thickBot="1">
      <c r="A55" s="1077"/>
      <c r="B55" s="1084"/>
      <c r="C55" s="1688" t="s">
        <v>238</v>
      </c>
      <c r="D55" s="1689">
        <f>SUM(D49:D54)</f>
        <v>0</v>
      </c>
      <c r="E55" s="1689">
        <f>SUM(E49:E54)</f>
        <v>0</v>
      </c>
      <c r="F55" s="1690">
        <f>SUM(F49:F54)</f>
        <v>0</v>
      </c>
      <c r="G55" s="2326"/>
      <c r="H55" s="2326"/>
      <c r="I55" s="2326"/>
      <c r="J55" s="2326"/>
      <c r="K55" s="1077"/>
      <c r="L55" s="1077"/>
      <c r="M55" s="348"/>
      <c r="N55" s="348"/>
      <c r="O55" s="348"/>
      <c r="P55" s="348"/>
      <c r="Q55" s="348"/>
      <c r="R55" s="348"/>
      <c r="S55" s="348"/>
      <c r="T55" s="348"/>
      <c r="U55" s="348"/>
      <c r="V55" s="348"/>
      <c r="W55" s="348"/>
      <c r="X55" s="1061"/>
      <c r="Y55" s="1061"/>
      <c r="AD55" s="1077"/>
      <c r="AE55" s="1077"/>
      <c r="AF55" s="1077"/>
      <c r="AG55" s="1077"/>
      <c r="AH55" s="1077"/>
    </row>
    <row r="56" spans="1:34" s="1076" customFormat="1">
      <c r="A56" s="1077"/>
      <c r="B56" s="1084"/>
      <c r="C56" s="1692" t="s">
        <v>861</v>
      </c>
      <c r="D56" s="1912">
        <v>0</v>
      </c>
      <c r="E56" s="1693">
        <v>0</v>
      </c>
      <c r="F56" s="1817"/>
      <c r="G56" s="1788"/>
      <c r="H56" s="1788"/>
      <c r="I56" s="1788"/>
      <c r="J56" s="1788"/>
      <c r="K56" s="1077"/>
      <c r="L56" s="1077"/>
      <c r="M56" s="348"/>
      <c r="N56" s="348"/>
      <c r="O56" s="348"/>
      <c r="P56" s="348"/>
      <c r="Q56" s="348"/>
      <c r="R56" s="348"/>
      <c r="S56" s="348"/>
      <c r="T56" s="348"/>
      <c r="U56" s="348"/>
      <c r="V56" s="348"/>
      <c r="W56" s="348"/>
      <c r="X56" s="1061"/>
      <c r="Y56" s="1061"/>
      <c r="AD56" s="1077"/>
      <c r="AE56" s="1077"/>
      <c r="AF56" s="1077"/>
      <c r="AG56" s="1077"/>
      <c r="AH56" s="1077"/>
    </row>
    <row r="57" spans="1:34" s="1076" customFormat="1" ht="16.2" thickBot="1">
      <c r="A57" s="1077"/>
      <c r="B57" s="1084"/>
      <c r="C57" s="1844" t="s">
        <v>155</v>
      </c>
      <c r="D57" s="1916">
        <v>0</v>
      </c>
      <c r="E57" s="1845">
        <v>0</v>
      </c>
      <c r="F57" s="1817"/>
      <c r="G57" s="1788"/>
      <c r="H57" s="1788"/>
      <c r="I57" s="1788"/>
      <c r="J57" s="1788"/>
      <c r="K57" s="1077"/>
      <c r="L57" s="1077"/>
      <c r="M57" s="348"/>
      <c r="N57" s="348"/>
      <c r="O57" s="348"/>
      <c r="P57" s="348"/>
      <c r="Q57" s="348"/>
      <c r="R57" s="348"/>
      <c r="S57" s="348"/>
      <c r="T57" s="348"/>
      <c r="U57" s="348"/>
      <c r="V57" s="348"/>
      <c r="W57" s="348"/>
      <c r="X57" s="1061"/>
      <c r="Y57" s="1061"/>
      <c r="AD57" s="1077"/>
      <c r="AE57" s="1077"/>
      <c r="AF57" s="1077"/>
      <c r="AG57" s="1077"/>
      <c r="AH57" s="1077"/>
    </row>
    <row r="58" spans="1:34" s="1076" customFormat="1" ht="16.2" thickBot="1">
      <c r="A58" s="1077"/>
      <c r="B58" s="1084"/>
      <c r="C58" s="1688" t="s">
        <v>2457</v>
      </c>
      <c r="D58" s="1869">
        <f>SUM(D55:D57)</f>
        <v>0</v>
      </c>
      <c r="E58" s="1690">
        <f>SUM(E55:E57)</f>
        <v>0</v>
      </c>
      <c r="F58" s="1817"/>
      <c r="G58" s="1788"/>
      <c r="H58" s="1788"/>
      <c r="I58" s="1788"/>
      <c r="J58" s="1788"/>
      <c r="K58" s="1077"/>
      <c r="L58" s="1077"/>
      <c r="M58" s="348"/>
      <c r="N58" s="348"/>
      <c r="O58" s="348"/>
      <c r="P58" s="348"/>
      <c r="Q58" s="348"/>
      <c r="R58" s="348"/>
      <c r="S58" s="348"/>
      <c r="T58" s="348"/>
      <c r="U58" s="348"/>
      <c r="V58" s="348"/>
      <c r="W58" s="348"/>
      <c r="AD58" s="1077"/>
      <c r="AE58" s="1077"/>
      <c r="AF58" s="1077"/>
      <c r="AG58" s="1077"/>
      <c r="AH58" s="1077"/>
    </row>
    <row r="59" spans="1:34" s="1076" customFormat="1" ht="16.2" thickBot="1">
      <c r="A59" s="1077"/>
      <c r="B59" s="1084"/>
      <c r="C59" s="1085"/>
      <c r="D59" s="1085"/>
      <c r="E59" s="1084"/>
      <c r="F59" s="1846"/>
      <c r="G59" s="1846"/>
      <c r="H59" s="1087"/>
      <c r="I59" s="1087"/>
      <c r="J59" s="1077"/>
      <c r="K59" s="1077"/>
      <c r="L59" s="1077"/>
      <c r="M59" s="348"/>
      <c r="N59" s="348"/>
      <c r="O59" s="348"/>
      <c r="P59" s="348"/>
      <c r="Q59" s="348"/>
      <c r="R59" s="348"/>
      <c r="S59" s="348"/>
      <c r="T59" s="348"/>
      <c r="U59" s="348"/>
      <c r="V59" s="348"/>
      <c r="W59" s="348"/>
      <c r="AD59" s="1077"/>
      <c r="AE59" s="1077"/>
      <c r="AF59" s="1077"/>
      <c r="AG59" s="1077"/>
      <c r="AH59" s="1077"/>
    </row>
    <row r="60" spans="1:34" s="1076" customFormat="1" ht="31.8" thickBot="1">
      <c r="A60" s="1077"/>
      <c r="B60" s="1084"/>
      <c r="C60" s="1677" t="s">
        <v>133</v>
      </c>
      <c r="D60" s="1678" t="s">
        <v>2255</v>
      </c>
      <c r="E60" s="1678" t="s">
        <v>2256</v>
      </c>
      <c r="F60" s="1678" t="s">
        <v>2257</v>
      </c>
      <c r="G60" s="1680" t="s">
        <v>102</v>
      </c>
      <c r="H60" s="1087"/>
      <c r="I60" s="1087"/>
      <c r="J60" s="1077"/>
      <c r="K60" s="1077"/>
      <c r="L60" s="1077"/>
      <c r="M60" s="348"/>
      <c r="N60" s="348"/>
      <c r="O60" s="348"/>
      <c r="P60" s="348"/>
      <c r="Q60" s="348"/>
      <c r="R60" s="348"/>
      <c r="S60" s="348"/>
      <c r="T60" s="348"/>
      <c r="U60" s="348"/>
      <c r="V60" s="348"/>
      <c r="W60" s="348"/>
      <c r="AD60" s="1077"/>
      <c r="AE60" s="1077"/>
      <c r="AF60" s="1077"/>
      <c r="AG60" s="1077"/>
      <c r="AH60" s="1077"/>
    </row>
    <row r="61" spans="1:34" s="1076" customFormat="1">
      <c r="A61" s="1077"/>
      <c r="B61" s="1084"/>
      <c r="C61" s="1692" t="s">
        <v>2258</v>
      </c>
      <c r="D61" s="1815">
        <v>0</v>
      </c>
      <c r="E61" s="1815">
        <v>0</v>
      </c>
      <c r="F61" s="1815">
        <v>0</v>
      </c>
      <c r="G61" s="1899">
        <f>D61*(E61+F61)</f>
        <v>0</v>
      </c>
      <c r="H61" s="1087"/>
      <c r="I61" s="1087"/>
      <c r="J61" s="1077"/>
      <c r="K61" s="1077"/>
      <c r="L61" s="1077"/>
      <c r="M61" s="348"/>
      <c r="N61" s="348"/>
      <c r="O61" s="348"/>
      <c r="P61" s="348"/>
      <c r="Q61" s="348"/>
      <c r="R61" s="348"/>
      <c r="S61" s="348"/>
      <c r="T61" s="348"/>
      <c r="U61" s="348"/>
      <c r="V61" s="348"/>
      <c r="W61" s="348"/>
      <c r="AD61" s="1077"/>
      <c r="AE61" s="1077"/>
      <c r="AF61" s="1077"/>
      <c r="AG61" s="1077"/>
      <c r="AH61" s="1077"/>
    </row>
    <row r="62" spans="1:34" s="1076" customFormat="1">
      <c r="A62" s="1077"/>
      <c r="B62" s="1084"/>
      <c r="C62" s="1683" t="s">
        <v>2259</v>
      </c>
      <c r="D62" s="1684">
        <v>0</v>
      </c>
      <c r="E62" s="1684">
        <v>0</v>
      </c>
      <c r="F62" s="1684">
        <v>0</v>
      </c>
      <c r="G62" s="1898">
        <f t="shared" ref="G62:G65" si="4">D62*(E62+F62)</f>
        <v>0</v>
      </c>
      <c r="H62" s="1087"/>
      <c r="I62" s="1087"/>
      <c r="J62" s="1077"/>
      <c r="K62" s="1077"/>
      <c r="L62" s="1077"/>
      <c r="M62" s="348"/>
      <c r="N62" s="348"/>
      <c r="O62" s="348"/>
      <c r="P62" s="348"/>
      <c r="Q62" s="348"/>
      <c r="R62" s="348"/>
      <c r="S62" s="348"/>
      <c r="T62" s="348"/>
      <c r="U62" s="348"/>
      <c r="V62" s="348"/>
      <c r="W62" s="348"/>
      <c r="AD62" s="1077"/>
      <c r="AE62" s="1077"/>
      <c r="AF62" s="1077"/>
      <c r="AG62" s="1077"/>
      <c r="AH62" s="1077"/>
    </row>
    <row r="63" spans="1:34" s="1076" customFormat="1">
      <c r="A63" s="1077"/>
      <c r="B63" s="1084"/>
      <c r="C63" s="1683" t="s">
        <v>2260</v>
      </c>
      <c r="D63" s="1684">
        <v>0</v>
      </c>
      <c r="E63" s="1684">
        <v>0</v>
      </c>
      <c r="F63" s="1684">
        <v>0</v>
      </c>
      <c r="G63" s="1898">
        <f t="shared" si="4"/>
        <v>0</v>
      </c>
      <c r="H63" s="1087"/>
      <c r="I63" s="1087"/>
      <c r="J63" s="1077"/>
      <c r="K63" s="1077"/>
      <c r="L63" s="1077"/>
      <c r="M63" s="348"/>
      <c r="N63" s="348"/>
      <c r="O63" s="348"/>
      <c r="P63" s="348"/>
      <c r="Q63" s="348"/>
      <c r="R63" s="348"/>
      <c r="S63" s="348"/>
      <c r="T63" s="348"/>
      <c r="U63" s="348"/>
      <c r="V63" s="348"/>
      <c r="W63" s="348"/>
      <c r="AD63" s="1077"/>
      <c r="AE63" s="1077"/>
      <c r="AF63" s="1077"/>
      <c r="AG63" s="1077"/>
      <c r="AH63" s="1077"/>
    </row>
    <row r="64" spans="1:34" s="1076" customFormat="1">
      <c r="A64" s="1077"/>
      <c r="B64" s="1084"/>
      <c r="C64" s="1683" t="s">
        <v>2261</v>
      </c>
      <c r="D64" s="1684">
        <v>0</v>
      </c>
      <c r="E64" s="1684">
        <v>0</v>
      </c>
      <c r="F64" s="1684">
        <v>0</v>
      </c>
      <c r="G64" s="1898">
        <f t="shared" si="4"/>
        <v>0</v>
      </c>
      <c r="H64" s="1087"/>
      <c r="I64" s="1087"/>
      <c r="J64" s="1077"/>
      <c r="K64" s="1077"/>
      <c r="L64" s="1077"/>
      <c r="M64" s="348"/>
      <c r="N64" s="348"/>
      <c r="O64" s="348"/>
      <c r="P64" s="348"/>
      <c r="Q64" s="348"/>
      <c r="R64" s="348"/>
      <c r="S64" s="348"/>
      <c r="T64" s="348"/>
      <c r="U64" s="348"/>
      <c r="V64" s="348"/>
      <c r="W64" s="348"/>
      <c r="AD64" s="1077"/>
      <c r="AE64" s="1077"/>
      <c r="AF64" s="1077"/>
      <c r="AG64" s="1077"/>
      <c r="AH64" s="1077"/>
    </row>
    <row r="65" spans="1:34" s="1076" customFormat="1" ht="16.2" thickBot="1">
      <c r="A65" s="1077"/>
      <c r="B65" s="1084"/>
      <c r="C65" s="1685" t="s">
        <v>2262</v>
      </c>
      <c r="D65" s="1686">
        <v>0</v>
      </c>
      <c r="E65" s="1686">
        <v>0</v>
      </c>
      <c r="F65" s="1686">
        <v>0</v>
      </c>
      <c r="G65" s="1917">
        <f t="shared" si="4"/>
        <v>0</v>
      </c>
      <c r="H65" s="1087"/>
      <c r="I65" s="1087"/>
      <c r="J65" s="1077"/>
      <c r="K65" s="1077"/>
      <c r="L65" s="1077"/>
      <c r="M65" s="348"/>
      <c r="N65" s="348"/>
      <c r="O65" s="348"/>
      <c r="P65" s="348"/>
      <c r="Q65" s="348"/>
      <c r="R65" s="348"/>
      <c r="S65" s="348"/>
      <c r="T65" s="348"/>
      <c r="U65" s="348"/>
      <c r="V65" s="348"/>
      <c r="W65" s="348"/>
      <c r="AD65" s="1077"/>
      <c r="AE65" s="1077"/>
      <c r="AF65" s="1077"/>
      <c r="AG65" s="1077"/>
      <c r="AH65" s="1077"/>
    </row>
    <row r="66" spans="1:34" s="1087" customFormat="1" ht="16.2" thickBot="1">
      <c r="A66" s="1077"/>
      <c r="B66" s="1084"/>
      <c r="C66" s="2178" t="s">
        <v>2263</v>
      </c>
      <c r="D66" s="2179"/>
      <c r="E66" s="2179"/>
      <c r="F66" s="2180"/>
      <c r="G66" s="1680">
        <f>SUM(G61:G65)</f>
        <v>0</v>
      </c>
      <c r="J66" s="1077"/>
      <c r="K66" s="1077"/>
      <c r="L66" s="1077"/>
      <c r="M66" s="348"/>
      <c r="N66" s="348"/>
      <c r="O66" s="348"/>
      <c r="P66" s="348"/>
      <c r="Q66" s="348"/>
      <c r="R66" s="348"/>
      <c r="S66" s="348"/>
      <c r="T66" s="348"/>
      <c r="U66" s="348"/>
      <c r="V66" s="348"/>
      <c r="W66" s="348"/>
      <c r="X66" s="1076"/>
      <c r="Y66" s="1076"/>
      <c r="Z66" s="1076"/>
      <c r="AA66" s="1076"/>
      <c r="AB66" s="1076"/>
      <c r="AC66" s="1076"/>
      <c r="AD66" s="1077"/>
      <c r="AE66" s="1077"/>
      <c r="AF66" s="1077"/>
      <c r="AG66" s="1077"/>
      <c r="AH66" s="1077"/>
    </row>
  </sheetData>
  <sheetProtection algorithmName="SHA-512" hashValue="Z3uMNv4zQlVU2GXMNc5XdPjHl0FVaVbVuWq+Nzc8Zr6km7bV9m61FVOEMj+LqnmKPjnoQ82xlFAFEOP99OD9EA==" saltValue="7pOdN+XgBJ/gqnCoatr8wA==" spinCount="100000" sheet="1" formatCells="0" formatColumns="0" formatRows="0" insertColumns="0" insertRows="0"/>
  <mergeCells count="67">
    <mergeCell ref="G54:J54"/>
    <mergeCell ref="G55:J55"/>
    <mergeCell ref="C66:F66"/>
    <mergeCell ref="G48:J48"/>
    <mergeCell ref="G49:J49"/>
    <mergeCell ref="G50:J50"/>
    <mergeCell ref="G51:J51"/>
    <mergeCell ref="G52:J52"/>
    <mergeCell ref="G53:J53"/>
    <mergeCell ref="B45:F45"/>
    <mergeCell ref="B29:B30"/>
    <mergeCell ref="C29:C30"/>
    <mergeCell ref="O29:O30"/>
    <mergeCell ref="B33:B34"/>
    <mergeCell ref="C33:C34"/>
    <mergeCell ref="O33:O34"/>
    <mergeCell ref="B37:F37"/>
    <mergeCell ref="L37:L43"/>
    <mergeCell ref="B40:B41"/>
    <mergeCell ref="C40:C41"/>
    <mergeCell ref="B43:F43"/>
    <mergeCell ref="O40:O41"/>
    <mergeCell ref="B24:B26"/>
    <mergeCell ref="C24:C26"/>
    <mergeCell ref="O24:O26"/>
    <mergeCell ref="B27:B28"/>
    <mergeCell ref="C27:C28"/>
    <mergeCell ref="O27:O28"/>
    <mergeCell ref="B19:B21"/>
    <mergeCell ref="C19:C21"/>
    <mergeCell ref="O19:O21"/>
    <mergeCell ref="B22:B23"/>
    <mergeCell ref="C22:C23"/>
    <mergeCell ref="O22:O23"/>
    <mergeCell ref="X9:Z9"/>
    <mergeCell ref="AA9:AC9"/>
    <mergeCell ref="L12:L36"/>
    <mergeCell ref="O9:O10"/>
    <mergeCell ref="N9:N10"/>
    <mergeCell ref="L5:L11"/>
    <mergeCell ref="O15:O16"/>
    <mergeCell ref="O17:O18"/>
    <mergeCell ref="B17:B18"/>
    <mergeCell ref="C17:C18"/>
    <mergeCell ref="P9:T9"/>
    <mergeCell ref="U9:W9"/>
    <mergeCell ref="L1:L3"/>
    <mergeCell ref="B4:C4"/>
    <mergeCell ref="D4:J4"/>
    <mergeCell ref="B15:B16"/>
    <mergeCell ref="C15:C16"/>
    <mergeCell ref="B5:C5"/>
    <mergeCell ref="D5:J5"/>
    <mergeCell ref="B6:C6"/>
    <mergeCell ref="D6:J6"/>
    <mergeCell ref="B1:C3"/>
    <mergeCell ref="D1:J3"/>
    <mergeCell ref="K10:K11"/>
    <mergeCell ref="B11:E11"/>
    <mergeCell ref="G10:G11"/>
    <mergeCell ref="H10:H11"/>
    <mergeCell ref="I10:I11"/>
    <mergeCell ref="J10:J11"/>
    <mergeCell ref="B9:B10"/>
    <mergeCell ref="C9:C10"/>
    <mergeCell ref="D9:F9"/>
    <mergeCell ref="G9:J9"/>
  </mergeCells>
  <dataValidations count="13">
    <dataValidation type="list" allowBlank="1" showInputMessage="1" showErrorMessage="1" promptTitle="Complexity" prompt="What is the estimated complexity of the if the Irrigation design?" sqref="F24:F28" xr:uid="{FB68EC2D-D2D5-4BAE-865D-D40037A00DC6}">
      <formula1>$U$10:$W$10</formula1>
    </dataValidation>
    <dataValidation type="list" allowBlank="1" showInputMessage="1" showErrorMessage="1" promptTitle="Complexity" prompt="What is the estimated complexity of the if the Hardscape design?" sqref="F29:F31" xr:uid="{C845488D-92B8-45BA-9F32-B8C334101802}">
      <formula1>$U$10:$W$10</formula1>
    </dataValidation>
    <dataValidation type="whole" allowBlank="1" showInputMessage="1" showErrorMessage="1" error="Enter 1 or 0._x000a_Yes=1_x000a_No=0" sqref="E38:E39 E14 E12 E19 E24 E29:E32" xr:uid="{848198C4-20C0-49DA-9159-969CA13DB651}">
      <formula1>0</formula1>
      <formula2>1</formula2>
    </dataValidation>
    <dataValidation type="whole" operator="greaterThanOrEqual" allowBlank="1" showInputMessage="1" showErrorMessage="1" error="Input a whole number greater or equal to zero." sqref="E13" xr:uid="{5007F592-921C-4092-8BDE-635C5D4A86E1}">
      <formula1>0</formula1>
    </dataValidation>
    <dataValidation type="decimal" operator="greaterThanOrEqual" allowBlank="1" showInputMessage="1" showErrorMessage="1" error="Input a positive number to an accuracy of 2 decimal places." sqref="E15:E18 E20:E23 E25:E28" xr:uid="{C814B3E6-DD29-416D-91B6-3D48B06E501E}">
      <formula1>0</formula1>
    </dataValidation>
    <dataValidation type="whole" operator="greaterThanOrEqual" allowBlank="1" showInputMessage="1" showErrorMessage="1" sqref="D56:E57 D61:G65 F56:F58 D49:F54 G55:G58" xr:uid="{FF550C7C-51DB-4021-96BA-F21012EFBDA4}">
      <formula1>0</formula1>
    </dataValidation>
    <dataValidation type="list" allowBlank="1" showInputMessage="1" showErrorMessage="1" promptTitle="Complexity" prompt="What is the complexity of setting up the design file (base files)? _x000a_Simple - Complete and current CADD files available_x000a_Standard - Partial CADD files available_x000a_Complex - No usable CADD files available " sqref="F14" xr:uid="{D6FEC939-9A80-479D-8B93-0B369216B777}">
      <formula1>$U$10:$W$10</formula1>
    </dataValidation>
    <dataValidation type="list" allowBlank="1" showInputMessage="1" showErrorMessage="1" promptTitle="Complexity" prompt="What is the complexity of the data collection for the project? _x000a_Simple - Rural corridors or limited access highways_x000a_Standard - Isolated or short urban corridors_x000a_Complex - Long urban corridors" sqref="F12" xr:uid="{04C0D17B-DB2A-400D-87F6-D4486A63D431}">
      <formula1>$U$10:$W$10</formula1>
    </dataValidation>
    <dataValidation type="whole" operator="greaterThanOrEqual" allowBlank="1" showInputMessage="1" showErrorMessage="1" error="Input a whole number greater than or equal to zero." sqref="E33:E35" xr:uid="{1361C7C6-0107-40D8-AC7A-E22EB766E899}">
      <formula1>0</formula1>
    </dataValidation>
    <dataValidation type="whole" allowBlank="1" showInputMessage="1" showErrorMessage="1" error="Input 1 or 0." sqref="E44" xr:uid="{BD695E41-8B78-40EA-BFC9-372E1C5C4060}">
      <formula1>0</formula1>
      <formula2>1</formula2>
    </dataValidation>
    <dataValidation type="list" allowBlank="1" showInputMessage="1" showErrorMessage="1" promptTitle="Complexity" prompt="What is the complexity of the Landscape Opportunity Plan? _x000a_" sqref="F17:F18" xr:uid="{0ED0DD90-BE49-493B-A7FB-E7CCE045AD39}">
      <formula1>$U$10:$W$10</formula1>
    </dataValidation>
    <dataValidation type="list" allowBlank="1" showInputMessage="1" showErrorMessage="1" prompt="What is the estimated complexity of the planting plan? (See Landscape Guidelines)" sqref="F11" xr:uid="{3C607706-9C4C-4D1C-885B-0043F195CB81}">
      <formula1>$Q$10:$S$10</formula1>
    </dataValidation>
    <dataValidation type="list" allowBlank="1" showInputMessage="1" showErrorMessage="1" sqref="F19:F23 F15:F16 F32:F34" xr:uid="{1B85E439-6FCC-41D9-A57D-85A23340B282}">
      <formula1>$Q$10:$S$10</formula1>
    </dataValidation>
  </dataValidations>
  <hyperlinks>
    <hyperlink ref="L4" r:id="rId1" display="Video Tutorial - A short webinar for the Drainage Plans tab" xr:uid="{8654EE46-F0E3-4543-B6FF-9A58360017A6}"/>
  </hyperlinks>
  <pageMargins left="0.7" right="0.7" top="0.75" bottom="0.75" header="0.3" footer="0.3"/>
  <pageSetup scale="47" fitToHeight="0" orientation="landscape"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A6F8-7E8C-4FA1-A252-52B740D655BE}">
  <sheetPr codeName="Sheet44">
    <pageSetUpPr autoPageBreaks="0" fitToPage="1"/>
  </sheetPr>
  <dimension ref="A1:AH30"/>
  <sheetViews>
    <sheetView showGridLines="0" showRuler="0" topLeftCell="B1" zoomScale="85" zoomScaleNormal="85" zoomScaleSheetLayoutView="55" workbookViewId="0">
      <selection activeCell="B1" sqref="B1:C3"/>
    </sheetView>
  </sheetViews>
  <sheetFormatPr defaultColWidth="9.109375" defaultRowHeight="15.6"/>
  <cols>
    <col min="1" max="1" width="12.5546875" style="1077" hidden="1" customWidth="1"/>
    <col min="2" max="2" width="6.88671875" style="1084" customWidth="1"/>
    <col min="3" max="3" width="50.77734375" style="1085" customWidth="1"/>
    <col min="4" max="4" width="14.77734375" style="1085" customWidth="1"/>
    <col min="5" max="5" width="14.77734375" style="1084" customWidth="1"/>
    <col min="6" max="6" width="16.109375" style="1086" customWidth="1"/>
    <col min="7" max="7" width="14.77734375" style="1086" customWidth="1"/>
    <col min="8" max="9" width="14.77734375" style="1087" customWidth="1"/>
    <col min="10" max="10" width="14.77734375" style="1077" customWidth="1"/>
    <col min="11" max="11" width="100.77734375" style="1077" customWidth="1"/>
    <col min="12" max="12" width="70.77734375" style="1077" customWidth="1"/>
    <col min="13" max="13" width="8.6640625" style="348" customWidth="1"/>
    <col min="14" max="14" width="15.5546875" style="348" customWidth="1"/>
    <col min="15" max="16" width="9.88671875" style="348" hidden="1" customWidth="1"/>
    <col min="17" max="23" width="12.77734375" style="348" hidden="1" customWidth="1"/>
    <col min="24" max="29" width="12.77734375" style="1076" hidden="1" customWidth="1"/>
    <col min="30" max="16384" width="9.109375" style="1077"/>
  </cols>
  <sheetData>
    <row r="1" spans="1:34" s="1075" customFormat="1" ht="15" customHeight="1">
      <c r="B1" s="2136" t="s">
        <v>592</v>
      </c>
      <c r="C1" s="2137"/>
      <c r="D1" s="2133" t="s">
        <v>1836</v>
      </c>
      <c r="E1" s="2133"/>
      <c r="F1" s="2133"/>
      <c r="G1" s="2133"/>
      <c r="H1" s="2133"/>
      <c r="I1" s="2133"/>
      <c r="J1" s="2133"/>
      <c r="K1" s="1055" t="str">
        <f>'Project Information'!B3</f>
        <v>Enter project name &amp; description</v>
      </c>
      <c r="L1" s="2120" t="s">
        <v>1819</v>
      </c>
      <c r="M1" s="1142"/>
      <c r="N1" s="1142"/>
      <c r="O1" s="1142"/>
      <c r="P1" s="1142"/>
      <c r="Q1" s="1143"/>
      <c r="R1" s="1143"/>
      <c r="S1" s="1143"/>
      <c r="T1" s="1143"/>
      <c r="U1" s="1142"/>
      <c r="V1" s="1142"/>
      <c r="W1" s="1142"/>
      <c r="X1" s="1147"/>
      <c r="Y1" s="1147"/>
      <c r="Z1" s="1147"/>
      <c r="AA1" s="1147"/>
      <c r="AB1" s="1147"/>
      <c r="AC1" s="1147"/>
    </row>
    <row r="2" spans="1:34" s="1075" customFormat="1" ht="15" customHeight="1">
      <c r="B2" s="2138"/>
      <c r="C2" s="2139"/>
      <c r="D2" s="2134"/>
      <c r="E2" s="2134"/>
      <c r="F2" s="2134"/>
      <c r="G2" s="2134"/>
      <c r="H2" s="2134"/>
      <c r="I2" s="2134"/>
      <c r="J2" s="2134"/>
      <c r="K2" s="1056" t="str">
        <f>'Project Information'!B1</f>
        <v>999999-1-32-01</v>
      </c>
      <c r="L2" s="2121"/>
      <c r="M2" s="1142"/>
      <c r="N2" s="1142"/>
      <c r="O2" s="1142"/>
      <c r="P2" s="1142"/>
      <c r="Q2" s="1143"/>
      <c r="R2" s="1143"/>
      <c r="S2" s="1143"/>
      <c r="T2" s="1143"/>
      <c r="U2" s="1142"/>
      <c r="V2" s="1142"/>
      <c r="W2" s="1142"/>
      <c r="X2" s="1147"/>
      <c r="Y2" s="1147"/>
      <c r="Z2" s="1147"/>
      <c r="AA2" s="1147"/>
      <c r="AB2" s="1147"/>
      <c r="AC2" s="1147"/>
    </row>
    <row r="3" spans="1:34" s="1058" customFormat="1" ht="15" customHeight="1" thickBot="1">
      <c r="B3" s="2140"/>
      <c r="C3" s="2141"/>
      <c r="D3" s="2135"/>
      <c r="E3" s="2135"/>
      <c r="F3" s="2135"/>
      <c r="G3" s="2135"/>
      <c r="H3" s="2135"/>
      <c r="I3" s="2135"/>
      <c r="J3" s="2135"/>
      <c r="K3" s="1057"/>
      <c r="L3" s="2122"/>
      <c r="M3" s="1146"/>
      <c r="N3" s="1146"/>
      <c r="O3" s="1146"/>
      <c r="P3" s="1146"/>
      <c r="Q3" s="1143"/>
      <c r="R3" s="1143"/>
      <c r="S3" s="1143"/>
      <c r="T3" s="1143"/>
      <c r="U3" s="1146"/>
      <c r="V3" s="1146"/>
      <c r="W3" s="1146"/>
      <c r="X3" s="1200"/>
      <c r="Y3" s="1200"/>
      <c r="Z3" s="1200"/>
      <c r="AA3" s="1200"/>
      <c r="AB3" s="1200"/>
      <c r="AC3" s="1200"/>
    </row>
    <row r="4" spans="1:34" s="1058" customFormat="1" ht="30" customHeight="1" thickBot="1">
      <c r="B4" s="2198" t="s">
        <v>1396</v>
      </c>
      <c r="C4" s="2199"/>
      <c r="D4" s="2200" t="s">
        <v>1397</v>
      </c>
      <c r="E4" s="2200"/>
      <c r="F4" s="2200"/>
      <c r="G4" s="2200"/>
      <c r="H4" s="2200"/>
      <c r="I4" s="2200"/>
      <c r="J4" s="2200"/>
      <c r="K4" s="1111" t="s">
        <v>1398</v>
      </c>
      <c r="L4" s="1580" t="s">
        <v>2625</v>
      </c>
      <c r="M4" s="1146"/>
      <c r="N4" s="1146"/>
      <c r="O4" s="1146"/>
      <c r="P4" s="1146"/>
      <c r="Q4" s="1143"/>
      <c r="R4" s="1143"/>
      <c r="S4" s="1143"/>
      <c r="T4" s="1143"/>
      <c r="U4" s="1146"/>
      <c r="V4" s="1146"/>
      <c r="W4" s="1146"/>
      <c r="X4" s="1200"/>
      <c r="Y4" s="1200"/>
      <c r="Z4" s="1200"/>
      <c r="AA4" s="1200"/>
      <c r="AB4" s="1200"/>
      <c r="AC4" s="1200"/>
    </row>
    <row r="5" spans="1:34" s="1058" customFormat="1" ht="30" customHeight="1">
      <c r="B5" s="2201" t="s">
        <v>1400</v>
      </c>
      <c r="C5" s="2202"/>
      <c r="D5" s="2203"/>
      <c r="E5" s="2203"/>
      <c r="F5" s="2203"/>
      <c r="G5" s="2203"/>
      <c r="H5" s="2203"/>
      <c r="I5" s="2203"/>
      <c r="J5" s="2203"/>
      <c r="K5" s="1059"/>
      <c r="L5" s="2195" t="s">
        <v>1820</v>
      </c>
      <c r="M5" s="1147"/>
      <c r="N5" s="1146"/>
      <c r="O5" s="1146"/>
      <c r="P5" s="1146"/>
      <c r="Q5" s="1201"/>
      <c r="R5" s="1201"/>
      <c r="S5" s="1201"/>
      <c r="T5" s="1201"/>
      <c r="U5" s="1146"/>
      <c r="V5" s="1146"/>
      <c r="W5" s="1146"/>
      <c r="X5" s="1200"/>
      <c r="Y5" s="1200"/>
      <c r="Z5" s="1200"/>
      <c r="AA5" s="1200"/>
      <c r="AB5" s="1200"/>
      <c r="AC5" s="1200"/>
    </row>
    <row r="6" spans="1:34" s="1058" customFormat="1" ht="30" customHeight="1" thickBot="1">
      <c r="B6" s="2204" t="s">
        <v>1399</v>
      </c>
      <c r="C6" s="2205"/>
      <c r="D6" s="2206"/>
      <c r="E6" s="2206"/>
      <c r="F6" s="2206"/>
      <c r="G6" s="2206"/>
      <c r="H6" s="2206"/>
      <c r="I6" s="2206"/>
      <c r="J6" s="2206"/>
      <c r="K6" s="1060"/>
      <c r="L6" s="2196"/>
      <c r="M6" s="1147"/>
      <c r="N6" s="1146"/>
      <c r="O6" s="1146"/>
      <c r="P6" s="1146"/>
      <c r="Q6" s="1201"/>
      <c r="R6" s="1201"/>
      <c r="S6" s="1201"/>
      <c r="T6" s="1201"/>
      <c r="U6" s="1146"/>
      <c r="V6" s="1146"/>
      <c r="W6" s="1146"/>
      <c r="X6" s="1200"/>
      <c r="Y6" s="1200"/>
      <c r="Z6" s="1200"/>
      <c r="AA6" s="1200"/>
      <c r="AB6" s="1200"/>
      <c r="AC6" s="1200"/>
    </row>
    <row r="7" spans="1:34" s="1058" customFormat="1" ht="15" customHeight="1">
      <c r="B7" s="1112" t="s">
        <v>1430</v>
      </c>
      <c r="C7" s="1182"/>
      <c r="D7" s="1183"/>
      <c r="E7" s="1183"/>
      <c r="F7" s="1183"/>
      <c r="G7" s="1183"/>
      <c r="H7" s="1183"/>
      <c r="I7" s="1183"/>
      <c r="J7" s="1183"/>
      <c r="K7" s="1184"/>
      <c r="L7" s="2196"/>
      <c r="M7" s="1147"/>
      <c r="N7" s="1146"/>
      <c r="O7" s="1146"/>
      <c r="P7" s="1146"/>
      <c r="Q7" s="1146"/>
      <c r="R7" s="1146"/>
      <c r="S7" s="1146"/>
      <c r="T7" s="1146"/>
      <c r="U7" s="1146"/>
      <c r="V7" s="1146"/>
      <c r="W7" s="1146"/>
      <c r="X7" s="1200"/>
      <c r="Y7" s="1200"/>
      <c r="Z7" s="1200"/>
      <c r="AA7" s="1200"/>
      <c r="AB7" s="1200"/>
      <c r="AC7" s="1200"/>
    </row>
    <row r="8" spans="1:34" s="1058" customFormat="1" ht="15" customHeight="1" thickBot="1">
      <c r="B8" s="1185"/>
      <c r="C8" s="1186"/>
      <c r="D8" s="1187"/>
      <c r="E8" s="1187"/>
      <c r="F8" s="1187"/>
      <c r="G8" s="1187"/>
      <c r="H8" s="1187"/>
      <c r="I8" s="1187"/>
      <c r="J8" s="1187"/>
      <c r="K8" s="1188"/>
      <c r="L8" s="2196"/>
      <c r="M8" s="1147"/>
      <c r="N8" s="1146"/>
      <c r="O8" s="1146"/>
      <c r="P8" s="1146"/>
      <c r="Q8" s="1146"/>
      <c r="R8" s="1146"/>
      <c r="S8" s="1146"/>
      <c r="T8" s="1146"/>
      <c r="U8" s="1146"/>
      <c r="V8" s="1146"/>
      <c r="W8" s="1146"/>
      <c r="X8" s="1200"/>
      <c r="Y8" s="1200"/>
      <c r="Z8" s="1200"/>
      <c r="AA8" s="1200"/>
      <c r="AB8" s="1200"/>
      <c r="AC8" s="1200"/>
      <c r="AD8" s="1103"/>
      <c r="AE8" s="1103"/>
      <c r="AF8" s="1103"/>
      <c r="AG8" s="1103"/>
      <c r="AH8" s="1103"/>
    </row>
    <row r="9" spans="1:34" s="1058" customFormat="1" ht="30" customHeight="1">
      <c r="B9" s="2226" t="s">
        <v>79</v>
      </c>
      <c r="C9" s="2228" t="s">
        <v>190</v>
      </c>
      <c r="D9" s="2157" t="s">
        <v>1821</v>
      </c>
      <c r="E9" s="2158"/>
      <c r="F9" s="2159"/>
      <c r="G9" s="2230" t="s">
        <v>1822</v>
      </c>
      <c r="H9" s="2230"/>
      <c r="I9" s="2230"/>
      <c r="J9" s="2230"/>
      <c r="K9" s="1120" t="s">
        <v>1823</v>
      </c>
      <c r="L9" s="2196"/>
      <c r="M9" s="1147"/>
      <c r="N9" s="1854"/>
      <c r="O9" s="2170" t="s">
        <v>190</v>
      </c>
      <c r="P9" s="2214" t="s">
        <v>1869</v>
      </c>
      <c r="Q9" s="2213"/>
      <c r="R9" s="2213"/>
      <c r="S9" s="2213"/>
      <c r="T9" s="2215"/>
      <c r="U9" s="2214" t="s">
        <v>1914</v>
      </c>
      <c r="V9" s="2213"/>
      <c r="W9" s="2215"/>
      <c r="X9" s="2214" t="s">
        <v>1960</v>
      </c>
      <c r="Y9" s="2213"/>
      <c r="Z9" s="2215"/>
      <c r="AA9" s="2214" t="s">
        <v>1862</v>
      </c>
      <c r="AB9" s="2213"/>
      <c r="AC9" s="2215"/>
      <c r="AD9" s="1103"/>
      <c r="AE9" s="1103"/>
      <c r="AF9" s="1103"/>
      <c r="AG9" s="1103"/>
      <c r="AH9" s="1103"/>
    </row>
    <row r="10" spans="1:34" s="1076" customFormat="1" ht="30" customHeight="1">
      <c r="B10" s="2227"/>
      <c r="C10" s="2229"/>
      <c r="D10" s="1879" t="s">
        <v>1824</v>
      </c>
      <c r="E10" s="1879" t="s">
        <v>87</v>
      </c>
      <c r="F10" s="1879" t="s">
        <v>1825</v>
      </c>
      <c r="G10" s="2177" t="s">
        <v>1826</v>
      </c>
      <c r="H10" s="2177" t="s">
        <v>1827</v>
      </c>
      <c r="I10" s="2177" t="s">
        <v>1196</v>
      </c>
      <c r="J10" s="2177" t="s">
        <v>1837</v>
      </c>
      <c r="K10" s="2207" t="s">
        <v>1829</v>
      </c>
      <c r="L10" s="2196"/>
      <c r="M10" s="1147"/>
      <c r="N10" s="1854"/>
      <c r="O10" s="2282"/>
      <c r="P10" s="1259" t="s">
        <v>1926</v>
      </c>
      <c r="Q10" s="1213" t="s">
        <v>1859</v>
      </c>
      <c r="R10" s="1213" t="s">
        <v>1860</v>
      </c>
      <c r="S10" s="1213" t="s">
        <v>1861</v>
      </c>
      <c r="T10" s="1214" t="s">
        <v>1927</v>
      </c>
      <c r="U10" s="1213" t="s">
        <v>1883</v>
      </c>
      <c r="V10" s="1213" t="s">
        <v>1833</v>
      </c>
      <c r="W10" s="1213" t="s">
        <v>1834</v>
      </c>
      <c r="X10" s="1259" t="s">
        <v>1928</v>
      </c>
      <c r="Y10" s="1213" t="s">
        <v>1929</v>
      </c>
      <c r="Z10" s="1213" t="s">
        <v>1930</v>
      </c>
      <c r="AA10" s="1259" t="s">
        <v>1931</v>
      </c>
      <c r="AB10" s="1213" t="s">
        <v>1932</v>
      </c>
      <c r="AC10" s="1214" t="s">
        <v>1933</v>
      </c>
      <c r="AD10" s="1103"/>
      <c r="AE10" s="1103"/>
      <c r="AF10" s="1103"/>
      <c r="AG10" s="1103"/>
      <c r="AH10" s="1103"/>
    </row>
    <row r="11" spans="1:34" s="1076" customFormat="1" ht="30" customHeight="1" thickBot="1">
      <c r="B11" s="2246" t="s">
        <v>2561</v>
      </c>
      <c r="C11" s="2247"/>
      <c r="D11" s="2247"/>
      <c r="E11" s="2266"/>
      <c r="F11" s="1887"/>
      <c r="G11" s="2209"/>
      <c r="H11" s="2209"/>
      <c r="I11" s="2209"/>
      <c r="J11" s="2209"/>
      <c r="K11" s="2208"/>
      <c r="L11" s="2197"/>
      <c r="M11" s="1147"/>
      <c r="N11" s="1201"/>
      <c r="O11" s="1647"/>
      <c r="P11" s="1648"/>
      <c r="Q11" s="1649"/>
      <c r="R11" s="1649"/>
      <c r="S11" s="1649"/>
      <c r="T11" s="1605"/>
      <c r="U11" s="1649"/>
      <c r="V11" s="1649"/>
      <c r="W11" s="1649"/>
      <c r="X11" s="1648"/>
      <c r="Y11" s="1649"/>
      <c r="Z11" s="1649"/>
      <c r="AA11" s="1648"/>
      <c r="AB11" s="1649"/>
      <c r="AC11" s="1605"/>
      <c r="AD11" s="1103"/>
      <c r="AE11" s="1103"/>
      <c r="AF11" s="1103"/>
      <c r="AG11" s="1103"/>
      <c r="AH11" s="1103"/>
    </row>
    <row r="12" spans="1:34" ht="30" customHeight="1">
      <c r="A12" s="1104" t="s">
        <v>1946</v>
      </c>
      <c r="B12" s="2216">
        <v>26.1</v>
      </c>
      <c r="C12" s="1189" t="s">
        <v>94</v>
      </c>
      <c r="D12" s="1210" t="s">
        <v>85</v>
      </c>
      <c r="E12" s="1212">
        <v>0</v>
      </c>
      <c r="F12" s="1557"/>
      <c r="G12" s="1070">
        <f>IF(E12=1,X12,0)</f>
        <v>0</v>
      </c>
      <c r="H12" s="1212">
        <v>0</v>
      </c>
      <c r="I12" s="1212">
        <v>0</v>
      </c>
      <c r="J12" s="1212">
        <v>0</v>
      </c>
      <c r="K12" s="1081"/>
      <c r="L12" s="2149" t="s">
        <v>1882</v>
      </c>
      <c r="M12" s="1142"/>
      <c r="N12" s="1207"/>
      <c r="O12" s="2279">
        <v>26.1</v>
      </c>
      <c r="P12" s="1155"/>
      <c r="Q12" s="1333"/>
      <c r="R12" s="1156"/>
      <c r="S12" s="1890"/>
      <c r="T12" s="1346"/>
      <c r="U12" s="1891"/>
      <c r="V12" s="1892"/>
      <c r="W12" s="1893"/>
      <c r="X12" s="1155">
        <v>4</v>
      </c>
      <c r="Y12" s="1350"/>
      <c r="Z12" s="1894"/>
      <c r="AA12" s="1155"/>
      <c r="AB12" s="1350"/>
      <c r="AC12" s="1895"/>
      <c r="AD12" s="1103"/>
      <c r="AE12" s="1103"/>
      <c r="AF12" s="1103"/>
      <c r="AG12" s="1103"/>
      <c r="AH12" s="1103"/>
    </row>
    <row r="13" spans="1:34" ht="30" customHeight="1">
      <c r="A13" s="1104" t="s">
        <v>1947</v>
      </c>
      <c r="B13" s="2217"/>
      <c r="C13" s="1190" t="s">
        <v>1838</v>
      </c>
      <c r="D13" s="1210" t="s">
        <v>85</v>
      </c>
      <c r="E13" s="1193">
        <v>0</v>
      </c>
      <c r="F13" s="1348"/>
      <c r="G13" s="1210">
        <f>IF(E12=1,IF(E13=1,X13,0),0)</f>
        <v>0</v>
      </c>
      <c r="H13" s="1211">
        <v>0</v>
      </c>
      <c r="I13" s="1211">
        <v>0</v>
      </c>
      <c r="J13" s="1211">
        <v>0</v>
      </c>
      <c r="K13" s="1217"/>
      <c r="L13" s="2150"/>
      <c r="M13" s="1142"/>
      <c r="N13" s="1207"/>
      <c r="O13" s="2280"/>
      <c r="P13" s="1245"/>
      <c r="Q13" s="1248"/>
      <c r="R13" s="1246"/>
      <c r="S13" s="1315"/>
      <c r="T13" s="1247"/>
      <c r="U13" s="1245"/>
      <c r="V13" s="1295"/>
      <c r="W13" s="1352"/>
      <c r="X13" s="1245">
        <v>2</v>
      </c>
      <c r="Y13" s="1250"/>
      <c r="Z13" s="1292"/>
      <c r="AA13" s="1245"/>
      <c r="AB13" s="1250"/>
      <c r="AC13" s="1251"/>
    </row>
    <row r="14" spans="1:34" ht="30" customHeight="1">
      <c r="A14" s="1104" t="s">
        <v>1948</v>
      </c>
      <c r="B14" s="1554">
        <v>26.2</v>
      </c>
      <c r="C14" s="1190" t="s">
        <v>2035</v>
      </c>
      <c r="D14" s="1192"/>
      <c r="E14" s="1192"/>
      <c r="F14" s="1192"/>
      <c r="G14" s="1192"/>
      <c r="H14" s="1192"/>
      <c r="I14" s="1192"/>
      <c r="J14" s="1192"/>
      <c r="K14" s="1217"/>
      <c r="L14" s="2150"/>
      <c r="M14" s="1142"/>
      <c r="N14" s="1207"/>
      <c r="O14" s="1149">
        <v>26.2</v>
      </c>
      <c r="P14" s="1150"/>
      <c r="Q14" s="1227"/>
      <c r="R14" s="1151"/>
      <c r="S14" s="1314"/>
      <c r="T14" s="1153"/>
      <c r="U14" s="1150"/>
      <c r="V14" s="1293"/>
      <c r="W14" s="1353"/>
      <c r="X14" s="1150"/>
      <c r="Y14" s="1230"/>
      <c r="Z14" s="1291"/>
      <c r="AA14" s="1150"/>
      <c r="AB14" s="1230"/>
      <c r="AC14" s="1231"/>
    </row>
    <row r="15" spans="1:34" ht="30" customHeight="1">
      <c r="A15" s="1104" t="s">
        <v>1949</v>
      </c>
      <c r="B15" s="1554">
        <v>26.3</v>
      </c>
      <c r="C15" s="1190" t="s">
        <v>229</v>
      </c>
      <c r="D15" s="1210" t="s">
        <v>85</v>
      </c>
      <c r="E15" s="1193">
        <v>0</v>
      </c>
      <c r="F15" s="1102"/>
      <c r="G15" s="1210">
        <f>IF(E15=1,IF(F15="Simple",U15,(IF(F15="Standard",V15,(IF(F15="Complex",W15,0))))),0)</f>
        <v>0</v>
      </c>
      <c r="H15" s="1193">
        <v>0</v>
      </c>
      <c r="I15" s="1193">
        <v>0</v>
      </c>
      <c r="J15" s="1193">
        <v>0</v>
      </c>
      <c r="K15" s="1217"/>
      <c r="L15" s="2150"/>
      <c r="M15" s="1142"/>
      <c r="N15" s="1207"/>
      <c r="O15" s="1149">
        <v>26.3</v>
      </c>
      <c r="P15" s="1150"/>
      <c r="Q15" s="1227"/>
      <c r="R15" s="1151"/>
      <c r="S15" s="1293"/>
      <c r="T15" s="1152"/>
      <c r="U15" s="1154">
        <v>6</v>
      </c>
      <c r="V15" s="1314">
        <v>9</v>
      </c>
      <c r="W15" s="1349">
        <v>12</v>
      </c>
      <c r="X15" s="1150"/>
      <c r="Y15" s="1151"/>
      <c r="Z15" s="1293"/>
      <c r="AA15" s="1150"/>
      <c r="AB15" s="1151"/>
      <c r="AC15" s="1152"/>
    </row>
    <row r="16" spans="1:34" ht="30" customHeight="1">
      <c r="A16" s="1104" t="s">
        <v>1950</v>
      </c>
      <c r="B16" s="1554">
        <v>26.4</v>
      </c>
      <c r="C16" s="1190" t="s">
        <v>1839</v>
      </c>
      <c r="D16" s="1210" t="s">
        <v>2791</v>
      </c>
      <c r="E16" s="1064">
        <v>0</v>
      </c>
      <c r="F16" s="1993" t="str">
        <f>IF($F$11=0,"",$F$11)</f>
        <v/>
      </c>
      <c r="G16" s="1210">
        <f>ROUNDUP((ROUND(E16,2))*(IF(F16="Low",Q16,(IF(F16="Mid",R16,(IF(F16="Upper",S16,0)))))),0)</f>
        <v>0</v>
      </c>
      <c r="H16" s="1193">
        <v>0</v>
      </c>
      <c r="I16" s="1193">
        <v>0</v>
      </c>
      <c r="J16" s="1193">
        <v>0</v>
      </c>
      <c r="K16" s="1217"/>
      <c r="L16" s="2150"/>
      <c r="M16" s="1142"/>
      <c r="N16" s="1207"/>
      <c r="O16" s="1149">
        <v>26.4</v>
      </c>
      <c r="P16" s="1150"/>
      <c r="Q16" s="1227">
        <v>2</v>
      </c>
      <c r="R16" s="1151">
        <v>4</v>
      </c>
      <c r="S16" s="1293">
        <v>6</v>
      </c>
      <c r="T16" s="1152"/>
      <c r="U16" s="1154"/>
      <c r="V16" s="1314"/>
      <c r="W16" s="1353"/>
      <c r="X16" s="1150"/>
      <c r="Y16" s="1230"/>
      <c r="Z16" s="1291"/>
      <c r="AA16" s="1150"/>
      <c r="AB16" s="1230"/>
      <c r="AC16" s="1231"/>
    </row>
    <row r="17" spans="1:29" ht="30" customHeight="1">
      <c r="A17" s="1104" t="s">
        <v>1951</v>
      </c>
      <c r="B17" s="1554">
        <v>26.5</v>
      </c>
      <c r="C17" s="1190" t="s">
        <v>1841</v>
      </c>
      <c r="D17" s="1210" t="s">
        <v>2792</v>
      </c>
      <c r="E17" s="1064">
        <v>0</v>
      </c>
      <c r="F17" s="1993" t="str">
        <f>IF($F$11=0,"",$F$11)</f>
        <v/>
      </c>
      <c r="G17" s="1210">
        <f>ROUNDUP((ROUND(E17,2))*(IF(F17="Low",Q17,(IF(F17="Mid",R17,(IF(F17="Upper",S17,0)))))),0)</f>
        <v>0</v>
      </c>
      <c r="H17" s="1193">
        <v>0</v>
      </c>
      <c r="I17" s="1193">
        <v>0</v>
      </c>
      <c r="J17" s="1193">
        <v>0</v>
      </c>
      <c r="K17" s="1217"/>
      <c r="L17" s="2150"/>
      <c r="M17" s="1142"/>
      <c r="N17" s="1207"/>
      <c r="O17" s="1149">
        <v>26.5</v>
      </c>
      <c r="P17" s="1150"/>
      <c r="Q17" s="1227">
        <v>2</v>
      </c>
      <c r="R17" s="1151">
        <v>4</v>
      </c>
      <c r="S17" s="1293">
        <v>6</v>
      </c>
      <c r="T17" s="1152"/>
      <c r="U17" s="1154"/>
      <c r="V17" s="1314"/>
      <c r="W17" s="1353"/>
      <c r="X17" s="1154"/>
      <c r="Y17" s="1230"/>
      <c r="Z17" s="1291"/>
      <c r="AA17" s="1154"/>
      <c r="AB17" s="1230"/>
      <c r="AC17" s="1231"/>
    </row>
    <row r="18" spans="1:29" ht="30" customHeight="1">
      <c r="A18" s="1104" t="s">
        <v>1952</v>
      </c>
      <c r="B18" s="1554">
        <v>26.6</v>
      </c>
      <c r="C18" s="1190" t="s">
        <v>2043</v>
      </c>
      <c r="D18" s="1210" t="s">
        <v>617</v>
      </c>
      <c r="E18" s="1064">
        <v>0</v>
      </c>
      <c r="F18" s="1348"/>
      <c r="G18" s="1615">
        <f>IF(E18=0,0,E18*X18)</f>
        <v>0</v>
      </c>
      <c r="H18" s="1193">
        <v>0</v>
      </c>
      <c r="I18" s="1193">
        <v>0</v>
      </c>
      <c r="J18" s="1193">
        <v>0</v>
      </c>
      <c r="K18" s="1217"/>
      <c r="L18" s="2150"/>
      <c r="M18" s="1142"/>
      <c r="N18" s="1207"/>
      <c r="O18" s="1149">
        <v>26.6</v>
      </c>
      <c r="P18" s="1150"/>
      <c r="Q18" s="1227"/>
      <c r="R18" s="1151"/>
      <c r="S18" s="1293"/>
      <c r="T18" s="1152"/>
      <c r="U18" s="1154"/>
      <c r="V18" s="1314"/>
      <c r="W18" s="1353"/>
      <c r="X18" s="1154">
        <v>4</v>
      </c>
      <c r="Y18" s="1230"/>
      <c r="Z18" s="1291"/>
      <c r="AA18" s="1154"/>
      <c r="AB18" s="1230"/>
      <c r="AC18" s="1231"/>
    </row>
    <row r="19" spans="1:29" ht="30" customHeight="1">
      <c r="A19" s="1104" t="s">
        <v>1953</v>
      </c>
      <c r="B19" s="1554">
        <v>26.7</v>
      </c>
      <c r="C19" s="1190" t="s">
        <v>1843</v>
      </c>
      <c r="D19" s="1210" t="s">
        <v>2791</v>
      </c>
      <c r="E19" s="1064">
        <v>0</v>
      </c>
      <c r="F19" s="1102"/>
      <c r="G19" s="1210">
        <f>ROUNDUP((ROUND(E19,2))*(IF(F19="Simple",U19,(IF(F19="Standard",V19,(IF(F19="Complex",W19,0)))))),0)</f>
        <v>0</v>
      </c>
      <c r="H19" s="1193">
        <v>0</v>
      </c>
      <c r="I19" s="1193">
        <v>0</v>
      </c>
      <c r="J19" s="1193">
        <v>0</v>
      </c>
      <c r="K19" s="1217"/>
      <c r="L19" s="2150"/>
      <c r="M19" s="1142"/>
      <c r="N19" s="1207"/>
      <c r="O19" s="1149">
        <v>26.7</v>
      </c>
      <c r="P19" s="1150"/>
      <c r="Q19" s="1227"/>
      <c r="R19" s="1151"/>
      <c r="S19" s="1293"/>
      <c r="T19" s="1152"/>
      <c r="U19" s="1154">
        <v>2</v>
      </c>
      <c r="V19" s="1314">
        <v>4</v>
      </c>
      <c r="W19" s="1349">
        <v>6</v>
      </c>
      <c r="X19" s="1154"/>
      <c r="Y19" s="1230"/>
      <c r="Z19" s="1291"/>
      <c r="AA19" s="1154"/>
      <c r="AB19" s="1230"/>
      <c r="AC19" s="1231"/>
    </row>
    <row r="20" spans="1:29" ht="30" customHeight="1">
      <c r="A20" s="1104" t="s">
        <v>1954</v>
      </c>
      <c r="B20" s="1554">
        <v>26.8</v>
      </c>
      <c r="C20" s="1190" t="s">
        <v>1844</v>
      </c>
      <c r="D20" s="1210" t="s">
        <v>2792</v>
      </c>
      <c r="E20" s="1064">
        <v>0</v>
      </c>
      <c r="F20" s="1102"/>
      <c r="G20" s="1210">
        <f>ROUNDUP((ROUND(E20,2))*(IF(F20="Simple",U20,(IF(F20="Standard",V20,(IF(F20="Complex",W20,0)))))),0)</f>
        <v>0</v>
      </c>
      <c r="H20" s="1193">
        <v>0</v>
      </c>
      <c r="I20" s="1193">
        <v>0</v>
      </c>
      <c r="J20" s="1193">
        <v>0</v>
      </c>
      <c r="K20" s="1217"/>
      <c r="L20" s="2150"/>
      <c r="M20" s="1142"/>
      <c r="N20" s="1207"/>
      <c r="O20" s="1149">
        <v>26.8</v>
      </c>
      <c r="P20" s="1150"/>
      <c r="Q20" s="1227"/>
      <c r="R20" s="1151"/>
      <c r="S20" s="1293"/>
      <c r="T20" s="1152"/>
      <c r="U20" s="1154">
        <v>2</v>
      </c>
      <c r="V20" s="1314">
        <v>4</v>
      </c>
      <c r="W20" s="1349">
        <v>6</v>
      </c>
      <c r="X20" s="1154"/>
      <c r="Y20" s="1230"/>
      <c r="Z20" s="1291"/>
      <c r="AA20" s="1154"/>
      <c r="AB20" s="1230"/>
      <c r="AC20" s="1231"/>
    </row>
    <row r="21" spans="1:29" ht="30" customHeight="1">
      <c r="A21" s="1104" t="s">
        <v>1955</v>
      </c>
      <c r="B21" s="1554">
        <v>26.9</v>
      </c>
      <c r="C21" s="1190" t="s">
        <v>2044</v>
      </c>
      <c r="D21" s="1210" t="s">
        <v>617</v>
      </c>
      <c r="E21" s="1064">
        <v>0</v>
      </c>
      <c r="F21" s="1348"/>
      <c r="G21" s="1615">
        <f>IF(E21=0,0,E21*X21)</f>
        <v>0</v>
      </c>
      <c r="H21" s="1193">
        <v>0</v>
      </c>
      <c r="I21" s="1193">
        <v>0</v>
      </c>
      <c r="J21" s="1193">
        <v>0</v>
      </c>
      <c r="K21" s="1217"/>
      <c r="L21" s="2150"/>
      <c r="M21" s="1142"/>
      <c r="N21" s="1207"/>
      <c r="O21" s="1149">
        <v>26.9</v>
      </c>
      <c r="P21" s="1150"/>
      <c r="Q21" s="1227"/>
      <c r="R21" s="1151"/>
      <c r="S21" s="1293"/>
      <c r="T21" s="1152"/>
      <c r="U21" s="1154"/>
      <c r="V21" s="1314"/>
      <c r="W21" s="1353"/>
      <c r="X21" s="1150">
        <v>4</v>
      </c>
      <c r="Y21" s="1230"/>
      <c r="Z21" s="1291"/>
      <c r="AA21" s="1150"/>
      <c r="AB21" s="1230"/>
      <c r="AC21" s="1231"/>
    </row>
    <row r="22" spans="1:29" s="1078" customFormat="1" ht="30" customHeight="1">
      <c r="A22" s="1104" t="s">
        <v>1956</v>
      </c>
      <c r="B22" s="1195">
        <v>26.1</v>
      </c>
      <c r="C22" s="1190" t="s">
        <v>2045</v>
      </c>
      <c r="D22" s="1194"/>
      <c r="E22" s="1193">
        <v>0</v>
      </c>
      <c r="F22" s="1102"/>
      <c r="G22" s="1210">
        <f>IF(E22=1,(IF(F22="Simple",U22,(IF(F22="Standard",V22,(IF(F22="Complex",W22,0)))))),0)</f>
        <v>0</v>
      </c>
      <c r="H22" s="1193">
        <v>0</v>
      </c>
      <c r="I22" s="1193">
        <v>0</v>
      </c>
      <c r="J22" s="1193">
        <v>0</v>
      </c>
      <c r="K22" s="1217"/>
      <c r="L22" s="2150"/>
      <c r="M22" s="1171"/>
      <c r="N22" s="1357"/>
      <c r="O22" s="1205">
        <v>26.1</v>
      </c>
      <c r="P22" s="1332"/>
      <c r="Q22" s="1228"/>
      <c r="R22" s="1206"/>
      <c r="S22" s="1314"/>
      <c r="T22" s="1153"/>
      <c r="U22" s="1154">
        <v>20</v>
      </c>
      <c r="V22" s="1314">
        <v>45</v>
      </c>
      <c r="W22" s="1354">
        <v>80</v>
      </c>
      <c r="X22" s="1150"/>
      <c r="Y22" s="1235"/>
      <c r="Z22" s="1294"/>
      <c r="AA22" s="1150"/>
      <c r="AB22" s="1235"/>
      <c r="AC22" s="1236"/>
    </row>
    <row r="23" spans="1:29" s="1078" customFormat="1" ht="30" customHeight="1" thickBot="1">
      <c r="A23" s="1104" t="s">
        <v>1957</v>
      </c>
      <c r="B23" s="1425">
        <v>26.11</v>
      </c>
      <c r="C23" s="1426" t="s">
        <v>2033</v>
      </c>
      <c r="D23" s="1427"/>
      <c r="E23" s="1241">
        <v>0</v>
      </c>
      <c r="F23" s="1428"/>
      <c r="G23" s="1210">
        <f>IF(E23=1,(IF(F23="Simple",U23,(IF(F23="Standard",V23,(IF(F23="Complex",W23,0)))))),0)</f>
        <v>0</v>
      </c>
      <c r="H23" s="1241">
        <v>0</v>
      </c>
      <c r="I23" s="1241">
        <v>0</v>
      </c>
      <c r="J23" s="1241">
        <v>0</v>
      </c>
      <c r="K23" s="1218"/>
      <c r="L23" s="2218"/>
      <c r="M23" s="1173"/>
      <c r="N23" s="1142"/>
      <c r="O23" s="1205">
        <v>26.11</v>
      </c>
      <c r="P23" s="1332"/>
      <c r="Q23" s="1228"/>
      <c r="R23" s="1206"/>
      <c r="S23" s="1314"/>
      <c r="T23" s="1153"/>
      <c r="U23" s="1154">
        <v>8</v>
      </c>
      <c r="V23" s="1314">
        <v>16</v>
      </c>
      <c r="W23" s="1314">
        <v>24</v>
      </c>
      <c r="X23" s="1150"/>
      <c r="Y23" s="1235"/>
      <c r="Z23" s="1294"/>
      <c r="AA23" s="1150"/>
      <c r="AB23" s="1235"/>
      <c r="AC23" s="1236"/>
    </row>
    <row r="24" spans="1:29" ht="30" customHeight="1" thickBot="1">
      <c r="B24" s="2183" t="s">
        <v>1687</v>
      </c>
      <c r="C24" s="2184"/>
      <c r="D24" s="2184"/>
      <c r="E24" s="2184"/>
      <c r="F24" s="2185"/>
      <c r="G24" s="1130">
        <f>SUM(G12:G23)</f>
        <v>0</v>
      </c>
      <c r="H24" s="1130">
        <f>SUM(H12:H23)</f>
        <v>0</v>
      </c>
      <c r="I24" s="1130">
        <f>SUM(I12:I23)</f>
        <v>0</v>
      </c>
      <c r="J24" s="1083">
        <f>SUM(J12:J23)</f>
        <v>0</v>
      </c>
      <c r="K24" s="1429"/>
      <c r="L24" s="2189"/>
      <c r="M24" s="1173"/>
      <c r="N24" s="1142"/>
      <c r="O24" s="1142"/>
      <c r="P24" s="1144"/>
      <c r="Q24" s="1207"/>
      <c r="R24" s="1207"/>
      <c r="S24" s="1207"/>
      <c r="T24" s="1207"/>
      <c r="U24" s="1144"/>
      <c r="V24" s="1144"/>
      <c r="W24" s="1144"/>
      <c r="X24" s="1234"/>
      <c r="Y24" s="1234"/>
      <c r="Z24" s="1234"/>
      <c r="AA24" s="1234"/>
      <c r="AB24" s="1234"/>
      <c r="AC24" s="1356"/>
    </row>
    <row r="25" spans="1:29" ht="30" customHeight="1">
      <c r="A25" s="1104" t="s">
        <v>1958</v>
      </c>
      <c r="B25" s="1134">
        <v>26.12</v>
      </c>
      <c r="C25" s="1189" t="s">
        <v>307</v>
      </c>
      <c r="D25" s="1070" t="s">
        <v>878</v>
      </c>
      <c r="E25" s="1211">
        <v>1</v>
      </c>
      <c r="F25" s="1347">
        <v>0.05</v>
      </c>
      <c r="G25" s="1578">
        <f>IF($E25=0,0,ROUNDUP($F25*G24,0))</f>
        <v>0</v>
      </c>
      <c r="H25" s="1578">
        <f>IF($E25=0,0,ROUNDUP($F25*H24,0))</f>
        <v>0</v>
      </c>
      <c r="I25" s="1578">
        <f>IF($E25=0,0,ROUNDUP($F25*I24,0))</f>
        <v>0</v>
      </c>
      <c r="J25" s="1065">
        <f>IF($E25=0,0,ROUNDUP($F25*J24,0))</f>
        <v>0</v>
      </c>
      <c r="K25" s="1081"/>
      <c r="L25" s="2190"/>
      <c r="M25" s="1173"/>
      <c r="N25" s="1142"/>
      <c r="O25" s="1205">
        <v>26.12</v>
      </c>
      <c r="P25" s="1332"/>
      <c r="Q25" s="1228"/>
      <c r="R25" s="1206"/>
      <c r="S25" s="1314"/>
      <c r="T25" s="1153"/>
      <c r="U25" s="1154"/>
      <c r="V25" s="1314"/>
      <c r="W25" s="1355"/>
      <c r="X25" s="1150"/>
      <c r="Y25" s="1235"/>
      <c r="Z25" s="1294"/>
      <c r="AA25" s="1150"/>
      <c r="AB25" s="1235"/>
      <c r="AC25" s="1236"/>
    </row>
    <row r="26" spans="1:29" ht="30" customHeight="1" thickBot="1">
      <c r="A26" s="1104" t="s">
        <v>1959</v>
      </c>
      <c r="B26" s="1135">
        <v>26.13</v>
      </c>
      <c r="C26" s="1197" t="s">
        <v>169</v>
      </c>
      <c r="D26" s="1071" t="s">
        <v>878</v>
      </c>
      <c r="E26" s="1211">
        <v>1</v>
      </c>
      <c r="F26" s="1560">
        <v>0.05</v>
      </c>
      <c r="G26" s="1559">
        <f>IF($E26=0,0,ROUNDUP($F26*G24,0))</f>
        <v>0</v>
      </c>
      <c r="H26" s="1559">
        <f>IF($E26=0,0,ROUNDUP($F26*H24,0))</f>
        <v>0</v>
      </c>
      <c r="I26" s="1559">
        <f>IF($E26=0,0,ROUNDUP($F26*I24,0))</f>
        <v>0</v>
      </c>
      <c r="J26" s="1065">
        <f>IF($E26=0,0,ROUNDUP($F26*J24,0))</f>
        <v>0</v>
      </c>
      <c r="K26" s="1082"/>
      <c r="L26" s="2190"/>
      <c r="M26" s="1173"/>
      <c r="N26" s="1142"/>
      <c r="O26" s="1205">
        <v>26.13</v>
      </c>
      <c r="P26" s="1332"/>
      <c r="Q26" s="1228"/>
      <c r="R26" s="1206"/>
      <c r="S26" s="1314"/>
      <c r="T26" s="1153"/>
      <c r="U26" s="1154"/>
      <c r="V26" s="1314"/>
      <c r="W26" s="1355"/>
      <c r="X26" s="1150"/>
      <c r="Y26" s="1235"/>
      <c r="Z26" s="1294"/>
      <c r="AA26" s="1150"/>
      <c r="AB26" s="1235"/>
      <c r="AC26" s="1236"/>
    </row>
    <row r="27" spans="1:29" ht="30" customHeight="1" thickBot="1">
      <c r="B27" s="2183" t="s">
        <v>1688</v>
      </c>
      <c r="C27" s="2184"/>
      <c r="D27" s="2184"/>
      <c r="E27" s="2184"/>
      <c r="F27" s="2185"/>
      <c r="G27" s="1132">
        <f>SUM(G24:G26)</f>
        <v>0</v>
      </c>
      <c r="H27" s="1132">
        <f>SUM(H24:H26)</f>
        <v>0</v>
      </c>
      <c r="I27" s="1132">
        <f>SUM(I24:I26)</f>
        <v>0</v>
      </c>
      <c r="J27" s="1132">
        <f>SUM(J24:J26)</f>
        <v>0</v>
      </c>
      <c r="K27" s="1199"/>
      <c r="L27" s="2191"/>
      <c r="M27" s="1142"/>
      <c r="N27" s="1142"/>
      <c r="O27" s="1142"/>
      <c r="P27" s="1142"/>
      <c r="Q27" s="1142"/>
      <c r="R27" s="1142"/>
      <c r="S27" s="1142"/>
      <c r="T27" s="1142"/>
      <c r="U27" s="1142"/>
      <c r="V27" s="1142"/>
      <c r="W27" s="1142"/>
      <c r="X27" s="1203"/>
      <c r="Y27" s="1203"/>
      <c r="Z27" s="1203"/>
      <c r="AA27" s="1203"/>
      <c r="AB27" s="1203"/>
      <c r="AC27" s="1203"/>
    </row>
    <row r="28" spans="1:29">
      <c r="J28" s="1140" t="s">
        <v>1858</v>
      </c>
    </row>
    <row r="30" spans="1:29">
      <c r="A30" s="1077" t="s">
        <v>2027</v>
      </c>
    </row>
  </sheetData>
  <sheetProtection algorithmName="SHA-512" hashValue="uV6YUqOsVg03pBnQNG5OB79PaNZ4RAMHqFafB6waCQYlh8pJCsXuTdxK9LfA2HI7Ufx+rLVs3vgrFdUP1n48+g==" saltValue="sdFAuQgW0EVBgsna6Roi6g==" spinCount="100000" sheet="1" formatCells="0" formatColumns="0" formatRows="0" insertColumns="0" insertRows="0"/>
  <mergeCells count="31">
    <mergeCell ref="K10:K11"/>
    <mergeCell ref="L5:L11"/>
    <mergeCell ref="L12:L23"/>
    <mergeCell ref="X9:Z9"/>
    <mergeCell ref="AA9:AC9"/>
    <mergeCell ref="U9:W9"/>
    <mergeCell ref="P9:T9"/>
    <mergeCell ref="O9:O10"/>
    <mergeCell ref="O12:O13"/>
    <mergeCell ref="B5:C5"/>
    <mergeCell ref="D5:J5"/>
    <mergeCell ref="B6:C6"/>
    <mergeCell ref="D6:J6"/>
    <mergeCell ref="B1:C3"/>
    <mergeCell ref="D1:J3"/>
    <mergeCell ref="L1:L3"/>
    <mergeCell ref="B4:C4"/>
    <mergeCell ref="D4:J4"/>
    <mergeCell ref="B24:F24"/>
    <mergeCell ref="L24:L27"/>
    <mergeCell ref="B12:B13"/>
    <mergeCell ref="B9:B10"/>
    <mergeCell ref="C9:C10"/>
    <mergeCell ref="D9:F9"/>
    <mergeCell ref="G9:J9"/>
    <mergeCell ref="B27:F27"/>
    <mergeCell ref="B11:E11"/>
    <mergeCell ref="G10:G11"/>
    <mergeCell ref="H10:H11"/>
    <mergeCell ref="I10:I11"/>
    <mergeCell ref="J10:J11"/>
  </mergeCells>
  <phoneticPr fontId="51" type="noConversion"/>
  <dataValidations xWindow="786" yWindow="902" count="10">
    <dataValidation type="whole" operator="greaterThanOrEqual" allowBlank="1" showInputMessage="1" showErrorMessage="1" error="Input a whole number greater or equal to zero." sqref="E21 E18" xr:uid="{DE264D2E-AD80-4490-A3AE-814D3A634519}">
      <formula1>0</formula1>
    </dataValidation>
    <dataValidation type="list" allowBlank="1" showInputMessage="1" showErrorMessage="1" promptTitle="Complexity" prompt="What is the estimated complexity of the linear irrigation plans?" sqref="F19:F20" xr:uid="{87AF6FE1-2C63-47B7-B6A5-DCCE5EAD6ABD}">
      <formula1>$U$10:$W$10</formula1>
    </dataValidation>
    <dataValidation type="whole" allowBlank="1" showInputMessage="1" showErrorMessage="1" error="Enter 1 or 0._x000a_Yes=1_x000a_No=0" sqref="E15 E12 E25:E26 E22:E23" xr:uid="{556F9B5E-C823-49DE-9A1A-D9A1D2A186C7}">
      <formula1>0</formula1>
      <formula2>1</formula2>
    </dataValidation>
    <dataValidation type="list" allowBlank="1" showInputMessage="1" showErrorMessage="1" promptTitle="Complexity" prompt="What is the estimated complexity of the maintenance plans?" sqref="F23" xr:uid="{F5EA6958-53F6-4382-8838-163326762D95}">
      <formula1>$U$10:$W$10</formula1>
    </dataValidation>
    <dataValidation type="list" allowBlank="1" showInputMessage="1" showErrorMessage="1" promptTitle="Complexity" prompt="What is the estimated complexity of the Hardscpe Plan? _x000a_Hours includes necessary details and notes." sqref="F22" xr:uid="{BED2E8EC-9B81-4341-93D0-2C01310311C5}">
      <formula1>$U$10:$W$10</formula1>
    </dataValidation>
    <dataValidation type="list" allowBlank="1" showInputMessage="1" showErrorMessage="1" promptTitle="Complexity" prompt="What is the estimated complexity of the General Notes/Pay Item Notes Sheet?" sqref="F15" xr:uid="{8D3FB20B-720E-48DC-ADAC-43522DFE7E26}">
      <formula1>$U$10:$W$10</formula1>
    </dataValidation>
    <dataValidation type="whole" allowBlank="1" showInputMessage="1" showErrorMessage="1" error="Enter 1 or 0._x000a_Yes=1_x000a_No=2" sqref="E13" xr:uid="{1630AEA6-C732-4345-87C2-5253053C29D6}">
      <formula1>0</formula1>
      <formula2>1</formula2>
    </dataValidation>
    <dataValidation type="list" allowBlank="1" showInputMessage="1" showErrorMessage="1" prompt="What is the estimated complexity of the planting plan? (See Landscape Guidelines)" sqref="F11" xr:uid="{D9D1F534-0A94-483E-8832-F38E4288015C}">
      <formula1>$Q$10:$S$10</formula1>
    </dataValidation>
    <dataValidation type="whole" operator="greaterThanOrEqual" allowBlank="1" showInputMessage="1" showErrorMessage="1" error="Input a positive whole number." sqref="E16:E17 E19:E20" xr:uid="{50C87D48-5C71-44C7-9CA4-87D146FC797D}">
      <formula1>0</formula1>
    </dataValidation>
    <dataValidation type="list" allowBlank="1" showInputMessage="1" showErrorMessage="1" sqref="F16:F17" xr:uid="{139BC2EE-6C2A-4079-AFC0-AF97F0983952}">
      <formula1>$Q$10:$S$10</formula1>
    </dataValidation>
  </dataValidations>
  <hyperlinks>
    <hyperlink ref="L4" r:id="rId1" display="Video Tutorial - A short webinar for the Drainage Plans tab" xr:uid="{4DD8FAEC-0C70-4356-919F-F33EA763A8CA}"/>
  </hyperlinks>
  <printOptions horizontalCentered="1"/>
  <pageMargins left="0.5" right="0.5" top="1" bottom="1" header="0.5" footer="0.34"/>
  <pageSetup scale="49" orientation="landscape" r:id="rId2"/>
  <headerFooter alignWithMargins="0">
    <oddHeader>&amp;C&amp;"Arial,Bold"&amp;14&amp;U&amp;A</oddHeader>
    <oddFooter>&amp;L&amp;F
&amp;A&amp;CPage &amp;P of &amp;N&amp;R&amp;D</oddFooter>
  </headerFooter>
  <legacyDrawing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N47"/>
  <sheetViews>
    <sheetView showGridLines="0" zoomScaleNormal="100" zoomScaleSheetLayoutView="100" workbookViewId="0"/>
  </sheetViews>
  <sheetFormatPr defaultColWidth="9.109375" defaultRowHeight="13.2"/>
  <cols>
    <col min="1" max="1" width="118.33203125" style="170" customWidth="1"/>
    <col min="2" max="2" width="118.33203125" style="903" customWidth="1"/>
    <col min="3" max="16384" width="9.109375" style="136"/>
  </cols>
  <sheetData>
    <row r="1" spans="1:14" ht="26.4">
      <c r="A1" s="921" t="s">
        <v>2600</v>
      </c>
    </row>
    <row r="2" spans="1:14">
      <c r="N2" s="136" t="s">
        <v>400</v>
      </c>
    </row>
    <row r="3" spans="1:14" ht="26.4">
      <c r="A3" s="170" t="s">
        <v>1452</v>
      </c>
    </row>
    <row r="5" spans="1:14" ht="39.6">
      <c r="A5" s="904" t="s">
        <v>1453</v>
      </c>
    </row>
    <row r="6" spans="1:14">
      <c r="A6" s="904"/>
    </row>
    <row r="7" spans="1:14" ht="79.2">
      <c r="A7" s="170" t="s">
        <v>1523</v>
      </c>
      <c r="B7" s="170"/>
    </row>
    <row r="8" spans="1:14">
      <c r="A8" s="904"/>
    </row>
    <row r="9" spans="1:14" ht="39.6">
      <c r="A9" s="904" t="s">
        <v>1212</v>
      </c>
      <c r="B9" s="904"/>
    </row>
    <row r="10" spans="1:14">
      <c r="A10" s="904"/>
    </row>
    <row r="11" spans="1:14">
      <c r="A11" s="904" t="s">
        <v>2624</v>
      </c>
    </row>
    <row r="12" spans="1:14">
      <c r="A12" s="904"/>
    </row>
    <row r="13" spans="1:14" ht="14.4">
      <c r="A13" s="905" t="s">
        <v>1321</v>
      </c>
      <c r="B13" s="906"/>
    </row>
    <row r="14" spans="1:14" s="909" customFormat="1">
      <c r="A14" s="907"/>
      <c r="B14" s="908"/>
    </row>
    <row r="15" spans="1:14" ht="14.4">
      <c r="A15" s="910" t="s">
        <v>1322</v>
      </c>
      <c r="B15" s="911"/>
    </row>
    <row r="16" spans="1:14" ht="14.4">
      <c r="A16" s="910" t="s">
        <v>1323</v>
      </c>
      <c r="B16" s="911"/>
    </row>
    <row r="17" spans="1:1">
      <c r="A17" s="910" t="s">
        <v>1324</v>
      </c>
    </row>
    <row r="18" spans="1:1">
      <c r="A18" s="910" t="s">
        <v>1325</v>
      </c>
    </row>
    <row r="19" spans="1:1">
      <c r="A19" s="910" t="s">
        <v>1326</v>
      </c>
    </row>
    <row r="20" spans="1:1">
      <c r="A20" s="912"/>
    </row>
    <row r="21" spans="1:1">
      <c r="A21" s="905" t="s">
        <v>1327</v>
      </c>
    </row>
    <row r="22" spans="1:1">
      <c r="A22" s="913"/>
    </row>
    <row r="23" spans="1:1">
      <c r="A23" s="910" t="s">
        <v>1328</v>
      </c>
    </row>
    <row r="24" spans="1:1">
      <c r="A24" s="910" t="s">
        <v>1329</v>
      </c>
    </row>
    <row r="25" spans="1:1">
      <c r="A25" s="910" t="s">
        <v>1330</v>
      </c>
    </row>
    <row r="26" spans="1:1">
      <c r="A26" s="910" t="s">
        <v>1331</v>
      </c>
    </row>
    <row r="27" spans="1:1">
      <c r="A27" s="910" t="s">
        <v>1527</v>
      </c>
    </row>
    <row r="28" spans="1:1" ht="26.4">
      <c r="A28" s="910" t="s">
        <v>1524</v>
      </c>
    </row>
    <row r="29" spans="1:1" ht="26.4">
      <c r="A29" s="910" t="s">
        <v>1454</v>
      </c>
    </row>
    <row r="30" spans="1:1">
      <c r="A30" s="910" t="s">
        <v>1525</v>
      </c>
    </row>
    <row r="31" spans="1:1">
      <c r="A31" s="910" t="s">
        <v>1455</v>
      </c>
    </row>
    <row r="32" spans="1:1" ht="26.4">
      <c r="A32" s="910" t="s">
        <v>1526</v>
      </c>
    </row>
    <row r="33" spans="1:1">
      <c r="A33" s="904"/>
    </row>
    <row r="34" spans="1:1">
      <c r="A34" s="905" t="s">
        <v>1188</v>
      </c>
    </row>
    <row r="35" spans="1:1">
      <c r="A35" s="904"/>
    </row>
    <row r="36" spans="1:1" ht="26.4">
      <c r="A36" s="910" t="s">
        <v>1528</v>
      </c>
    </row>
    <row r="37" spans="1:1" ht="26.4">
      <c r="A37" s="910" t="s">
        <v>1529</v>
      </c>
    </row>
    <row r="38" spans="1:1" ht="26.4">
      <c r="A38" s="910" t="s">
        <v>1530</v>
      </c>
    </row>
    <row r="39" spans="1:1" ht="26.4">
      <c r="A39" s="910" t="s">
        <v>1531</v>
      </c>
    </row>
    <row r="40" spans="1:1" ht="26.4">
      <c r="A40" s="910" t="s">
        <v>1532</v>
      </c>
    </row>
    <row r="41" spans="1:1" ht="26.4">
      <c r="A41" s="910" t="s">
        <v>1533</v>
      </c>
    </row>
    <row r="42" spans="1:1">
      <c r="A42" s="904"/>
    </row>
    <row r="43" spans="1:1">
      <c r="A43" s="905" t="s">
        <v>1332</v>
      </c>
    </row>
    <row r="44" spans="1:1">
      <c r="A44" s="904"/>
    </row>
    <row r="45" spans="1:1" ht="26.4">
      <c r="A45" s="910" t="s">
        <v>1534</v>
      </c>
    </row>
    <row r="46" spans="1:1">
      <c r="A46" s="910" t="s">
        <v>1535</v>
      </c>
    </row>
    <row r="47" spans="1:1" ht="26.4">
      <c r="A47" s="910" t="s">
        <v>1536</v>
      </c>
    </row>
  </sheetData>
  <pageMargins left="0.5" right="0.5" top="1" bottom="1" header="0.5" footer="0.34"/>
  <pageSetup orientation="landscape" r:id="rId1"/>
  <headerFooter alignWithMargins="0">
    <oddHeader>&amp;C&amp;"Arial,Bold"&amp;14&amp;U&amp;A</oddHeader>
    <oddFooter>&amp;L&amp;F
&amp;A&amp;CPage &amp;P of &amp;N&amp;R&amp;D</oddFooter>
  </headerFooter>
  <rowBreaks count="2" manualBreakCount="2">
    <brk id="16" man="1"/>
    <brk id="47"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pageSetUpPr fitToPage="1"/>
  </sheetPr>
  <dimension ref="A1:M127"/>
  <sheetViews>
    <sheetView showGridLines="0" zoomScale="85" zoomScaleNormal="85" zoomScaleSheetLayoutView="85" workbookViewId="0">
      <selection sqref="A1:B1"/>
    </sheetView>
  </sheetViews>
  <sheetFormatPr defaultColWidth="9.109375" defaultRowHeight="16.2"/>
  <cols>
    <col min="1" max="1" width="6.33203125" style="593" customWidth="1"/>
    <col min="2" max="2" width="40.6640625" style="3" customWidth="1"/>
    <col min="3" max="4" width="10.6640625" style="3" customWidth="1"/>
    <col min="5" max="5" width="12.6640625" style="3" customWidth="1"/>
    <col min="6" max="6" width="10.6640625" style="3" customWidth="1"/>
    <col min="7" max="7" width="12.6640625" style="3" customWidth="1"/>
    <col min="8" max="8" width="10.6640625" style="3" customWidth="1"/>
    <col min="9" max="9" width="12.6640625" style="3" customWidth="1"/>
    <col min="10" max="10" width="10.6640625" style="3" customWidth="1"/>
    <col min="11" max="11" width="75.6640625" style="3" customWidth="1"/>
    <col min="12" max="16384" width="9.109375" style="3"/>
  </cols>
  <sheetData>
    <row r="1" spans="1:13" s="288" customFormat="1" ht="20.100000000000001" customHeight="1">
      <c r="A1" s="2575" t="s">
        <v>595</v>
      </c>
      <c r="B1" s="2576"/>
      <c r="C1" s="422"/>
      <c r="D1" s="541"/>
      <c r="F1" s="422"/>
      <c r="G1" s="422"/>
      <c r="H1" s="422"/>
      <c r="I1" s="422"/>
      <c r="J1" s="422"/>
      <c r="K1" s="897" t="str">
        <f>'Project Information'!$B$3</f>
        <v>Enter project name &amp; description</v>
      </c>
    </row>
    <row r="2" spans="1:13" s="288" customFormat="1" ht="20.100000000000001" customHeight="1">
      <c r="A2" s="362"/>
      <c r="B2" s="422"/>
      <c r="C2" s="422"/>
      <c r="D2" s="541"/>
      <c r="E2" s="422"/>
      <c r="F2" s="422"/>
      <c r="G2" s="422"/>
      <c r="H2" s="422"/>
      <c r="I2" s="422"/>
      <c r="J2" s="422"/>
      <c r="K2" s="897" t="str">
        <f>'Project Information'!$B$1</f>
        <v>999999-1-32-01</v>
      </c>
    </row>
    <row r="3" spans="1:13" s="225" customFormat="1" ht="14.4" thickBot="1">
      <c r="A3" s="395"/>
      <c r="B3" s="270"/>
    </row>
    <row r="4" spans="1:13" s="225" customFormat="1" ht="28.5" customHeight="1" thickBot="1">
      <c r="A4" s="2086" t="s">
        <v>1396</v>
      </c>
      <c r="B4" s="2087"/>
      <c r="C4" s="2088" t="s">
        <v>1397</v>
      </c>
      <c r="D4" s="2088"/>
      <c r="E4" s="2088"/>
      <c r="F4" s="2088"/>
      <c r="G4" s="2088"/>
      <c r="H4" s="2088"/>
      <c r="I4" s="2088"/>
      <c r="J4" s="2088" t="s">
        <v>1398</v>
      </c>
      <c r="K4" s="2448"/>
    </row>
    <row r="5" spans="1:13" s="225" customFormat="1" ht="28.5" customHeight="1">
      <c r="A5" s="2089" t="s">
        <v>1400</v>
      </c>
      <c r="B5" s="2090"/>
      <c r="C5" s="2091"/>
      <c r="D5" s="2091"/>
      <c r="E5" s="2091"/>
      <c r="F5" s="2091"/>
      <c r="G5" s="2091"/>
      <c r="H5" s="2091"/>
      <c r="I5" s="2091"/>
      <c r="J5" s="2091"/>
      <c r="K5" s="2447"/>
    </row>
    <row r="6" spans="1:13" s="225" customFormat="1" ht="28.5" customHeight="1" thickBot="1">
      <c r="A6" s="2083" t="s">
        <v>1399</v>
      </c>
      <c r="B6" s="2084"/>
      <c r="C6" s="2085"/>
      <c r="D6" s="2085"/>
      <c r="E6" s="2085"/>
      <c r="F6" s="2085"/>
      <c r="G6" s="2085"/>
      <c r="H6" s="2085"/>
      <c r="I6" s="2085"/>
      <c r="J6" s="2085"/>
      <c r="K6" s="2446"/>
    </row>
    <row r="7" spans="1:13" s="225" customFormat="1" ht="15.6">
      <c r="A7" s="898" t="s">
        <v>1430</v>
      </c>
      <c r="B7" s="270"/>
    </row>
    <row r="8" spans="1:13" s="225" customFormat="1" ht="15" customHeight="1" thickBot="1">
      <c r="A8" s="898"/>
      <c r="B8" s="270"/>
    </row>
    <row r="9" spans="1:13" ht="55.2">
      <c r="A9" s="703" t="s">
        <v>79</v>
      </c>
      <c r="B9" s="704" t="s">
        <v>190</v>
      </c>
      <c r="C9" s="705" t="s">
        <v>87</v>
      </c>
      <c r="D9" s="705" t="s">
        <v>101</v>
      </c>
      <c r="E9" s="705" t="s">
        <v>360</v>
      </c>
      <c r="F9" s="706" t="s">
        <v>194</v>
      </c>
      <c r="G9" s="705" t="s">
        <v>195</v>
      </c>
      <c r="H9" s="707" t="s">
        <v>196</v>
      </c>
      <c r="I9" s="705" t="s">
        <v>49</v>
      </c>
      <c r="J9" s="707" t="s">
        <v>191</v>
      </c>
      <c r="K9" s="708" t="s">
        <v>164</v>
      </c>
      <c r="L9" s="268"/>
      <c r="M9" s="18"/>
    </row>
    <row r="10" spans="1:13" ht="24.9" customHeight="1">
      <c r="A10" s="272">
        <v>27.1</v>
      </c>
      <c r="B10" s="605" t="s">
        <v>0</v>
      </c>
      <c r="C10" s="220"/>
      <c r="D10" s="2583"/>
      <c r="E10" s="2584"/>
      <c r="F10" s="2584"/>
      <c r="G10" s="2584"/>
      <c r="H10" s="2584"/>
      <c r="I10" s="2584"/>
      <c r="J10" s="2584"/>
      <c r="K10" s="2571"/>
      <c r="L10" s="268"/>
      <c r="M10" s="18"/>
    </row>
    <row r="11" spans="1:13" ht="24.9" customHeight="1">
      <c r="A11" s="301"/>
      <c r="B11" s="302" t="s">
        <v>50</v>
      </c>
      <c r="C11" s="220" t="s">
        <v>303</v>
      </c>
      <c r="D11" s="618"/>
      <c r="E11" s="618"/>
      <c r="F11" s="685">
        <f>D11*E11</f>
        <v>0</v>
      </c>
      <c r="G11" s="619"/>
      <c r="H11" s="685">
        <f>F11*G11</f>
        <v>0</v>
      </c>
      <c r="I11" s="620"/>
      <c r="J11" s="685">
        <f>F11*I11</f>
        <v>0</v>
      </c>
      <c r="K11" s="2578"/>
      <c r="L11" s="268"/>
      <c r="M11" s="18"/>
    </row>
    <row r="12" spans="1:13" ht="24.9" customHeight="1">
      <c r="A12" s="621"/>
      <c r="B12" s="302" t="s">
        <v>51</v>
      </c>
      <c r="C12" s="220" t="s">
        <v>303</v>
      </c>
      <c r="D12" s="618"/>
      <c r="E12" s="618"/>
      <c r="F12" s="685">
        <f>D12*E12</f>
        <v>0</v>
      </c>
      <c r="G12" s="619"/>
      <c r="H12" s="685">
        <f>F12*G12</f>
        <v>0</v>
      </c>
      <c r="I12" s="620"/>
      <c r="J12" s="685">
        <f>F12*I12</f>
        <v>0</v>
      </c>
      <c r="K12" s="2578"/>
      <c r="L12" s="268"/>
      <c r="M12" s="18"/>
    </row>
    <row r="13" spans="1:13" ht="24.9" customHeight="1">
      <c r="A13" s="622"/>
      <c r="B13" s="302" t="s">
        <v>52</v>
      </c>
      <c r="C13" s="220" t="s">
        <v>303</v>
      </c>
      <c r="D13" s="618"/>
      <c r="E13" s="618"/>
      <c r="F13" s="685">
        <f>D13*E13</f>
        <v>0</v>
      </c>
      <c r="G13" s="619"/>
      <c r="H13" s="685">
        <f>F13*G13</f>
        <v>0</v>
      </c>
      <c r="I13" s="620"/>
      <c r="J13" s="685">
        <f>F13*I13</f>
        <v>0</v>
      </c>
      <c r="K13" s="2577"/>
      <c r="L13" s="268"/>
      <c r="M13" s="18"/>
    </row>
    <row r="14" spans="1:13" ht="24.9" customHeight="1">
      <c r="A14" s="622"/>
      <c r="B14" s="302"/>
      <c r="C14" s="623"/>
      <c r="D14" s="624"/>
      <c r="E14" s="625"/>
      <c r="F14" s="626"/>
      <c r="G14" s="627"/>
      <c r="H14" s="626"/>
      <c r="I14" s="627"/>
      <c r="J14" s="626"/>
      <c r="K14" s="628"/>
      <c r="L14" s="268"/>
      <c r="M14" s="18"/>
    </row>
    <row r="15" spans="1:13" ht="24.9" customHeight="1">
      <c r="A15" s="271">
        <v>27.2</v>
      </c>
      <c r="B15" s="605" t="s">
        <v>333</v>
      </c>
      <c r="C15" s="623"/>
      <c r="D15" s="2585"/>
      <c r="E15" s="2574"/>
      <c r="F15" s="2574"/>
      <c r="G15" s="2574"/>
      <c r="H15" s="2574"/>
      <c r="I15" s="2574"/>
      <c r="J15" s="2574"/>
      <c r="K15" s="2571"/>
      <c r="L15" s="268"/>
      <c r="M15" s="18"/>
    </row>
    <row r="16" spans="1:13" ht="24.9" customHeight="1">
      <c r="A16" s="629"/>
      <c r="B16" s="302" t="s">
        <v>50</v>
      </c>
      <c r="C16" s="220" t="s">
        <v>303</v>
      </c>
      <c r="D16" s="618"/>
      <c r="E16" s="618"/>
      <c r="F16" s="685">
        <f>D16*E16</f>
        <v>0</v>
      </c>
      <c r="G16" s="619"/>
      <c r="H16" s="685">
        <f>F16*G16</f>
        <v>0</v>
      </c>
      <c r="I16" s="620"/>
      <c r="J16" s="685">
        <f>F16*I16</f>
        <v>0</v>
      </c>
      <c r="K16" s="2572"/>
      <c r="L16" s="268"/>
      <c r="M16" s="18"/>
    </row>
    <row r="17" spans="1:11" ht="24.9" customHeight="1">
      <c r="A17" s="630"/>
      <c r="B17" s="302" t="s">
        <v>51</v>
      </c>
      <c r="C17" s="220" t="s">
        <v>303</v>
      </c>
      <c r="D17" s="618"/>
      <c r="E17" s="618"/>
      <c r="F17" s="685">
        <f>D17*E17</f>
        <v>0</v>
      </c>
      <c r="G17" s="619"/>
      <c r="H17" s="685">
        <f>F17*G17</f>
        <v>0</v>
      </c>
      <c r="I17" s="620"/>
      <c r="J17" s="685">
        <f>F17*I17</f>
        <v>0</v>
      </c>
      <c r="K17" s="2572"/>
    </row>
    <row r="18" spans="1:11" ht="24.9" customHeight="1">
      <c r="A18" s="630"/>
      <c r="B18" s="543" t="s">
        <v>52</v>
      </c>
      <c r="C18" s="220" t="s">
        <v>303</v>
      </c>
      <c r="D18" s="618"/>
      <c r="E18" s="618"/>
      <c r="F18" s="685">
        <f>D18*E18</f>
        <v>0</v>
      </c>
      <c r="G18" s="619"/>
      <c r="H18" s="685">
        <f>F18*G18</f>
        <v>0</v>
      </c>
      <c r="I18" s="620"/>
      <c r="J18" s="685">
        <f>F18*I18</f>
        <v>0</v>
      </c>
      <c r="K18" s="2072"/>
    </row>
    <row r="19" spans="1:11" ht="24.9" customHeight="1">
      <c r="A19" s="631"/>
      <c r="B19" s="543"/>
      <c r="C19" s="220"/>
      <c r="D19" s="624"/>
      <c r="E19" s="625"/>
      <c r="F19" s="626"/>
      <c r="G19" s="627"/>
      <c r="H19" s="626"/>
      <c r="I19" s="627"/>
      <c r="J19" s="626"/>
      <c r="K19" s="632"/>
    </row>
    <row r="20" spans="1:11" ht="24.9" customHeight="1">
      <c r="A20" s="633">
        <v>27.3</v>
      </c>
      <c r="B20" s="302" t="s">
        <v>334</v>
      </c>
      <c r="C20" s="220"/>
      <c r="D20" s="2585"/>
      <c r="E20" s="2574"/>
      <c r="F20" s="2574"/>
      <c r="G20" s="2574"/>
      <c r="H20" s="2574"/>
      <c r="I20" s="2574"/>
      <c r="J20" s="2574"/>
      <c r="K20" s="2571"/>
    </row>
    <row r="21" spans="1:11" ht="24.9" customHeight="1">
      <c r="A21" s="271"/>
      <c r="B21" s="634"/>
      <c r="C21" s="220" t="s">
        <v>303</v>
      </c>
      <c r="D21" s="635"/>
      <c r="E21" s="635"/>
      <c r="F21" s="685">
        <f>D21*E21</f>
        <v>0</v>
      </c>
      <c r="G21" s="619"/>
      <c r="H21" s="685">
        <f>F21*G21</f>
        <v>0</v>
      </c>
      <c r="I21" s="636"/>
      <c r="J21" s="685">
        <f>F21*I21</f>
        <v>0</v>
      </c>
      <c r="K21" s="2579"/>
    </row>
    <row r="22" spans="1:11" ht="24.9" customHeight="1">
      <c r="A22" s="637">
        <v>27.4</v>
      </c>
      <c r="B22" s="638" t="s">
        <v>53</v>
      </c>
      <c r="C22" s="220"/>
      <c r="D22" s="639"/>
      <c r="E22" s="448" t="s">
        <v>335</v>
      </c>
      <c r="F22" s="640"/>
      <c r="G22" s="640"/>
      <c r="H22" s="640"/>
      <c r="I22" s="640"/>
      <c r="J22" s="640"/>
      <c r="K22" s="2571"/>
    </row>
    <row r="23" spans="1:11" ht="24.9" customHeight="1">
      <c r="A23" s="629"/>
      <c r="B23" s="544" t="s">
        <v>50</v>
      </c>
      <c r="C23" s="542" t="s">
        <v>141</v>
      </c>
      <c r="D23" s="618"/>
      <c r="E23" s="618"/>
      <c r="F23" s="685">
        <f>IF(E23=0,0,D23/E23)</f>
        <v>0</v>
      </c>
      <c r="G23" s="619"/>
      <c r="H23" s="685">
        <f>F23*G23</f>
        <v>0</v>
      </c>
      <c r="I23" s="619"/>
      <c r="J23" s="685">
        <f>F23*I23</f>
        <v>0</v>
      </c>
      <c r="K23" s="2579"/>
    </row>
    <row r="24" spans="1:11" ht="24.9" customHeight="1">
      <c r="A24" s="630"/>
      <c r="B24" s="302" t="s">
        <v>51</v>
      </c>
      <c r="C24" s="542" t="s">
        <v>141</v>
      </c>
      <c r="D24" s="618"/>
      <c r="E24" s="618"/>
      <c r="F24" s="685">
        <f>IF(E24=0,0,D24/E24)</f>
        <v>0</v>
      </c>
      <c r="G24" s="619"/>
      <c r="H24" s="685">
        <f>F24*G24</f>
        <v>0</v>
      </c>
      <c r="I24" s="619"/>
      <c r="J24" s="685">
        <f>F24*I24</f>
        <v>0</v>
      </c>
      <c r="K24" s="2579"/>
    </row>
    <row r="25" spans="1:11" ht="24.9" customHeight="1">
      <c r="A25" s="641"/>
      <c r="B25" s="302" t="s">
        <v>52</v>
      </c>
      <c r="C25" s="542" t="s">
        <v>141</v>
      </c>
      <c r="D25" s="618"/>
      <c r="E25" s="618"/>
      <c r="F25" s="685">
        <f>IF(E25=0,0,D25/E25)</f>
        <v>0</v>
      </c>
      <c r="G25" s="619"/>
      <c r="H25" s="685">
        <f>F25*G25</f>
        <v>0</v>
      </c>
      <c r="I25" s="619"/>
      <c r="J25" s="685">
        <f>F25*I25</f>
        <v>0</v>
      </c>
      <c r="K25" s="2580"/>
    </row>
    <row r="26" spans="1:11" ht="24.9" customHeight="1">
      <c r="A26" s="637"/>
      <c r="B26" s="225"/>
      <c r="C26" s="220"/>
      <c r="D26" s="642"/>
      <c r="E26" s="643"/>
      <c r="F26" s="626"/>
      <c r="G26" s="626"/>
      <c r="H26" s="626"/>
      <c r="I26" s="626"/>
      <c r="J26" s="626"/>
      <c r="K26" s="644"/>
    </row>
    <row r="27" spans="1:11" ht="24.9" customHeight="1">
      <c r="A27" s="645">
        <v>27.5</v>
      </c>
      <c r="B27" s="646" t="s">
        <v>54</v>
      </c>
      <c r="C27" s="647" t="s">
        <v>336</v>
      </c>
      <c r="D27" s="225"/>
      <c r="E27" s="448" t="s">
        <v>335</v>
      </c>
      <c r="F27" s="648"/>
      <c r="G27" s="648"/>
      <c r="H27" s="648"/>
      <c r="I27" s="648"/>
      <c r="J27" s="648"/>
      <c r="K27" s="2571"/>
    </row>
    <row r="28" spans="1:11" ht="24.9" customHeight="1">
      <c r="A28" s="629"/>
      <c r="B28" s="544" t="s">
        <v>50</v>
      </c>
      <c r="C28" s="542" t="s">
        <v>141</v>
      </c>
      <c r="D28" s="618"/>
      <c r="E28" s="618"/>
      <c r="F28" s="685">
        <f>IF(E28=0,0,D28/E28)</f>
        <v>0</v>
      </c>
      <c r="G28" s="619"/>
      <c r="H28" s="685">
        <f>F28*G28</f>
        <v>0</v>
      </c>
      <c r="I28" s="619"/>
      <c r="J28" s="685">
        <f>F28*I28</f>
        <v>0</v>
      </c>
      <c r="K28" s="2578"/>
    </row>
    <row r="29" spans="1:11" ht="24.9" customHeight="1">
      <c r="A29" s="630"/>
      <c r="B29" s="302" t="s">
        <v>51</v>
      </c>
      <c r="C29" s="542" t="s">
        <v>141</v>
      </c>
      <c r="D29" s="618"/>
      <c r="E29" s="618"/>
      <c r="F29" s="685">
        <f>IF(E29=0,0,D29/E29)</f>
        <v>0</v>
      </c>
      <c r="G29" s="619"/>
      <c r="H29" s="685">
        <f>F29*G29</f>
        <v>0</v>
      </c>
      <c r="I29" s="619"/>
      <c r="J29" s="685">
        <f>F29*I29</f>
        <v>0</v>
      </c>
      <c r="K29" s="2578"/>
    </row>
    <row r="30" spans="1:11" ht="24.9" customHeight="1">
      <c r="A30" s="641"/>
      <c r="B30" s="302" t="s">
        <v>52</v>
      </c>
      <c r="C30" s="542" t="s">
        <v>141</v>
      </c>
      <c r="D30" s="618"/>
      <c r="E30" s="618"/>
      <c r="F30" s="685">
        <f>IF(E30=0,0,D30/E30)</f>
        <v>0</v>
      </c>
      <c r="G30" s="619"/>
      <c r="H30" s="685">
        <f>F30*G30</f>
        <v>0</v>
      </c>
      <c r="I30" s="619"/>
      <c r="J30" s="685">
        <f>F30*I30</f>
        <v>0</v>
      </c>
      <c r="K30" s="2577"/>
    </row>
    <row r="31" spans="1:11" ht="24.9" customHeight="1">
      <c r="A31" s="641"/>
      <c r="B31" s="649"/>
      <c r="C31" s="542"/>
      <c r="D31" s="642"/>
      <c r="E31" s="643"/>
      <c r="F31" s="626"/>
      <c r="G31" s="626"/>
      <c r="H31" s="626"/>
      <c r="I31" s="626"/>
      <c r="J31" s="626"/>
      <c r="K31" s="628"/>
    </row>
    <row r="32" spans="1:11" ht="24.9" customHeight="1">
      <c r="A32" s="641"/>
      <c r="B32" s="605" t="s">
        <v>54</v>
      </c>
      <c r="C32" s="647" t="s">
        <v>337</v>
      </c>
      <c r="D32" s="624"/>
      <c r="E32" s="650" t="s">
        <v>335</v>
      </c>
      <c r="F32" s="627"/>
      <c r="G32" s="627"/>
      <c r="H32" s="627"/>
      <c r="I32" s="627"/>
      <c r="J32" s="627"/>
      <c r="K32" s="651"/>
    </row>
    <row r="33" spans="1:11" ht="24.9" customHeight="1">
      <c r="A33" s="641"/>
      <c r="B33" s="652" t="s">
        <v>338</v>
      </c>
      <c r="C33" s="542" t="s">
        <v>141</v>
      </c>
      <c r="D33" s="624"/>
      <c r="E33" s="618"/>
      <c r="F33" s="686">
        <f>IF(E33=0,0,D33/E33)</f>
        <v>0</v>
      </c>
      <c r="G33" s="619"/>
      <c r="H33" s="686">
        <f>F33*G33</f>
        <v>0</v>
      </c>
      <c r="I33" s="619"/>
      <c r="J33" s="686">
        <f>F33*I33</f>
        <v>0</v>
      </c>
      <c r="K33" s="628"/>
    </row>
    <row r="34" spans="1:11" ht="24.9" customHeight="1">
      <c r="A34" s="641"/>
      <c r="B34" s="639"/>
      <c r="C34" s="220"/>
      <c r="D34" s="642"/>
      <c r="E34" s="643"/>
      <c r="F34" s="626"/>
      <c r="G34" s="626"/>
      <c r="H34" s="626"/>
      <c r="I34" s="626"/>
      <c r="J34" s="626"/>
      <c r="K34" s="628"/>
    </row>
    <row r="35" spans="1:11" ht="24.9" customHeight="1">
      <c r="A35" s="271">
        <v>27.6</v>
      </c>
      <c r="B35" s="653" t="s">
        <v>1</v>
      </c>
      <c r="C35" s="654"/>
      <c r="D35" s="2573"/>
      <c r="E35" s="2574"/>
      <c r="F35" s="2574"/>
      <c r="G35" s="2574"/>
      <c r="H35" s="2574"/>
      <c r="I35" s="2574"/>
      <c r="J35" s="2574"/>
      <c r="K35" s="2571"/>
    </row>
    <row r="36" spans="1:11" ht="24.9" customHeight="1">
      <c r="A36" s="629"/>
      <c r="B36" s="544"/>
      <c r="C36" s="654" t="s">
        <v>303</v>
      </c>
      <c r="D36" s="635"/>
      <c r="E36" s="635"/>
      <c r="F36" s="685">
        <f>D36*E36</f>
        <v>0</v>
      </c>
      <c r="G36" s="619"/>
      <c r="H36" s="685">
        <f>F36*G36</f>
        <v>0</v>
      </c>
      <c r="I36" s="636"/>
      <c r="J36" s="685">
        <f>F36*I36</f>
        <v>0</v>
      </c>
      <c r="K36" s="2578"/>
    </row>
    <row r="37" spans="1:11" ht="24.9" customHeight="1">
      <c r="A37" s="271">
        <v>27.7</v>
      </c>
      <c r="B37" s="655" t="s">
        <v>2</v>
      </c>
      <c r="C37" s="654"/>
      <c r="D37" s="2573"/>
      <c r="E37" s="2574"/>
      <c r="F37" s="2574"/>
      <c r="G37" s="2574"/>
      <c r="H37" s="2574"/>
      <c r="I37" s="2574"/>
      <c r="J37" s="2574"/>
      <c r="K37" s="2571"/>
    </row>
    <row r="38" spans="1:11" ht="24.9" customHeight="1">
      <c r="A38" s="629"/>
      <c r="B38" s="544"/>
      <c r="C38" s="654" t="s">
        <v>303</v>
      </c>
      <c r="D38" s="635"/>
      <c r="E38" s="635"/>
      <c r="F38" s="685">
        <f>D38*E38</f>
        <v>0</v>
      </c>
      <c r="G38" s="619"/>
      <c r="H38" s="685">
        <f>F38*G38</f>
        <v>0</v>
      </c>
      <c r="I38" s="636"/>
      <c r="J38" s="685">
        <f>F38*I38</f>
        <v>0</v>
      </c>
      <c r="K38" s="2578"/>
    </row>
    <row r="39" spans="1:11" ht="24.9" customHeight="1">
      <c r="A39" s="271">
        <v>27.8</v>
      </c>
      <c r="B39" s="302" t="s">
        <v>339</v>
      </c>
      <c r="C39" s="654"/>
      <c r="D39" s="2573"/>
      <c r="E39" s="2574"/>
      <c r="F39" s="2574"/>
      <c r="G39" s="2574"/>
      <c r="H39" s="2574"/>
      <c r="I39" s="2574"/>
      <c r="J39" s="2574"/>
      <c r="K39" s="2571"/>
    </row>
    <row r="40" spans="1:11" ht="24.9" customHeight="1">
      <c r="A40" s="301"/>
      <c r="B40" s="544"/>
      <c r="C40" s="654" t="s">
        <v>303</v>
      </c>
      <c r="D40" s="635"/>
      <c r="E40" s="635"/>
      <c r="F40" s="685">
        <f>D40*E40</f>
        <v>0</v>
      </c>
      <c r="G40" s="619"/>
      <c r="H40" s="685">
        <f>F40*G40</f>
        <v>0</v>
      </c>
      <c r="I40" s="636"/>
      <c r="J40" s="685">
        <f>F40*I40</f>
        <v>0</v>
      </c>
      <c r="K40" s="2578"/>
    </row>
    <row r="41" spans="1:11" ht="24.9" customHeight="1">
      <c r="A41" s="271">
        <v>27.9</v>
      </c>
      <c r="B41" s="656" t="s">
        <v>55</v>
      </c>
      <c r="C41" s="654"/>
      <c r="D41" s="2573"/>
      <c r="E41" s="2574"/>
      <c r="F41" s="2574"/>
      <c r="G41" s="2574"/>
      <c r="H41" s="2574"/>
      <c r="I41" s="2574"/>
      <c r="J41" s="2574"/>
      <c r="K41" s="2571"/>
    </row>
    <row r="42" spans="1:11" ht="24.9" customHeight="1">
      <c r="A42" s="622"/>
      <c r="B42" s="657"/>
      <c r="C42" s="654" t="s">
        <v>303</v>
      </c>
      <c r="D42" s="635"/>
      <c r="E42" s="635"/>
      <c r="F42" s="685">
        <f>D42*E42</f>
        <v>0</v>
      </c>
      <c r="G42" s="619"/>
      <c r="H42" s="685">
        <f>F42*G42</f>
        <v>0</v>
      </c>
      <c r="I42" s="636"/>
      <c r="J42" s="685">
        <f>F42*I42</f>
        <v>0</v>
      </c>
      <c r="K42" s="2577"/>
    </row>
    <row r="43" spans="1:11" ht="24.9" customHeight="1">
      <c r="A43" s="274">
        <v>27.1</v>
      </c>
      <c r="B43" s="656" t="s">
        <v>56</v>
      </c>
      <c r="C43" s="654"/>
      <c r="D43" s="2573"/>
      <c r="E43" s="2574"/>
      <c r="F43" s="2574"/>
      <c r="G43" s="2574"/>
      <c r="H43" s="2574"/>
      <c r="I43" s="2574"/>
      <c r="J43" s="2574"/>
      <c r="K43" s="2571"/>
    </row>
    <row r="44" spans="1:11" ht="24.9" customHeight="1">
      <c r="A44" s="301"/>
      <c r="B44" s="544" t="s">
        <v>57</v>
      </c>
      <c r="C44" s="340" t="s">
        <v>162</v>
      </c>
      <c r="D44" s="618"/>
      <c r="E44" s="618"/>
      <c r="F44" s="685">
        <f xml:space="preserve"> D44*E44</f>
        <v>0</v>
      </c>
      <c r="G44" s="619"/>
      <c r="H44" s="685">
        <f>F44*G44</f>
        <v>0</v>
      </c>
      <c r="I44" s="619"/>
      <c r="J44" s="685">
        <f>F44*I44</f>
        <v>0</v>
      </c>
      <c r="K44" s="2578"/>
    </row>
    <row r="45" spans="1:11" ht="24.9" customHeight="1">
      <c r="A45" s="621"/>
      <c r="B45" s="302" t="s">
        <v>58</v>
      </c>
      <c r="C45" s="340" t="s">
        <v>429</v>
      </c>
      <c r="D45" s="658"/>
      <c r="E45" s="658"/>
      <c r="F45" s="685">
        <f xml:space="preserve"> D45*E45</f>
        <v>0</v>
      </c>
      <c r="G45" s="619"/>
      <c r="H45" s="685">
        <f>F45*G45</f>
        <v>0</v>
      </c>
      <c r="I45" s="659"/>
      <c r="J45" s="685">
        <f>F45*I45</f>
        <v>0</v>
      </c>
      <c r="K45" s="2578"/>
    </row>
    <row r="46" spans="1:11" ht="24.9" customHeight="1">
      <c r="A46" s="622"/>
      <c r="B46" s="302" t="s">
        <v>59</v>
      </c>
      <c r="C46" s="340"/>
      <c r="D46" s="981">
        <v>0</v>
      </c>
      <c r="E46" s="687">
        <f xml:space="preserve"> F44+F45</f>
        <v>0</v>
      </c>
      <c r="F46" s="685">
        <f>D46*E46</f>
        <v>0</v>
      </c>
      <c r="G46" s="619"/>
      <c r="H46" s="685">
        <f>F46*G46</f>
        <v>0</v>
      </c>
      <c r="I46" s="619"/>
      <c r="J46" s="685">
        <f>F46*I46</f>
        <v>0</v>
      </c>
      <c r="K46" s="2577"/>
    </row>
    <row r="47" spans="1:11" ht="24.9" customHeight="1">
      <c r="A47" s="274"/>
      <c r="B47" s="302"/>
      <c r="C47" s="220"/>
      <c r="D47" s="661"/>
      <c r="E47" s="626"/>
      <c r="F47" s="626"/>
      <c r="G47" s="626"/>
      <c r="H47" s="626"/>
      <c r="I47" s="626"/>
      <c r="J47" s="626"/>
      <c r="K47" s="651"/>
    </row>
    <row r="48" spans="1:11" ht="24.9" customHeight="1">
      <c r="A48" s="274">
        <v>27.11</v>
      </c>
      <c r="B48" s="656" t="s">
        <v>60</v>
      </c>
      <c r="C48" s="654"/>
      <c r="D48" s="2573"/>
      <c r="E48" s="2574"/>
      <c r="F48" s="2574"/>
      <c r="G48" s="2574"/>
      <c r="H48" s="2574"/>
      <c r="I48" s="2574"/>
      <c r="J48" s="2574"/>
      <c r="K48" s="2571"/>
    </row>
    <row r="49" spans="1:11" ht="24.9" customHeight="1">
      <c r="A49" s="274"/>
      <c r="B49" s="273"/>
      <c r="C49" s="220" t="s">
        <v>303</v>
      </c>
      <c r="D49" s="618"/>
      <c r="E49" s="618"/>
      <c r="F49" s="685">
        <f>D49*E49</f>
        <v>0</v>
      </c>
      <c r="G49" s="619"/>
      <c r="H49" s="685">
        <f>F49*G49</f>
        <v>0</v>
      </c>
      <c r="I49" s="620"/>
      <c r="J49" s="685">
        <f>F49*I49</f>
        <v>0</v>
      </c>
      <c r="K49" s="2577"/>
    </row>
    <row r="50" spans="1:11" ht="24.9" customHeight="1">
      <c r="A50" s="622">
        <v>27.12</v>
      </c>
      <c r="B50" s="662" t="s">
        <v>61</v>
      </c>
      <c r="C50" s="663"/>
      <c r="D50" s="225"/>
      <c r="E50" s="664" t="s">
        <v>335</v>
      </c>
      <c r="F50" s="665"/>
      <c r="G50" s="665"/>
      <c r="H50" s="665"/>
      <c r="I50" s="665"/>
      <c r="J50" s="666"/>
      <c r="K50" s="2571"/>
    </row>
    <row r="51" spans="1:11" ht="24.9" customHeight="1">
      <c r="A51" s="301"/>
      <c r="B51" s="225"/>
      <c r="C51" s="340" t="s">
        <v>141</v>
      </c>
      <c r="D51" s="619"/>
      <c r="E51" s="667"/>
      <c r="F51" s="685">
        <f>IF(E51=0,0,D51/E51)</f>
        <v>0</v>
      </c>
      <c r="G51" s="619"/>
      <c r="H51" s="685">
        <f>F51*G51</f>
        <v>0</v>
      </c>
      <c r="I51" s="659"/>
      <c r="J51" s="685">
        <f>F51*I51</f>
        <v>0</v>
      </c>
      <c r="K51" s="2577"/>
    </row>
    <row r="52" spans="1:11" ht="24.9" customHeight="1">
      <c r="A52" s="274">
        <v>27.13</v>
      </c>
      <c r="B52" s="656" t="s">
        <v>62</v>
      </c>
      <c r="C52" s="654"/>
      <c r="D52" s="2573"/>
      <c r="E52" s="2574"/>
      <c r="F52" s="2574"/>
      <c r="G52" s="2574"/>
      <c r="H52" s="2574"/>
      <c r="I52" s="2574"/>
      <c r="J52" s="2574"/>
      <c r="K52" s="2571"/>
    </row>
    <row r="53" spans="1:11" ht="24.9" customHeight="1">
      <c r="A53" s="301"/>
      <c r="B53" s="544" t="s">
        <v>340</v>
      </c>
      <c r="C53" s="340" t="s">
        <v>141</v>
      </c>
      <c r="D53" s="667"/>
      <c r="E53" s="667"/>
      <c r="F53" s="685">
        <f>D53*E53</f>
        <v>0</v>
      </c>
      <c r="G53" s="619"/>
      <c r="H53" s="685">
        <f>F53*G53</f>
        <v>0</v>
      </c>
      <c r="I53" s="659"/>
      <c r="J53" s="685">
        <f>F53*I53</f>
        <v>0</v>
      </c>
      <c r="K53" s="2577"/>
    </row>
    <row r="54" spans="1:11" ht="24.9" customHeight="1">
      <c r="A54" s="301"/>
      <c r="B54" s="544"/>
      <c r="C54" s="340"/>
      <c r="D54" s="660"/>
      <c r="E54" s="668"/>
      <c r="F54" s="626"/>
      <c r="G54" s="626"/>
      <c r="H54" s="626"/>
      <c r="I54" s="668"/>
      <c r="J54" s="626"/>
      <c r="K54" s="628"/>
    </row>
    <row r="55" spans="1:11" ht="24.9" customHeight="1">
      <c r="A55" s="274">
        <v>27.14</v>
      </c>
      <c r="B55" s="656" t="s">
        <v>63</v>
      </c>
      <c r="C55" s="654"/>
      <c r="D55" s="2573"/>
      <c r="E55" s="2574"/>
      <c r="F55" s="2574"/>
      <c r="G55" s="2574"/>
      <c r="H55" s="2574"/>
      <c r="I55" s="2574"/>
      <c r="J55" s="2574"/>
      <c r="K55" s="2571"/>
    </row>
    <row r="56" spans="1:11" ht="24.9" customHeight="1">
      <c r="A56" s="301"/>
      <c r="B56" s="544"/>
      <c r="C56" s="340" t="s">
        <v>141</v>
      </c>
      <c r="D56" s="667"/>
      <c r="E56" s="667"/>
      <c r="F56" s="685">
        <f>D56*E56</f>
        <v>0</v>
      </c>
      <c r="G56" s="619"/>
      <c r="H56" s="685">
        <f>F56*G56</f>
        <v>0</v>
      </c>
      <c r="I56" s="659"/>
      <c r="J56" s="685">
        <f>F56*I56</f>
        <v>0</v>
      </c>
      <c r="K56" s="2577"/>
    </row>
    <row r="57" spans="1:11" ht="24.9" customHeight="1">
      <c r="A57" s="274">
        <v>27.15</v>
      </c>
      <c r="B57" s="656" t="s">
        <v>64</v>
      </c>
      <c r="C57" s="654"/>
      <c r="D57" s="2614"/>
      <c r="E57" s="2574"/>
      <c r="F57" s="2574"/>
      <c r="G57" s="2574"/>
      <c r="H57" s="2574"/>
      <c r="I57" s="2574"/>
      <c r="J57" s="2574"/>
      <c r="K57" s="2571"/>
    </row>
    <row r="58" spans="1:11" ht="24.9" customHeight="1">
      <c r="A58" s="301"/>
      <c r="B58" s="669"/>
      <c r="C58" s="670" t="s">
        <v>141</v>
      </c>
      <c r="D58" s="618"/>
      <c r="E58" s="618"/>
      <c r="F58" s="685">
        <f>D58*E58</f>
        <v>0</v>
      </c>
      <c r="G58" s="619"/>
      <c r="H58" s="685">
        <f>F58*G58</f>
        <v>0</v>
      </c>
      <c r="I58" s="636"/>
      <c r="J58" s="685">
        <f>F58*I58</f>
        <v>0</v>
      </c>
      <c r="K58" s="2577"/>
    </row>
    <row r="59" spans="1:11" ht="24.9" customHeight="1">
      <c r="A59" s="274">
        <v>27.16</v>
      </c>
      <c r="B59" s="656" t="s">
        <v>65</v>
      </c>
      <c r="C59" s="654"/>
      <c r="D59" s="2573"/>
      <c r="E59" s="2574"/>
      <c r="F59" s="2574"/>
      <c r="G59" s="2574"/>
      <c r="H59" s="2574"/>
      <c r="I59" s="2574"/>
      <c r="J59" s="2574"/>
      <c r="K59" s="2571"/>
    </row>
    <row r="60" spans="1:11" ht="24.9" customHeight="1">
      <c r="A60" s="301"/>
      <c r="B60" s="669"/>
      <c r="C60" s="654" t="s">
        <v>303</v>
      </c>
      <c r="D60" s="618"/>
      <c r="E60" s="618"/>
      <c r="F60" s="685">
        <f>D60*E60</f>
        <v>0</v>
      </c>
      <c r="G60" s="619"/>
      <c r="H60" s="685">
        <f>F60*G60</f>
        <v>0</v>
      </c>
      <c r="I60" s="636"/>
      <c r="J60" s="685">
        <f>F60*I60</f>
        <v>0</v>
      </c>
      <c r="K60" s="2577"/>
    </row>
    <row r="61" spans="1:11" ht="24.9" customHeight="1">
      <c r="A61" s="274">
        <v>27.17</v>
      </c>
      <c r="B61" s="656" t="s">
        <v>66</v>
      </c>
      <c r="C61" s="654"/>
      <c r="D61" s="2573"/>
      <c r="E61" s="2574"/>
      <c r="F61" s="2574"/>
      <c r="G61" s="2574"/>
      <c r="H61" s="2574"/>
      <c r="I61" s="2574"/>
      <c r="J61" s="2574"/>
      <c r="K61" s="2571"/>
    </row>
    <row r="62" spans="1:11" ht="24.9" customHeight="1">
      <c r="A62" s="301"/>
      <c r="B62" s="669"/>
      <c r="C62" s="654" t="s">
        <v>303</v>
      </c>
      <c r="D62" s="618"/>
      <c r="E62" s="618"/>
      <c r="F62" s="685">
        <f>D62*E62</f>
        <v>0</v>
      </c>
      <c r="G62" s="619"/>
      <c r="H62" s="685">
        <f>F62*G62</f>
        <v>0</v>
      </c>
      <c r="I62" s="636"/>
      <c r="J62" s="685">
        <f>F62*I62</f>
        <v>0</v>
      </c>
      <c r="K62" s="2577"/>
    </row>
    <row r="63" spans="1:11" ht="24.9" customHeight="1">
      <c r="A63" s="274">
        <v>27.18</v>
      </c>
      <c r="B63" s="656" t="s">
        <v>67</v>
      </c>
      <c r="C63" s="654"/>
      <c r="D63" s="225"/>
      <c r="E63" s="664" t="s">
        <v>335</v>
      </c>
      <c r="F63" s="640"/>
      <c r="G63" s="640"/>
      <c r="H63" s="640"/>
      <c r="I63" s="640"/>
      <c r="J63" s="640"/>
      <c r="K63" s="2571"/>
    </row>
    <row r="64" spans="1:11" ht="24.9" customHeight="1">
      <c r="A64" s="301"/>
      <c r="B64" s="225"/>
      <c r="C64" s="340" t="s">
        <v>141</v>
      </c>
      <c r="D64" s="221"/>
      <c r="E64" s="658"/>
      <c r="F64" s="685">
        <f>IF(E64=0,0,D64/E64)</f>
        <v>0</v>
      </c>
      <c r="G64" s="619"/>
      <c r="H64" s="685">
        <f>F64*G64</f>
        <v>0</v>
      </c>
      <c r="I64" s="659"/>
      <c r="J64" s="685">
        <f>F64*I64</f>
        <v>0</v>
      </c>
      <c r="K64" s="2577"/>
    </row>
    <row r="65" spans="1:11" ht="24.9" customHeight="1">
      <c r="A65" s="274">
        <v>27.19</v>
      </c>
      <c r="B65" s="656" t="s">
        <v>341</v>
      </c>
      <c r="C65" s="654"/>
      <c r="D65" s="2573"/>
      <c r="E65" s="2574"/>
      <c r="F65" s="2574"/>
      <c r="G65" s="2574"/>
      <c r="H65" s="2574"/>
      <c r="I65" s="2574"/>
      <c r="J65" s="2574"/>
      <c r="K65" s="2571"/>
    </row>
    <row r="66" spans="1:11" ht="24.9" customHeight="1">
      <c r="A66" s="301"/>
      <c r="B66" s="662"/>
      <c r="C66" s="663" t="s">
        <v>163</v>
      </c>
      <c r="D66" s="402"/>
      <c r="E66" s="619"/>
      <c r="F66" s="685">
        <f>D66*E66</f>
        <v>0</v>
      </c>
      <c r="G66" s="671"/>
      <c r="H66" s="685">
        <f>F66*G66</f>
        <v>0</v>
      </c>
      <c r="I66" s="619"/>
      <c r="J66" s="685">
        <f>F66*I66</f>
        <v>0</v>
      </c>
      <c r="K66" s="2578"/>
    </row>
    <row r="67" spans="1:11" ht="24.9" customHeight="1">
      <c r="A67" s="301"/>
      <c r="B67" s="669"/>
      <c r="C67" s="340" t="s">
        <v>303</v>
      </c>
      <c r="D67" s="618"/>
      <c r="E67" s="618"/>
      <c r="F67" s="685">
        <f>D67*E67</f>
        <v>0</v>
      </c>
      <c r="G67" s="619"/>
      <c r="H67" s="685">
        <f>F67*G67</f>
        <v>0</v>
      </c>
      <c r="I67" s="636"/>
      <c r="J67" s="685">
        <f>F67*I67</f>
        <v>0</v>
      </c>
      <c r="K67" s="2577"/>
    </row>
    <row r="68" spans="1:11" ht="24.9" customHeight="1">
      <c r="A68" s="274">
        <v>27.2</v>
      </c>
      <c r="B68" s="656" t="s">
        <v>68</v>
      </c>
      <c r="C68" s="654"/>
      <c r="D68" s="2573"/>
      <c r="E68" s="2574"/>
      <c r="F68" s="2574"/>
      <c r="G68" s="2574"/>
      <c r="H68" s="2574"/>
      <c r="I68" s="2574"/>
      <c r="J68" s="2574"/>
      <c r="K68" s="2571"/>
    </row>
    <row r="69" spans="1:11" ht="24.9" customHeight="1">
      <c r="A69" s="301"/>
      <c r="B69" s="669"/>
      <c r="C69" s="340" t="s">
        <v>499</v>
      </c>
      <c r="D69" s="658"/>
      <c r="E69" s="658"/>
      <c r="F69" s="685">
        <f>D69*E69</f>
        <v>0</v>
      </c>
      <c r="G69" s="619"/>
      <c r="H69" s="685">
        <f>F69*G69</f>
        <v>0</v>
      </c>
      <c r="I69" s="659"/>
      <c r="J69" s="685">
        <f>F69*I69</f>
        <v>0</v>
      </c>
      <c r="K69" s="2577"/>
    </row>
    <row r="70" spans="1:11" ht="24.9" customHeight="1">
      <c r="A70" s="274">
        <v>27.21</v>
      </c>
      <c r="B70" s="656" t="s">
        <v>69</v>
      </c>
      <c r="C70" s="654"/>
      <c r="D70" s="2573"/>
      <c r="E70" s="2574"/>
      <c r="F70" s="2574"/>
      <c r="G70" s="2574"/>
      <c r="H70" s="2574"/>
      <c r="I70" s="2574"/>
      <c r="J70" s="2574"/>
      <c r="K70" s="2571"/>
    </row>
    <row r="71" spans="1:11" ht="24.9" customHeight="1">
      <c r="A71" s="301"/>
      <c r="B71" s="669"/>
      <c r="C71" s="340" t="s">
        <v>303</v>
      </c>
      <c r="D71" s="618"/>
      <c r="E71" s="618"/>
      <c r="F71" s="685">
        <f>D71*E71</f>
        <v>0</v>
      </c>
      <c r="G71" s="619"/>
      <c r="H71" s="685">
        <f>F71*G71</f>
        <v>0</v>
      </c>
      <c r="I71" s="636"/>
      <c r="J71" s="685">
        <f>F71*I71</f>
        <v>0</v>
      </c>
      <c r="K71" s="2577"/>
    </row>
    <row r="72" spans="1:11" ht="24.9" customHeight="1">
      <c r="A72" s="274">
        <v>27.22</v>
      </c>
      <c r="B72" s="656" t="s">
        <v>70</v>
      </c>
      <c r="C72" s="654"/>
      <c r="D72" s="2573"/>
      <c r="E72" s="2574"/>
      <c r="F72" s="2574"/>
      <c r="G72" s="2574"/>
      <c r="H72" s="2574"/>
      <c r="I72" s="2574"/>
      <c r="J72" s="2574"/>
      <c r="K72" s="2571"/>
    </row>
    <row r="73" spans="1:11" ht="24.9" customHeight="1">
      <c r="A73" s="301"/>
      <c r="B73" s="669"/>
      <c r="C73" s="669" t="s">
        <v>141</v>
      </c>
      <c r="D73" s="618"/>
      <c r="E73" s="618"/>
      <c r="F73" s="685">
        <f>D73*E73</f>
        <v>0</v>
      </c>
      <c r="G73" s="619"/>
      <c r="H73" s="685">
        <f>G73*F73</f>
        <v>0</v>
      </c>
      <c r="I73" s="636"/>
      <c r="J73" s="685">
        <f>F73*I73</f>
        <v>0</v>
      </c>
      <c r="K73" s="2577"/>
    </row>
    <row r="74" spans="1:11" ht="24.9" customHeight="1">
      <c r="A74" s="274">
        <v>27.23</v>
      </c>
      <c r="B74" s="656" t="s">
        <v>71</v>
      </c>
      <c r="C74" s="654"/>
      <c r="D74" s="2573"/>
      <c r="E74" s="2574"/>
      <c r="F74" s="2574"/>
      <c r="G74" s="2574"/>
      <c r="H74" s="2574"/>
      <c r="I74" s="2574"/>
      <c r="J74" s="2574"/>
      <c r="K74" s="2571"/>
    </row>
    <row r="75" spans="1:11" ht="24.9" customHeight="1">
      <c r="A75" s="301"/>
      <c r="B75" s="669"/>
      <c r="C75" s="340" t="s">
        <v>141</v>
      </c>
      <c r="D75" s="618"/>
      <c r="E75" s="618"/>
      <c r="F75" s="685">
        <f>D75*E75</f>
        <v>0</v>
      </c>
      <c r="G75" s="619"/>
      <c r="H75" s="685">
        <f>F75*G75</f>
        <v>0</v>
      </c>
      <c r="I75" s="636"/>
      <c r="J75" s="685">
        <f>F75*I75</f>
        <v>0</v>
      </c>
      <c r="K75" s="2577"/>
    </row>
    <row r="76" spans="1:11" ht="24.9" customHeight="1">
      <c r="A76" s="274">
        <v>27.24</v>
      </c>
      <c r="B76" s="656" t="s">
        <v>3</v>
      </c>
      <c r="C76" s="654"/>
      <c r="D76" s="2573"/>
      <c r="E76" s="2574"/>
      <c r="F76" s="2574"/>
      <c r="G76" s="2574"/>
      <c r="H76" s="2574"/>
      <c r="I76" s="2574"/>
      <c r="J76" s="2574"/>
      <c r="K76" s="2571"/>
    </row>
    <row r="77" spans="1:11" ht="24.9" customHeight="1">
      <c r="A77" s="301"/>
      <c r="B77" s="544"/>
      <c r="C77" s="654" t="s">
        <v>141</v>
      </c>
      <c r="D77" s="672"/>
      <c r="E77" s="618"/>
      <c r="F77" s="685">
        <f>D77*E77</f>
        <v>0</v>
      </c>
      <c r="G77" s="619"/>
      <c r="H77" s="685">
        <f>F77*G77</f>
        <v>0</v>
      </c>
      <c r="I77" s="636"/>
      <c r="J77" s="685">
        <f>F77*I77</f>
        <v>0</v>
      </c>
      <c r="K77" s="2577"/>
    </row>
    <row r="78" spans="1:11" ht="24.9" customHeight="1">
      <c r="A78" s="301"/>
      <c r="B78" s="544"/>
      <c r="C78" s="670" t="s">
        <v>303</v>
      </c>
      <c r="D78" s="624"/>
      <c r="E78" s="618"/>
      <c r="F78" s="685">
        <f>D78*E78</f>
        <v>0</v>
      </c>
      <c r="G78" s="619"/>
      <c r="H78" s="685">
        <f>F78*G78</f>
        <v>0</v>
      </c>
      <c r="I78" s="619"/>
      <c r="J78" s="685">
        <f>F78*I78</f>
        <v>0</v>
      </c>
      <c r="K78" s="628"/>
    </row>
    <row r="79" spans="1:11" ht="24.9" customHeight="1">
      <c r="A79" s="274"/>
      <c r="B79" s="544"/>
      <c r="C79" s="654"/>
      <c r="D79" s="642"/>
      <c r="E79" s="643"/>
      <c r="F79" s="626"/>
      <c r="G79" s="626"/>
      <c r="H79" s="626"/>
      <c r="I79" s="668"/>
      <c r="J79" s="626"/>
      <c r="K79" s="673"/>
    </row>
    <row r="80" spans="1:11" ht="24.9" customHeight="1">
      <c r="A80" s="274">
        <v>27.25</v>
      </c>
      <c r="B80" s="656" t="s">
        <v>72</v>
      </c>
      <c r="C80" s="654"/>
      <c r="D80" s="2573"/>
      <c r="E80" s="2574"/>
      <c r="F80" s="2574"/>
      <c r="G80" s="2574"/>
      <c r="H80" s="2574"/>
      <c r="I80" s="2574"/>
      <c r="J80" s="2574"/>
      <c r="K80" s="2571"/>
    </row>
    <row r="81" spans="1:11" ht="24.9" customHeight="1">
      <c r="A81" s="274"/>
      <c r="B81" s="669"/>
      <c r="C81" s="340" t="s">
        <v>429</v>
      </c>
      <c r="D81" s="618"/>
      <c r="E81" s="618"/>
      <c r="F81" s="685">
        <f>IF(E81=0,0,D81/E81)</f>
        <v>0</v>
      </c>
      <c r="G81" s="619"/>
      <c r="H81" s="685">
        <f>F81*G81</f>
        <v>0</v>
      </c>
      <c r="I81" s="667"/>
      <c r="J81" s="685">
        <f>F81*I81</f>
        <v>0</v>
      </c>
      <c r="K81" s="2577"/>
    </row>
    <row r="82" spans="1:11" ht="24.9" customHeight="1">
      <c r="A82" s="274">
        <v>27.26</v>
      </c>
      <c r="B82" s="656" t="s">
        <v>73</v>
      </c>
      <c r="C82" s="654"/>
      <c r="D82" s="2573"/>
      <c r="E82" s="2574"/>
      <c r="F82" s="2574"/>
      <c r="G82" s="2574"/>
      <c r="H82" s="2574"/>
      <c r="I82" s="2574"/>
      <c r="J82" s="2574"/>
      <c r="K82" s="2571"/>
    </row>
    <row r="83" spans="1:11" ht="24.9" customHeight="1">
      <c r="A83" s="301"/>
      <c r="B83" s="669"/>
      <c r="C83" s="340" t="s">
        <v>303</v>
      </c>
      <c r="D83" s="618"/>
      <c r="E83" s="618"/>
      <c r="F83" s="685">
        <f>D83*E83</f>
        <v>0</v>
      </c>
      <c r="G83" s="2581"/>
      <c r="H83" s="2574"/>
      <c r="I83" s="2574"/>
      <c r="J83" s="2574"/>
      <c r="K83" s="2577"/>
    </row>
    <row r="84" spans="1:11" ht="24.9" customHeight="1">
      <c r="A84" s="274">
        <v>27.27</v>
      </c>
      <c r="B84" s="656" t="s">
        <v>74</v>
      </c>
      <c r="C84" s="654"/>
      <c r="D84" s="2573"/>
      <c r="E84" s="2574"/>
      <c r="F84" s="2574"/>
      <c r="G84" s="2574"/>
      <c r="H84" s="2574"/>
      <c r="I84" s="2574"/>
      <c r="J84" s="2574"/>
      <c r="K84" s="2571"/>
    </row>
    <row r="85" spans="1:11" ht="24.9" customHeight="1">
      <c r="A85" s="301"/>
      <c r="B85" s="669"/>
      <c r="C85" s="340"/>
      <c r="D85" s="674"/>
      <c r="E85" s="658"/>
      <c r="F85" s="685">
        <f>E85*D85</f>
        <v>0</v>
      </c>
      <c r="G85" s="2581"/>
      <c r="H85" s="2574"/>
      <c r="I85" s="2574"/>
      <c r="J85" s="2574"/>
      <c r="K85" s="2577"/>
    </row>
    <row r="86" spans="1:11" ht="24.9" customHeight="1">
      <c r="A86" s="274">
        <v>27.28</v>
      </c>
      <c r="B86" s="656" t="s">
        <v>1670</v>
      </c>
      <c r="C86" s="654"/>
      <c r="D86" s="2573"/>
      <c r="E86" s="2574"/>
      <c r="F86" s="2574"/>
      <c r="G86" s="2574"/>
      <c r="H86" s="2574"/>
      <c r="I86" s="2574"/>
      <c r="J86" s="2574"/>
      <c r="K86" s="628"/>
    </row>
    <row r="87" spans="1:11" ht="24.9" customHeight="1">
      <c r="A87" s="301"/>
      <c r="B87" s="669"/>
      <c r="C87" s="670" t="s">
        <v>85</v>
      </c>
      <c r="D87" s="687"/>
      <c r="E87" s="2581"/>
      <c r="F87" s="2574"/>
      <c r="G87" s="2574"/>
      <c r="H87" s="2574"/>
      <c r="I87" s="2582"/>
      <c r="J87" s="364">
        <f>D87</f>
        <v>0</v>
      </c>
      <c r="K87" s="628"/>
    </row>
    <row r="88" spans="1:11" ht="24.9" customHeight="1">
      <c r="A88" s="274">
        <v>27.29</v>
      </c>
      <c r="B88" s="656" t="s">
        <v>1671</v>
      </c>
      <c r="C88" s="654"/>
      <c r="D88" s="1040"/>
      <c r="E88" s="1041"/>
      <c r="F88" s="1041"/>
      <c r="G88" s="1041"/>
      <c r="H88" s="1041"/>
      <c r="I88" s="1041"/>
      <c r="J88" s="1042"/>
      <c r="K88" s="628"/>
    </row>
    <row r="89" spans="1:11" ht="24.9" customHeight="1">
      <c r="A89" s="301"/>
      <c r="B89" s="669"/>
      <c r="C89" s="670" t="s">
        <v>85</v>
      </c>
      <c r="D89" s="687"/>
      <c r="E89" s="2581"/>
      <c r="F89" s="2574"/>
      <c r="G89" s="2574"/>
      <c r="H89" s="2574"/>
      <c r="I89" s="2582"/>
      <c r="J89" s="364">
        <f>D89</f>
        <v>0</v>
      </c>
      <c r="K89" s="628"/>
    </row>
    <row r="90" spans="1:11" ht="24.9" customHeight="1">
      <c r="A90" s="274">
        <v>27.3</v>
      </c>
      <c r="B90" s="656" t="s">
        <v>75</v>
      </c>
      <c r="C90" s="277"/>
      <c r="D90" s="2573"/>
      <c r="E90" s="2574"/>
      <c r="F90" s="2574"/>
      <c r="G90" s="2574"/>
      <c r="H90" s="2574"/>
      <c r="I90" s="2574"/>
      <c r="J90" s="2574"/>
      <c r="K90" s="2571"/>
    </row>
    <row r="91" spans="1:11" ht="24.9" customHeight="1">
      <c r="A91" s="301"/>
      <c r="B91" s="522"/>
      <c r="C91" s="277"/>
      <c r="D91" s="667"/>
      <c r="E91" s="658"/>
      <c r="F91" s="685">
        <f>D91*E91</f>
        <v>0</v>
      </c>
      <c r="G91" s="619"/>
      <c r="H91" s="685">
        <f>F91*G91</f>
        <v>0</v>
      </c>
      <c r="I91" s="636"/>
      <c r="J91" s="685">
        <f>F91*I91</f>
        <v>0</v>
      </c>
      <c r="K91" s="2577"/>
    </row>
    <row r="92" spans="1:11" ht="41.4">
      <c r="A92" s="2589" t="s">
        <v>611</v>
      </c>
      <c r="B92" s="2590"/>
      <c r="C92" s="2590"/>
      <c r="D92" s="2591"/>
      <c r="E92" s="699" t="s">
        <v>194</v>
      </c>
      <c r="F92" s="700">
        <f>SUM(F11:F91)</f>
        <v>0</v>
      </c>
      <c r="G92" s="699" t="s">
        <v>196</v>
      </c>
      <c r="H92" s="700">
        <f>SUM(H11:H91)</f>
        <v>0</v>
      </c>
      <c r="I92" s="699" t="s">
        <v>191</v>
      </c>
      <c r="J92" s="701">
        <f>SUM(J11:J91)</f>
        <v>0</v>
      </c>
      <c r="K92" s="702"/>
    </row>
    <row r="93" spans="1:11" ht="24.9" customHeight="1">
      <c r="A93" s="274">
        <v>27.31</v>
      </c>
      <c r="B93" s="662" t="s">
        <v>76</v>
      </c>
      <c r="C93" s="675"/>
      <c r="D93" s="2592"/>
      <c r="E93" s="2593"/>
      <c r="F93" s="2593"/>
      <c r="G93" s="2593"/>
      <c r="H93" s="2593"/>
      <c r="I93" s="2593"/>
      <c r="J93" s="2593"/>
      <c r="K93" s="2571" t="s">
        <v>1639</v>
      </c>
    </row>
    <row r="94" spans="1:11" ht="24.9" customHeight="1">
      <c r="A94" s="301"/>
      <c r="B94" s="544"/>
      <c r="C94" s="277"/>
      <c r="D94" s="676"/>
      <c r="E94" s="688">
        <f xml:space="preserve"> F92</f>
        <v>0</v>
      </c>
      <c r="F94" s="364">
        <f>D94*E94</f>
        <v>0</v>
      </c>
      <c r="G94" s="361"/>
      <c r="H94" s="364">
        <f>(D94*H92)*1.13</f>
        <v>0</v>
      </c>
      <c r="I94" s="677"/>
      <c r="J94" s="364">
        <f>(D94*J92)*1.13</f>
        <v>0</v>
      </c>
      <c r="K94" s="2577"/>
    </row>
    <row r="95" spans="1:11" ht="24.9" customHeight="1">
      <c r="A95" s="274">
        <v>27.32</v>
      </c>
      <c r="B95" s="656" t="s">
        <v>77</v>
      </c>
      <c r="C95" s="678" t="s">
        <v>87</v>
      </c>
      <c r="D95" s="2573"/>
      <c r="E95" s="2574"/>
      <c r="F95" s="2574"/>
      <c r="G95" s="2574"/>
      <c r="H95" s="2574"/>
      <c r="I95" s="2574"/>
      <c r="J95" s="2574"/>
      <c r="K95" s="2571"/>
    </row>
    <row r="96" spans="1:11" ht="24.9" customHeight="1">
      <c r="A96" s="301"/>
      <c r="B96" s="544"/>
      <c r="C96" s="678"/>
      <c r="D96" s="660"/>
      <c r="E96" s="2581"/>
      <c r="F96" s="2574"/>
      <c r="G96" s="2574"/>
      <c r="H96" s="2574"/>
      <c r="I96" s="2582"/>
      <c r="J96" s="364">
        <f>D96</f>
        <v>0</v>
      </c>
      <c r="K96" s="2577"/>
    </row>
    <row r="97" spans="1:11" ht="24.9" customHeight="1">
      <c r="A97" s="274">
        <v>27.33</v>
      </c>
      <c r="B97" s="680" t="s">
        <v>133</v>
      </c>
      <c r="C97" s="670" t="s">
        <v>87</v>
      </c>
      <c r="D97" s="2573"/>
      <c r="E97" s="2574"/>
      <c r="F97" s="2574"/>
      <c r="G97" s="2574"/>
      <c r="H97" s="2574"/>
      <c r="I97" s="2574"/>
      <c r="J97" s="2574"/>
      <c r="K97" s="2571"/>
    </row>
    <row r="98" spans="1:11" ht="24.9" customHeight="1">
      <c r="A98" s="301"/>
      <c r="B98" s="681"/>
      <c r="C98" s="670"/>
      <c r="D98" s="660"/>
      <c r="E98" s="2581"/>
      <c r="F98" s="2574"/>
      <c r="G98" s="2574"/>
      <c r="H98" s="2574"/>
      <c r="I98" s="2582"/>
      <c r="J98" s="364">
        <f>D98</f>
        <v>0</v>
      </c>
      <c r="K98" s="2577"/>
    </row>
    <row r="99" spans="1:11" ht="24.9" customHeight="1">
      <c r="A99" s="274">
        <v>27.34</v>
      </c>
      <c r="B99" s="680" t="s">
        <v>82</v>
      </c>
      <c r="C99" s="670" t="s">
        <v>85</v>
      </c>
      <c r="D99" s="2573"/>
      <c r="E99" s="2574"/>
      <c r="F99" s="2574"/>
      <c r="G99" s="2574"/>
      <c r="H99" s="2574"/>
      <c r="I99" s="2574"/>
      <c r="J99" s="2574"/>
      <c r="K99" s="2571"/>
    </row>
    <row r="100" spans="1:11" ht="24.9" customHeight="1">
      <c r="A100" s="301"/>
      <c r="B100" s="681"/>
      <c r="C100" s="654"/>
      <c r="D100" s="687">
        <f>F124</f>
        <v>0</v>
      </c>
      <c r="E100" s="2581"/>
      <c r="F100" s="2574"/>
      <c r="G100" s="2574"/>
      <c r="H100" s="2574"/>
      <c r="I100" s="2582"/>
      <c r="J100" s="364">
        <f>D100</f>
        <v>0</v>
      </c>
      <c r="K100" s="2577"/>
    </row>
    <row r="101" spans="1:11" ht="24.9" customHeight="1">
      <c r="A101" s="274">
        <v>27.35</v>
      </c>
      <c r="B101" s="682" t="s">
        <v>1150</v>
      </c>
      <c r="C101" s="654" t="s">
        <v>85</v>
      </c>
      <c r="D101" s="2573"/>
      <c r="E101" s="2574"/>
      <c r="F101" s="2574"/>
      <c r="G101" s="2574"/>
      <c r="H101" s="2574"/>
      <c r="I101" s="2574"/>
      <c r="J101" s="2574"/>
      <c r="K101" s="2571"/>
    </row>
    <row r="102" spans="1:11" ht="24.9" customHeight="1">
      <c r="A102" s="3"/>
      <c r="B102" s="681"/>
      <c r="C102" s="654"/>
      <c r="D102" s="696"/>
      <c r="E102" s="697"/>
      <c r="F102" s="698"/>
      <c r="G102" s="698"/>
      <c r="H102" s="698"/>
      <c r="I102" s="683">
        <v>0.05</v>
      </c>
      <c r="J102" s="364">
        <f>I102*J92</f>
        <v>0</v>
      </c>
      <c r="K102" s="2577"/>
    </row>
    <row r="103" spans="1:11" ht="24.9" customHeight="1">
      <c r="A103" s="274">
        <v>27.36</v>
      </c>
      <c r="B103" s="680" t="s">
        <v>169</v>
      </c>
      <c r="C103" s="654" t="s">
        <v>85</v>
      </c>
      <c r="D103" s="2573"/>
      <c r="E103" s="2574"/>
      <c r="F103" s="2574"/>
      <c r="G103" s="2574"/>
      <c r="H103" s="2574"/>
      <c r="I103" s="2574"/>
      <c r="J103" s="2574"/>
      <c r="K103" s="2571"/>
    </row>
    <row r="104" spans="1:11" ht="24.9" customHeight="1">
      <c r="A104" s="301"/>
      <c r="B104" s="684"/>
      <c r="C104" s="654"/>
      <c r="D104" s="696"/>
      <c r="E104" s="2595"/>
      <c r="F104" s="2595"/>
      <c r="G104" s="2595"/>
      <c r="H104" s="2595"/>
      <c r="I104" s="683">
        <v>0.05</v>
      </c>
      <c r="J104" s="364">
        <f>I104*(H92+J92+J96+J98+J100)</f>
        <v>0</v>
      </c>
      <c r="K104" s="2577"/>
    </row>
    <row r="105" spans="1:11" ht="24.9" customHeight="1">
      <c r="A105" s="274">
        <v>27.37</v>
      </c>
      <c r="B105" s="680" t="s">
        <v>78</v>
      </c>
      <c r="C105" s="654" t="s">
        <v>85</v>
      </c>
      <c r="D105" s="2573"/>
      <c r="E105" s="2574"/>
      <c r="F105" s="2574"/>
      <c r="G105" s="2574"/>
      <c r="H105" s="2574"/>
      <c r="I105" s="2574"/>
      <c r="J105" s="2574"/>
      <c r="K105" s="2571"/>
    </row>
    <row r="106" spans="1:11" ht="24.9" customHeight="1">
      <c r="A106" s="301"/>
      <c r="B106" s="275"/>
      <c r="C106" s="654"/>
      <c r="D106" s="696"/>
      <c r="E106" s="697"/>
      <c r="F106" s="698"/>
      <c r="G106" s="2594"/>
      <c r="H106" s="2595"/>
      <c r="I106" s="683">
        <v>0.03</v>
      </c>
      <c r="J106" s="364">
        <f>ROUND(J92*I106,0)</f>
        <v>0</v>
      </c>
      <c r="K106" s="2577"/>
    </row>
    <row r="107" spans="1:11" ht="42" thickBot="1">
      <c r="A107" s="2586" t="s">
        <v>353</v>
      </c>
      <c r="B107" s="2587"/>
      <c r="C107" s="2587"/>
      <c r="D107" s="2588"/>
      <c r="E107" s="691" t="s">
        <v>194</v>
      </c>
      <c r="F107" s="692">
        <f xml:space="preserve"> SUM(F92+F94)</f>
        <v>0</v>
      </c>
      <c r="G107" s="691" t="s">
        <v>196</v>
      </c>
      <c r="H107" s="693">
        <f>SUM(H92+H94)</f>
        <v>0</v>
      </c>
      <c r="I107" s="694" t="s">
        <v>191</v>
      </c>
      <c r="J107" s="692">
        <f>SUM(J92:J106)</f>
        <v>0</v>
      </c>
      <c r="K107" s="695"/>
    </row>
    <row r="108" spans="1:11">
      <c r="B108" s="594"/>
      <c r="C108" s="18"/>
      <c r="D108" s="18"/>
      <c r="E108" s="18"/>
      <c r="F108" s="18"/>
      <c r="G108" s="18"/>
      <c r="H108" s="18"/>
      <c r="I108" s="116" t="s">
        <v>361</v>
      </c>
      <c r="J108" s="18"/>
      <c r="K108" s="18"/>
    </row>
    <row r="109" spans="1:11" ht="18.600000000000001">
      <c r="A109" s="595"/>
      <c r="G109" s="18"/>
      <c r="H109" s="18"/>
      <c r="I109" s="116" t="s">
        <v>362</v>
      </c>
      <c r="J109" s="18"/>
      <c r="K109" s="18"/>
    </row>
    <row r="110" spans="1:11" ht="18.600000000000001">
      <c r="A110" s="595"/>
      <c r="G110" s="18"/>
      <c r="H110" s="18"/>
      <c r="I110" s="116" t="s">
        <v>363</v>
      </c>
      <c r="J110" s="18"/>
      <c r="K110" s="18"/>
    </row>
    <row r="111" spans="1:11" ht="15">
      <c r="A111" s="596"/>
      <c r="G111" s="18"/>
      <c r="H111" s="18"/>
      <c r="I111" s="143" t="s">
        <v>364</v>
      </c>
      <c r="J111" s="597">
        <f>J107+H107</f>
        <v>0</v>
      </c>
      <c r="K111" s="18"/>
    </row>
    <row r="112" spans="1:11" ht="15.6" thickBot="1">
      <c r="A112" s="596"/>
      <c r="G112" s="18"/>
      <c r="H112" s="18"/>
      <c r="I112" s="18"/>
      <c r="J112" s="18"/>
      <c r="K112" s="18"/>
    </row>
    <row r="113" spans="1:11" s="268" customFormat="1" ht="36.75" customHeight="1" thickBot="1">
      <c r="A113" s="2389" t="s">
        <v>82</v>
      </c>
      <c r="B113" s="2088"/>
      <c r="C113" s="279" t="s">
        <v>87</v>
      </c>
      <c r="D113" s="279" t="s">
        <v>101</v>
      </c>
      <c r="E113" s="279" t="s">
        <v>706</v>
      </c>
      <c r="F113" s="279" t="s">
        <v>102</v>
      </c>
      <c r="G113" s="2414" t="s">
        <v>575</v>
      </c>
      <c r="H113" s="2612"/>
      <c r="I113" s="2613"/>
      <c r="J113" s="280" t="s">
        <v>576</v>
      </c>
      <c r="K113" s="280" t="s">
        <v>164</v>
      </c>
    </row>
    <row r="114" spans="1:11" s="268" customFormat="1" ht="20.100000000000001" customHeight="1">
      <c r="A114" s="2554" t="s">
        <v>136</v>
      </c>
      <c r="B114" s="2555"/>
      <c r="C114" s="610" t="s">
        <v>141</v>
      </c>
      <c r="D114" s="982">
        <v>0</v>
      </c>
      <c r="E114" s="982">
        <v>0</v>
      </c>
      <c r="F114" s="612">
        <f t="shared" ref="F114:F119" si="0">E114*D114</f>
        <v>0</v>
      </c>
      <c r="G114" s="2611"/>
      <c r="H114" s="2611"/>
      <c r="I114" s="2611"/>
      <c r="J114" s="1003">
        <v>0</v>
      </c>
      <c r="K114" s="1007"/>
    </row>
    <row r="115" spans="1:11" s="268" customFormat="1" ht="20.100000000000001" customHeight="1">
      <c r="A115" s="2552" t="s">
        <v>4</v>
      </c>
      <c r="B115" s="2553"/>
      <c r="C115" s="220" t="s">
        <v>141</v>
      </c>
      <c r="D115" s="962">
        <v>0</v>
      </c>
      <c r="E115" s="962">
        <v>0</v>
      </c>
      <c r="F115" s="219">
        <f t="shared" si="0"/>
        <v>0</v>
      </c>
      <c r="G115" s="2606"/>
      <c r="H115" s="2606"/>
      <c r="I115" s="2606"/>
      <c r="J115" s="1004">
        <v>0</v>
      </c>
      <c r="K115" s="1007"/>
    </row>
    <row r="116" spans="1:11" s="268" customFormat="1" ht="20.100000000000001" customHeight="1">
      <c r="A116" s="2552" t="s">
        <v>5</v>
      </c>
      <c r="B116" s="2553"/>
      <c r="C116" s="220" t="s">
        <v>141</v>
      </c>
      <c r="D116" s="962">
        <v>0</v>
      </c>
      <c r="E116" s="962">
        <v>0</v>
      </c>
      <c r="F116" s="219">
        <f t="shared" si="0"/>
        <v>0</v>
      </c>
      <c r="G116" s="2606"/>
      <c r="H116" s="2606"/>
      <c r="I116" s="2606"/>
      <c r="J116" s="1004">
        <v>0</v>
      </c>
      <c r="K116" s="1007"/>
    </row>
    <row r="117" spans="1:11" s="268" customFormat="1" ht="20.100000000000001" customHeight="1">
      <c r="A117" s="2093" t="s">
        <v>6</v>
      </c>
      <c r="B117" s="2094"/>
      <c r="C117" s="220" t="s">
        <v>141</v>
      </c>
      <c r="D117" s="962">
        <v>0</v>
      </c>
      <c r="E117" s="962">
        <v>0</v>
      </c>
      <c r="F117" s="219">
        <f t="shared" si="0"/>
        <v>0</v>
      </c>
      <c r="G117" s="2606"/>
      <c r="H117" s="2606"/>
      <c r="I117" s="2606"/>
      <c r="J117" s="1004">
        <v>0</v>
      </c>
      <c r="K117" s="1007"/>
    </row>
    <row r="118" spans="1:11" s="268" customFormat="1" ht="20.100000000000001" customHeight="1">
      <c r="A118" s="2093" t="s">
        <v>159</v>
      </c>
      <c r="B118" s="2094"/>
      <c r="C118" s="220" t="s">
        <v>141</v>
      </c>
      <c r="D118" s="962">
        <v>0</v>
      </c>
      <c r="E118" s="962">
        <v>0</v>
      </c>
      <c r="F118" s="219">
        <f>E118*D118</f>
        <v>0</v>
      </c>
      <c r="G118" s="2606"/>
      <c r="H118" s="2606"/>
      <c r="I118" s="2606"/>
      <c r="J118" s="1004">
        <v>0</v>
      </c>
      <c r="K118" s="1007"/>
    </row>
    <row r="119" spans="1:11" s="268" customFormat="1" ht="20.100000000000001" customHeight="1">
      <c r="A119" s="2093" t="s">
        <v>7</v>
      </c>
      <c r="B119" s="2094"/>
      <c r="C119" s="220" t="s">
        <v>141</v>
      </c>
      <c r="D119" s="962">
        <v>0</v>
      </c>
      <c r="E119" s="962">
        <v>0</v>
      </c>
      <c r="F119" s="219">
        <f t="shared" si="0"/>
        <v>0</v>
      </c>
      <c r="G119" s="2606"/>
      <c r="H119" s="2606"/>
      <c r="I119" s="2606"/>
      <c r="J119" s="1004">
        <v>0</v>
      </c>
      <c r="K119" s="1007"/>
    </row>
    <row r="120" spans="1:11" s="268" customFormat="1" ht="20.100000000000001" customHeight="1">
      <c r="A120" s="2552" t="s">
        <v>231</v>
      </c>
      <c r="B120" s="2553"/>
      <c r="C120" s="220" t="s">
        <v>141</v>
      </c>
      <c r="D120" s="962">
        <v>0</v>
      </c>
      <c r="E120" s="962">
        <v>0</v>
      </c>
      <c r="F120" s="219">
        <f>E120*D120</f>
        <v>0</v>
      </c>
      <c r="G120" s="2606"/>
      <c r="H120" s="2606"/>
      <c r="I120" s="2606"/>
      <c r="J120" s="1004">
        <v>0</v>
      </c>
      <c r="K120" s="1007"/>
    </row>
    <row r="121" spans="1:11" s="268" customFormat="1" ht="20.100000000000001" customHeight="1" thickBot="1">
      <c r="A121" s="2607" t="s">
        <v>238</v>
      </c>
      <c r="B121" s="2608"/>
      <c r="C121" s="613"/>
      <c r="D121" s="613"/>
      <c r="E121" s="613"/>
      <c r="F121" s="614">
        <f>SUM(F114:F120)</f>
        <v>0</v>
      </c>
      <c r="G121" s="2605" t="s">
        <v>1415</v>
      </c>
      <c r="H121" s="2605"/>
      <c r="I121" s="2605"/>
      <c r="J121" s="1005">
        <f>SUM(J114:J120)</f>
        <v>0</v>
      </c>
      <c r="K121" s="1005"/>
    </row>
    <row r="122" spans="1:11" s="268" customFormat="1" ht="20.100000000000001" customHeight="1" thickTop="1">
      <c r="A122" s="2609" t="s">
        <v>861</v>
      </c>
      <c r="B122" s="2610"/>
      <c r="C122" s="615" t="s">
        <v>141</v>
      </c>
      <c r="D122" s="983">
        <v>0</v>
      </c>
      <c r="E122" s="983">
        <v>0</v>
      </c>
      <c r="F122" s="616">
        <f>E122*D122</f>
        <v>0</v>
      </c>
      <c r="G122" s="2604" t="s">
        <v>1418</v>
      </c>
      <c r="H122" s="2604"/>
      <c r="I122" s="2604"/>
      <c r="J122" s="609" t="s">
        <v>1116</v>
      </c>
    </row>
    <row r="123" spans="1:11" s="268" customFormat="1" ht="20.100000000000001" customHeight="1" thickBot="1">
      <c r="A123" s="2596" t="s">
        <v>155</v>
      </c>
      <c r="B123" s="2597"/>
      <c r="C123" s="343" t="s">
        <v>141</v>
      </c>
      <c r="D123" s="966">
        <v>0</v>
      </c>
      <c r="E123" s="966">
        <v>0</v>
      </c>
      <c r="F123" s="328">
        <f>E123*D123</f>
        <v>0</v>
      </c>
      <c r="G123" s="2603" t="s">
        <v>1418</v>
      </c>
      <c r="H123" s="2603"/>
      <c r="I123" s="2603"/>
      <c r="J123" s="294" t="s">
        <v>1116</v>
      </c>
    </row>
    <row r="124" spans="1:11" s="288" customFormat="1" ht="20.100000000000001" customHeight="1" thickTop="1" thickBot="1">
      <c r="A124" s="2598" t="s">
        <v>156</v>
      </c>
      <c r="B124" s="2599"/>
      <c r="C124" s="540"/>
      <c r="D124" s="540"/>
      <c r="E124" s="540"/>
      <c r="F124" s="608">
        <f>SUM(F121:F123)</f>
        <v>0</v>
      </c>
      <c r="G124" s="2600" t="s">
        <v>1416</v>
      </c>
      <c r="H124" s="2601"/>
      <c r="I124" s="2602"/>
      <c r="J124" s="332">
        <f>J121</f>
        <v>0</v>
      </c>
    </row>
    <row r="125" spans="1:11" s="268" customFormat="1" ht="15.6">
      <c r="A125" s="289"/>
      <c r="C125" s="290"/>
      <c r="D125" s="290"/>
      <c r="E125" s="290"/>
      <c r="F125" s="346" t="s">
        <v>1816</v>
      </c>
      <c r="G125" s="3"/>
      <c r="J125" s="389" t="s">
        <v>1405</v>
      </c>
    </row>
    <row r="126" spans="1:11" ht="15">
      <c r="A126" s="596"/>
      <c r="G126" s="18"/>
      <c r="H126" s="18"/>
      <c r="I126" s="18"/>
      <c r="J126" s="18"/>
      <c r="K126" s="18"/>
    </row>
    <row r="127" spans="1:11" ht="15.6">
      <c r="A127" s="596"/>
      <c r="B127" s="617" t="s">
        <v>1417</v>
      </c>
      <c r="G127" s="18"/>
      <c r="H127" s="18"/>
      <c r="I127" s="18"/>
      <c r="J127" s="18"/>
      <c r="K127" s="18"/>
    </row>
  </sheetData>
  <mergeCells count="112">
    <mergeCell ref="G116:I116"/>
    <mergeCell ref="G115:I115"/>
    <mergeCell ref="G114:I114"/>
    <mergeCell ref="G113:I113"/>
    <mergeCell ref="A118:B118"/>
    <mergeCell ref="G118:I118"/>
    <mergeCell ref="C6:I6"/>
    <mergeCell ref="C5:I5"/>
    <mergeCell ref="C4:I4"/>
    <mergeCell ref="A113:B113"/>
    <mergeCell ref="A114:B114"/>
    <mergeCell ref="A115:B115"/>
    <mergeCell ref="A116:B116"/>
    <mergeCell ref="A4:B4"/>
    <mergeCell ref="D55:J55"/>
    <mergeCell ref="D52:J52"/>
    <mergeCell ref="D59:J59"/>
    <mergeCell ref="D61:J61"/>
    <mergeCell ref="D57:J57"/>
    <mergeCell ref="J4:K4"/>
    <mergeCell ref="A5:B5"/>
    <mergeCell ref="J5:K5"/>
    <mergeCell ref="A6:B6"/>
    <mergeCell ref="J6:K6"/>
    <mergeCell ref="A123:B123"/>
    <mergeCell ref="A124:B124"/>
    <mergeCell ref="G124:I124"/>
    <mergeCell ref="G123:I123"/>
    <mergeCell ref="G122:I122"/>
    <mergeCell ref="G121:I121"/>
    <mergeCell ref="G120:I120"/>
    <mergeCell ref="G119:I119"/>
    <mergeCell ref="G117:I117"/>
    <mergeCell ref="A117:B117"/>
    <mergeCell ref="A119:B119"/>
    <mergeCell ref="A120:B120"/>
    <mergeCell ref="A121:B121"/>
    <mergeCell ref="A122:B122"/>
    <mergeCell ref="A107:D107"/>
    <mergeCell ref="D90:J90"/>
    <mergeCell ref="A92:D92"/>
    <mergeCell ref="D93:J93"/>
    <mergeCell ref="G106:H106"/>
    <mergeCell ref="E104:H104"/>
    <mergeCell ref="D103:J103"/>
    <mergeCell ref="D101:J101"/>
    <mergeCell ref="E100:I100"/>
    <mergeCell ref="D99:J99"/>
    <mergeCell ref="K103:K104"/>
    <mergeCell ref="D10:J10"/>
    <mergeCell ref="D15:J15"/>
    <mergeCell ref="D20:J20"/>
    <mergeCell ref="D43:J43"/>
    <mergeCell ref="D76:J76"/>
    <mergeCell ref="K37:K38"/>
    <mergeCell ref="K43:K46"/>
    <mergeCell ref="K48:K49"/>
    <mergeCell ref="K52:K53"/>
    <mergeCell ref="K55:K56"/>
    <mergeCell ref="K50:K51"/>
    <mergeCell ref="D48:J48"/>
    <mergeCell ref="K80:K81"/>
    <mergeCell ref="K70:K71"/>
    <mergeCell ref="K84:K85"/>
    <mergeCell ref="K82:K83"/>
    <mergeCell ref="G85:J85"/>
    <mergeCell ref="E98:I98"/>
    <mergeCell ref="D82:J82"/>
    <mergeCell ref="D80:J80"/>
    <mergeCell ref="K39:K40"/>
    <mergeCell ref="K35:K36"/>
    <mergeCell ref="D41:J41"/>
    <mergeCell ref="D39:J39"/>
    <mergeCell ref="K97:K98"/>
    <mergeCell ref="K63:K64"/>
    <mergeCell ref="K57:K58"/>
    <mergeCell ref="D95:J95"/>
    <mergeCell ref="E96:I96"/>
    <mergeCell ref="K72:K73"/>
    <mergeCell ref="K74:K75"/>
    <mergeCell ref="K76:K77"/>
    <mergeCell ref="G83:J83"/>
    <mergeCell ref="K90:K91"/>
    <mergeCell ref="K59:K60"/>
    <mergeCell ref="E87:I87"/>
    <mergeCell ref="K61:K62"/>
    <mergeCell ref="D86:J86"/>
    <mergeCell ref="E89:I89"/>
    <mergeCell ref="K15:K18"/>
    <mergeCell ref="D68:J68"/>
    <mergeCell ref="D70:J70"/>
    <mergeCell ref="D65:J65"/>
    <mergeCell ref="A1:B1"/>
    <mergeCell ref="D74:J74"/>
    <mergeCell ref="D105:J105"/>
    <mergeCell ref="K105:K106"/>
    <mergeCell ref="K93:K94"/>
    <mergeCell ref="K101:K102"/>
    <mergeCell ref="K95:K96"/>
    <mergeCell ref="D35:J35"/>
    <mergeCell ref="D72:J72"/>
    <mergeCell ref="D37:J37"/>
    <mergeCell ref="K10:K13"/>
    <mergeCell ref="K20:K21"/>
    <mergeCell ref="K22:K25"/>
    <mergeCell ref="K99:K100"/>
    <mergeCell ref="D97:J97"/>
    <mergeCell ref="D84:J84"/>
    <mergeCell ref="K65:K67"/>
    <mergeCell ref="K68:K69"/>
    <mergeCell ref="K27:K30"/>
    <mergeCell ref="K41:K42"/>
  </mergeCells>
  <phoneticPr fontId="0" type="noConversion"/>
  <dataValidations count="1">
    <dataValidation type="list" allowBlank="1" showInputMessage="1" showErrorMessage="1" sqref="G114:G120" xr:uid="{00000000-0002-0000-2D00-000000000000}">
      <formula1>yesno</formula1>
    </dataValidation>
  </dataValidations>
  <printOptions horizontalCentered="1"/>
  <pageMargins left="0.5" right="0.5" top="1" bottom="1" header="0.5" footer="0.34"/>
  <pageSetup scale="58" fitToHeight="4" orientation="landscape" r:id="rId1"/>
  <headerFooter alignWithMargins="0">
    <oddHeader>&amp;C&amp;"Arial,Bold"&amp;14&amp;U&amp;A</oddHeader>
    <oddFooter>&amp;L&amp;F
&amp;A&amp;CPage &amp;P of &amp;N&amp;R&amp;D</oddFooter>
  </headerFooter>
  <rowBreaks count="2" manualBreakCount="2">
    <brk id="42" max="20" man="1"/>
    <brk id="81" max="20"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N93"/>
  <sheetViews>
    <sheetView showGridLines="0" zoomScale="85" zoomScaleNormal="85" zoomScaleSheetLayoutView="85" workbookViewId="0"/>
  </sheetViews>
  <sheetFormatPr defaultColWidth="9.109375" defaultRowHeight="13.2"/>
  <cols>
    <col min="1" max="1" width="6.33203125" style="135" customWidth="1"/>
    <col min="2" max="2" width="40.6640625" style="135" customWidth="1"/>
    <col min="3" max="3" width="10.6640625" style="135" customWidth="1"/>
    <col min="4" max="9" width="10.6640625" style="159" customWidth="1"/>
    <col min="10" max="10" width="11.44140625" style="159" customWidth="1"/>
    <col min="11" max="12" width="10.6640625" style="159" customWidth="1"/>
    <col min="13" max="13" width="42.33203125" style="159" hidden="1" customWidth="1"/>
    <col min="14" max="14" width="75.6640625" style="159" customWidth="1"/>
    <col min="15" max="16384" width="9.109375" style="135"/>
  </cols>
  <sheetData>
    <row r="1" spans="1:14" s="511" customFormat="1" ht="20.100000000000001" customHeight="1">
      <c r="A1" s="362" t="s">
        <v>592</v>
      </c>
      <c r="L1" s="602"/>
      <c r="N1" s="897" t="str">
        <f>'Project Information'!$B$3</f>
        <v>Enter project name &amp; description</v>
      </c>
    </row>
    <row r="2" spans="1:14" s="511" customFormat="1" ht="20.100000000000001" customHeight="1">
      <c r="A2" s="603"/>
      <c r="J2" s="604"/>
      <c r="N2" s="897" t="str">
        <f>'Project Information'!$B$1</f>
        <v>999999-1-32-01</v>
      </c>
    </row>
    <row r="3" spans="1:14" s="225" customFormat="1" ht="14.4" thickBot="1">
      <c r="A3" s="395"/>
      <c r="B3" s="270"/>
    </row>
    <row r="4" spans="1:14" s="225" customFormat="1" ht="28.5" customHeight="1" thickBot="1">
      <c r="A4" s="2086" t="s">
        <v>1396</v>
      </c>
      <c r="B4" s="2087"/>
      <c r="C4" s="2088" t="s">
        <v>1397</v>
      </c>
      <c r="D4" s="2088"/>
      <c r="E4" s="2088"/>
      <c r="F4" s="2088"/>
      <c r="G4" s="2088"/>
      <c r="H4" s="2088"/>
      <c r="I4" s="2088"/>
      <c r="J4" s="2088" t="s">
        <v>1398</v>
      </c>
      <c r="K4" s="2088"/>
      <c r="L4" s="2088"/>
      <c r="M4" s="2088"/>
      <c r="N4" s="2448"/>
    </row>
    <row r="5" spans="1:14" s="225" customFormat="1" ht="28.5" customHeight="1">
      <c r="A5" s="2619" t="s">
        <v>1400</v>
      </c>
      <c r="B5" s="2620"/>
      <c r="C5" s="2617"/>
      <c r="D5" s="2617"/>
      <c r="E5" s="2617"/>
      <c r="F5" s="2617"/>
      <c r="G5" s="2617"/>
      <c r="H5" s="2617"/>
      <c r="I5" s="2617"/>
      <c r="J5" s="2617"/>
      <c r="K5" s="2617"/>
      <c r="L5" s="2617"/>
      <c r="M5" s="2617"/>
      <c r="N5" s="2618"/>
    </row>
    <row r="6" spans="1:14" s="225" customFormat="1" ht="28.5" customHeight="1" thickBot="1">
      <c r="A6" s="2083" t="s">
        <v>1399</v>
      </c>
      <c r="B6" s="2084"/>
      <c r="C6" s="2085"/>
      <c r="D6" s="2085"/>
      <c r="E6" s="2085"/>
      <c r="F6" s="2085"/>
      <c r="G6" s="2085"/>
      <c r="H6" s="2085"/>
      <c r="I6" s="2085"/>
      <c r="J6" s="2085"/>
      <c r="K6" s="2085"/>
      <c r="L6" s="2085"/>
      <c r="M6" s="2085"/>
      <c r="N6" s="2446"/>
    </row>
    <row r="7" spans="1:14" s="225" customFormat="1" ht="15.6">
      <c r="A7" s="898" t="s">
        <v>1430</v>
      </c>
      <c r="B7" s="270"/>
    </row>
    <row r="8" spans="1:14" s="225" customFormat="1" ht="15" customHeight="1" thickBot="1">
      <c r="A8" s="898"/>
      <c r="B8" s="270"/>
    </row>
    <row r="9" spans="1:14" ht="48" customHeight="1">
      <c r="A9" s="318" t="s">
        <v>79</v>
      </c>
      <c r="B9" s="335" t="s">
        <v>190</v>
      </c>
      <c r="C9" s="266" t="s">
        <v>87</v>
      </c>
      <c r="D9" s="266" t="s">
        <v>45</v>
      </c>
      <c r="E9" s="297" t="s">
        <v>1021</v>
      </c>
      <c r="F9" s="2337" t="s">
        <v>514</v>
      </c>
      <c r="G9" s="2615"/>
      <c r="H9" s="2615"/>
      <c r="I9" s="2615"/>
      <c r="J9" s="2615"/>
      <c r="K9" s="2616"/>
      <c r="L9" s="297" t="s">
        <v>910</v>
      </c>
      <c r="M9" s="759" t="s">
        <v>164</v>
      </c>
      <c r="N9" s="319" t="s">
        <v>164</v>
      </c>
    </row>
    <row r="10" spans="1:14" ht="48" customHeight="1">
      <c r="A10" s="711"/>
      <c r="B10" s="712"/>
      <c r="C10" s="713"/>
      <c r="D10" s="713"/>
      <c r="E10" s="714"/>
      <c r="F10" s="714" t="s">
        <v>911</v>
      </c>
      <c r="G10" s="714" t="s">
        <v>912</v>
      </c>
      <c r="H10" s="714" t="s">
        <v>913</v>
      </c>
      <c r="I10" s="714" t="s">
        <v>914</v>
      </c>
      <c r="J10" s="714" t="s">
        <v>915</v>
      </c>
      <c r="K10" s="714" t="s">
        <v>916</v>
      </c>
      <c r="L10" s="714"/>
      <c r="M10" s="715"/>
      <c r="N10" s="716"/>
    </row>
    <row r="11" spans="1:14" ht="30" customHeight="1">
      <c r="A11" s="2668">
        <v>28.1</v>
      </c>
      <c r="B11" s="464" t="s">
        <v>414</v>
      </c>
      <c r="C11" s="220" t="s">
        <v>917</v>
      </c>
      <c r="D11" s="962">
        <v>0</v>
      </c>
      <c r="E11" s="962">
        <v>0</v>
      </c>
      <c r="F11" s="542"/>
      <c r="G11" s="542"/>
      <c r="H11" s="542"/>
      <c r="I11" s="542"/>
      <c r="J11" s="542"/>
      <c r="K11" s="985">
        <f>D11*E11</f>
        <v>0</v>
      </c>
      <c r="L11" s="685">
        <f>SUM(F11:K11)</f>
        <v>0</v>
      </c>
      <c r="M11" s="717"/>
      <c r="N11" s="762" t="s">
        <v>918</v>
      </c>
    </row>
    <row r="12" spans="1:14" s="588" customFormat="1" ht="30" customHeight="1">
      <c r="A12" s="2669"/>
      <c r="B12" s="718"/>
      <c r="C12" s="220" t="s">
        <v>917</v>
      </c>
      <c r="D12" s="962">
        <v>0</v>
      </c>
      <c r="E12" s="962">
        <v>0</v>
      </c>
      <c r="F12" s="763"/>
      <c r="G12" s="984">
        <f>E12*D12</f>
        <v>0</v>
      </c>
      <c r="H12" s="763"/>
      <c r="I12" s="763"/>
      <c r="J12" s="763"/>
      <c r="K12" s="763"/>
      <c r="L12" s="685">
        <f>SUM(F12:K12)</f>
        <v>0</v>
      </c>
      <c r="M12" s="719"/>
      <c r="N12" s="762" t="s">
        <v>919</v>
      </c>
    </row>
    <row r="13" spans="1:14" s="160" customFormat="1" ht="15" customHeight="1">
      <c r="A13" s="637"/>
      <c r="B13" s="720"/>
      <c r="C13" s="720"/>
      <c r="D13" s="720"/>
      <c r="E13" s="720"/>
      <c r="F13" s="720"/>
      <c r="G13" s="720"/>
      <c r="H13" s="720"/>
      <c r="I13" s="720"/>
      <c r="J13" s="720"/>
      <c r="K13" s="720"/>
      <c r="L13" s="811"/>
      <c r="M13" s="720"/>
      <c r="N13" s="721"/>
    </row>
    <row r="14" spans="1:14" ht="30" customHeight="1">
      <c r="A14" s="2655">
        <v>28.2</v>
      </c>
      <c r="B14" s="2661" t="s">
        <v>415</v>
      </c>
      <c r="C14" s="2662"/>
      <c r="D14" s="2662"/>
      <c r="E14" s="2662"/>
      <c r="F14" s="2662"/>
      <c r="G14" s="2662"/>
      <c r="H14" s="2662"/>
      <c r="I14" s="2662"/>
      <c r="J14" s="2662"/>
      <c r="K14" s="2662"/>
      <c r="L14" s="2662"/>
      <c r="M14" s="2662"/>
      <c r="N14" s="2663"/>
    </row>
    <row r="15" spans="1:14" ht="30" customHeight="1">
      <c r="A15" s="2656"/>
      <c r="B15" s="448" t="s">
        <v>416</v>
      </c>
      <c r="C15" s="542" t="s">
        <v>429</v>
      </c>
      <c r="D15" s="962">
        <v>0</v>
      </c>
      <c r="E15" s="962">
        <v>0</v>
      </c>
      <c r="F15" s="984">
        <f>E15*D15</f>
        <v>0</v>
      </c>
      <c r="G15" s="764"/>
      <c r="H15" s="542"/>
      <c r="I15" s="542"/>
      <c r="J15" s="542"/>
      <c r="K15" s="542"/>
      <c r="L15" s="685">
        <f>SUM(F15:K15)</f>
        <v>0</v>
      </c>
      <c r="M15" s="722"/>
      <c r="N15" s="765" t="s">
        <v>920</v>
      </c>
    </row>
    <row r="16" spans="1:14" ht="30" customHeight="1">
      <c r="A16" s="2670"/>
      <c r="B16" s="448"/>
      <c r="C16" s="542" t="s">
        <v>429</v>
      </c>
      <c r="D16" s="962">
        <v>0</v>
      </c>
      <c r="E16" s="962">
        <v>0</v>
      </c>
      <c r="F16" s="542"/>
      <c r="G16" s="984">
        <f>E16*D16</f>
        <v>0</v>
      </c>
      <c r="H16" s="542"/>
      <c r="I16" s="542"/>
      <c r="J16" s="542"/>
      <c r="K16" s="542"/>
      <c r="L16" s="685">
        <f>SUM(F16:K16)</f>
        <v>0</v>
      </c>
      <c r="M16" s="722"/>
      <c r="N16" s="765" t="s">
        <v>921</v>
      </c>
    </row>
    <row r="17" spans="1:14" s="161" customFormat="1" ht="15" customHeight="1">
      <c r="A17" s="723"/>
      <c r="B17" s="724"/>
      <c r="C17" s="724"/>
      <c r="D17" s="724"/>
      <c r="E17" s="724"/>
      <c r="F17" s="724"/>
      <c r="G17" s="724"/>
      <c r="H17" s="724"/>
      <c r="I17" s="724"/>
      <c r="J17" s="724"/>
      <c r="K17" s="724"/>
      <c r="L17" s="810"/>
      <c r="M17" s="724"/>
      <c r="N17" s="725"/>
    </row>
    <row r="18" spans="1:14" ht="30" customHeight="1">
      <c r="A18" s="2667">
        <v>28.3</v>
      </c>
      <c r="B18" s="726" t="s">
        <v>922</v>
      </c>
      <c r="C18" s="2492"/>
      <c r="D18" s="2493"/>
      <c r="E18" s="2493"/>
      <c r="F18" s="2493"/>
      <c r="G18" s="2493"/>
      <c r="H18" s="2493"/>
      <c r="I18" s="2493"/>
      <c r="J18" s="2493"/>
      <c r="K18" s="2493"/>
      <c r="L18" s="2493"/>
      <c r="M18" s="2493"/>
      <c r="N18" s="2494"/>
    </row>
    <row r="19" spans="1:14" ht="30" customHeight="1">
      <c r="A19" s="2667"/>
      <c r="B19" s="448" t="s">
        <v>664</v>
      </c>
      <c r="C19" s="542" t="s">
        <v>923</v>
      </c>
      <c r="D19" s="962">
        <v>0</v>
      </c>
      <c r="E19" s="962">
        <v>0</v>
      </c>
      <c r="F19" s="542"/>
      <c r="G19" s="542"/>
      <c r="H19" s="542"/>
      <c r="I19" s="542"/>
      <c r="J19" s="542"/>
      <c r="K19" s="985">
        <f>D19*E19</f>
        <v>0</v>
      </c>
      <c r="L19" s="685">
        <f>SUM(F19:K19)</f>
        <v>0</v>
      </c>
      <c r="M19" s="722"/>
      <c r="N19" s="606" t="s">
        <v>918</v>
      </c>
    </row>
    <row r="20" spans="1:14" ht="30" customHeight="1">
      <c r="A20" s="2657"/>
      <c r="B20" s="448" t="s">
        <v>665</v>
      </c>
      <c r="C20" s="542" t="s">
        <v>923</v>
      </c>
      <c r="D20" s="962">
        <v>0</v>
      </c>
      <c r="E20" s="962">
        <v>0</v>
      </c>
      <c r="F20" s="542"/>
      <c r="G20" s="542"/>
      <c r="H20" s="542"/>
      <c r="I20" s="542"/>
      <c r="J20" s="542"/>
      <c r="K20" s="985">
        <f>D20*E20</f>
        <v>0</v>
      </c>
      <c r="L20" s="685">
        <f>SUM(F20:K20)</f>
        <v>0</v>
      </c>
      <c r="M20" s="722"/>
      <c r="N20" s="765" t="s">
        <v>918</v>
      </c>
    </row>
    <row r="21" spans="1:14" s="161" customFormat="1" ht="15" customHeight="1">
      <c r="A21" s="723"/>
      <c r="B21" s="724"/>
      <c r="C21" s="724"/>
      <c r="D21" s="724"/>
      <c r="E21" s="724"/>
      <c r="F21" s="724"/>
      <c r="G21" s="724"/>
      <c r="H21" s="724"/>
      <c r="I21" s="724"/>
      <c r="J21" s="724"/>
      <c r="K21" s="724"/>
      <c r="L21" s="810"/>
      <c r="M21" s="724"/>
      <c r="N21" s="725"/>
    </row>
    <row r="22" spans="1:14" ht="30" customHeight="1">
      <c r="A22" s="2655">
        <v>28.4</v>
      </c>
      <c r="B22" s="726" t="s">
        <v>663</v>
      </c>
      <c r="C22" s="2492"/>
      <c r="D22" s="2493"/>
      <c r="E22" s="2493"/>
      <c r="F22" s="2493"/>
      <c r="G22" s="2493"/>
      <c r="H22" s="2493"/>
      <c r="I22" s="2493"/>
      <c r="J22" s="2493"/>
      <c r="K22" s="2493"/>
      <c r="L22" s="2493"/>
      <c r="M22" s="2493"/>
      <c r="N22" s="2494"/>
    </row>
    <row r="23" spans="1:14" ht="30" customHeight="1">
      <c r="A23" s="2656"/>
      <c r="B23" s="448" t="s">
        <v>664</v>
      </c>
      <c r="C23" s="542" t="s">
        <v>924</v>
      </c>
      <c r="D23" s="962">
        <v>0</v>
      </c>
      <c r="E23" s="962">
        <v>0</v>
      </c>
      <c r="F23" s="542"/>
      <c r="G23" s="542"/>
      <c r="H23" s="542"/>
      <c r="I23" s="542"/>
      <c r="J23" s="542"/>
      <c r="K23" s="985">
        <f>D23*E23</f>
        <v>0</v>
      </c>
      <c r="L23" s="685">
        <f t="shared" ref="L23:L30" si="0">SUM(F23:K23)</f>
        <v>0</v>
      </c>
      <c r="M23" s="722"/>
      <c r="N23" s="606"/>
    </row>
    <row r="24" spans="1:14" ht="30" customHeight="1">
      <c r="A24" s="2657"/>
      <c r="B24" s="448" t="s">
        <v>665</v>
      </c>
      <c r="C24" s="542" t="s">
        <v>924</v>
      </c>
      <c r="D24" s="962">
        <v>0</v>
      </c>
      <c r="E24" s="962">
        <v>0</v>
      </c>
      <c r="F24" s="542"/>
      <c r="G24" s="542"/>
      <c r="H24" s="542"/>
      <c r="I24" s="542"/>
      <c r="J24" s="542"/>
      <c r="K24" s="985">
        <f>D24*E24</f>
        <v>0</v>
      </c>
      <c r="L24" s="685">
        <f t="shared" si="0"/>
        <v>0</v>
      </c>
      <c r="M24" s="722"/>
      <c r="N24" s="765"/>
    </row>
    <row r="25" spans="1:14" s="163" customFormat="1" ht="15" customHeight="1">
      <c r="A25" s="730"/>
      <c r="B25" s="731"/>
      <c r="C25" s="731"/>
      <c r="D25" s="731"/>
      <c r="E25" s="731"/>
      <c r="F25" s="731"/>
      <c r="G25" s="731"/>
      <c r="H25" s="731"/>
      <c r="I25" s="731"/>
      <c r="J25" s="731"/>
      <c r="K25" s="731"/>
      <c r="L25" s="809"/>
      <c r="M25" s="731"/>
      <c r="N25" s="732"/>
    </row>
    <row r="26" spans="1:14" ht="30" customHeight="1">
      <c r="A26" s="645">
        <v>28.5</v>
      </c>
      <c r="B26" s="729" t="s">
        <v>417</v>
      </c>
      <c r="C26" s="542" t="s">
        <v>100</v>
      </c>
      <c r="D26" s="962">
        <v>0</v>
      </c>
      <c r="E26" s="962">
        <v>0</v>
      </c>
      <c r="F26" s="542"/>
      <c r="G26" s="542"/>
      <c r="H26" s="542"/>
      <c r="I26" s="542"/>
      <c r="J26" s="985">
        <f>D26*E26</f>
        <v>0</v>
      </c>
      <c r="K26" s="542"/>
      <c r="L26" s="685">
        <f t="shared" si="0"/>
        <v>0</v>
      </c>
      <c r="M26" s="722"/>
      <c r="N26" s="606"/>
    </row>
    <row r="27" spans="1:14" s="162" customFormat="1" ht="15" customHeight="1">
      <c r="A27" s="733"/>
      <c r="B27" s="727"/>
      <c r="C27" s="727"/>
      <c r="D27" s="221"/>
      <c r="E27" s="766"/>
      <c r="F27" s="727"/>
      <c r="G27" s="727"/>
      <c r="H27" s="727"/>
      <c r="I27" s="727"/>
      <c r="J27" s="727"/>
      <c r="K27" s="727"/>
      <c r="L27" s="802"/>
      <c r="M27" s="727"/>
      <c r="N27" s="728"/>
    </row>
    <row r="28" spans="1:14" ht="30" customHeight="1">
      <c r="A28" s="629">
        <v>28.6</v>
      </c>
      <c r="B28" s="729" t="s">
        <v>670</v>
      </c>
      <c r="C28" s="736" t="s">
        <v>303</v>
      </c>
      <c r="D28" s="962">
        <v>0</v>
      </c>
      <c r="E28" s="962">
        <v>0</v>
      </c>
      <c r="F28" s="984">
        <f>E28*D28</f>
        <v>0</v>
      </c>
      <c r="G28" s="764"/>
      <c r="H28" s="764"/>
      <c r="I28" s="542"/>
      <c r="J28" s="542"/>
      <c r="K28" s="542"/>
      <c r="L28" s="685">
        <f t="shared" si="0"/>
        <v>0</v>
      </c>
      <c r="M28" s="722"/>
      <c r="N28" s="606" t="s">
        <v>920</v>
      </c>
    </row>
    <row r="29" spans="1:14" ht="30" customHeight="1">
      <c r="A29" s="1090"/>
      <c r="B29" s="729"/>
      <c r="C29" s="736" t="s">
        <v>303</v>
      </c>
      <c r="D29" s="962">
        <v>0</v>
      </c>
      <c r="E29" s="962">
        <v>0</v>
      </c>
      <c r="F29" s="764"/>
      <c r="G29" s="984">
        <f>E29*D29</f>
        <v>0</v>
      </c>
      <c r="H29" s="764"/>
      <c r="I29" s="542"/>
      <c r="J29" s="542"/>
      <c r="K29" s="542"/>
      <c r="L29" s="685">
        <f t="shared" si="0"/>
        <v>0</v>
      </c>
      <c r="M29" s="722"/>
      <c r="N29" s="606" t="s">
        <v>919</v>
      </c>
    </row>
    <row r="30" spans="1:14" ht="30" customHeight="1">
      <c r="A30" s="1089"/>
      <c r="B30" s="729"/>
      <c r="C30" s="542" t="s">
        <v>303</v>
      </c>
      <c r="D30" s="962">
        <v>0</v>
      </c>
      <c r="E30" s="962">
        <v>0</v>
      </c>
      <c r="F30" s="764"/>
      <c r="G30" s="764"/>
      <c r="H30" s="984">
        <f>E30*D30</f>
        <v>0</v>
      </c>
      <c r="I30" s="542"/>
      <c r="J30" s="542"/>
      <c r="K30" s="542"/>
      <c r="L30" s="685">
        <f t="shared" si="0"/>
        <v>0</v>
      </c>
      <c r="M30" s="722"/>
      <c r="N30" s="606" t="s">
        <v>927</v>
      </c>
    </row>
    <row r="31" spans="1:14" s="162" customFormat="1" ht="15" customHeight="1">
      <c r="A31" s="1091"/>
      <c r="B31" s="737"/>
      <c r="C31" s="737"/>
      <c r="D31" s="737"/>
      <c r="E31" s="737"/>
      <c r="F31" s="737"/>
      <c r="G31" s="737"/>
      <c r="H31" s="737"/>
      <c r="I31" s="737"/>
      <c r="J31" s="737"/>
      <c r="K31" s="737"/>
      <c r="L31" s="737"/>
      <c r="M31" s="737"/>
      <c r="N31" s="738"/>
    </row>
    <row r="32" spans="1:14" ht="30" customHeight="1">
      <c r="A32" s="2658">
        <v>28.7</v>
      </c>
      <c r="B32" s="2661" t="s">
        <v>193</v>
      </c>
      <c r="C32" s="2662"/>
      <c r="D32" s="2662"/>
      <c r="E32" s="2662"/>
      <c r="F32" s="2662"/>
      <c r="G32" s="2662"/>
      <c r="H32" s="2662"/>
      <c r="I32" s="2662"/>
      <c r="J32" s="2662"/>
      <c r="K32" s="2662"/>
      <c r="L32" s="2662"/>
      <c r="M32" s="2662"/>
      <c r="N32" s="2663"/>
    </row>
    <row r="33" spans="1:14" ht="30" customHeight="1">
      <c r="A33" s="2659"/>
      <c r="B33" s="664" t="s">
        <v>418</v>
      </c>
      <c r="C33" s="739" t="s">
        <v>427</v>
      </c>
      <c r="D33" s="962">
        <v>0</v>
      </c>
      <c r="E33" s="962">
        <v>0</v>
      </c>
      <c r="F33" s="984">
        <f>E33*D33</f>
        <v>0</v>
      </c>
      <c r="G33" s="764"/>
      <c r="H33" s="542"/>
      <c r="I33" s="542"/>
      <c r="J33" s="542"/>
      <c r="K33" s="542"/>
      <c r="L33" s="685">
        <f>SUM(F33:K33)</f>
        <v>0</v>
      </c>
      <c r="M33" s="2664"/>
      <c r="N33" s="606" t="s">
        <v>920</v>
      </c>
    </row>
    <row r="34" spans="1:14" ht="30" customHeight="1">
      <c r="A34" s="2659"/>
      <c r="B34" s="664"/>
      <c r="C34" s="739" t="s">
        <v>427</v>
      </c>
      <c r="D34" s="962">
        <v>0</v>
      </c>
      <c r="E34" s="962">
        <v>0</v>
      </c>
      <c r="F34" s="764"/>
      <c r="G34" s="984">
        <f>E34*D34</f>
        <v>0</v>
      </c>
      <c r="H34" s="542"/>
      <c r="I34" s="542"/>
      <c r="J34" s="542"/>
      <c r="K34" s="542"/>
      <c r="L34" s="685">
        <f>SUM(F34:K34)</f>
        <v>0</v>
      </c>
      <c r="M34" s="2664"/>
      <c r="N34" s="765" t="s">
        <v>919</v>
      </c>
    </row>
    <row r="35" spans="1:14" ht="30" customHeight="1">
      <c r="A35" s="2659"/>
      <c r="B35" s="448" t="s">
        <v>419</v>
      </c>
      <c r="C35" s="739" t="s">
        <v>427</v>
      </c>
      <c r="D35" s="962">
        <v>0</v>
      </c>
      <c r="E35" s="962">
        <v>0</v>
      </c>
      <c r="F35" s="984">
        <f>E35*D35</f>
        <v>0</v>
      </c>
      <c r="G35" s="764"/>
      <c r="H35" s="542"/>
      <c r="I35" s="542"/>
      <c r="J35" s="542"/>
      <c r="K35" s="542"/>
      <c r="L35" s="685">
        <f>SUM(F35:K35)</f>
        <v>0</v>
      </c>
      <c r="M35" s="2664"/>
      <c r="N35" s="765" t="s">
        <v>920</v>
      </c>
    </row>
    <row r="36" spans="1:14" ht="30" customHeight="1">
      <c r="A36" s="2660"/>
      <c r="B36" s="448"/>
      <c r="C36" s="739" t="s">
        <v>427</v>
      </c>
      <c r="D36" s="962">
        <v>0</v>
      </c>
      <c r="E36" s="962">
        <v>0</v>
      </c>
      <c r="F36" s="764"/>
      <c r="G36" s="984">
        <f>E36*D36</f>
        <v>0</v>
      </c>
      <c r="H36" s="542"/>
      <c r="I36" s="542"/>
      <c r="J36" s="542"/>
      <c r="K36" s="542"/>
      <c r="L36" s="685">
        <f>SUM(F36:K36)</f>
        <v>0</v>
      </c>
      <c r="M36" s="722"/>
      <c r="N36" s="606" t="s">
        <v>919</v>
      </c>
    </row>
    <row r="37" spans="1:14" ht="15" customHeight="1">
      <c r="A37" s="1092"/>
      <c r="B37" s="735"/>
      <c r="C37" s="740"/>
      <c r="D37" s="766"/>
      <c r="E37" s="766"/>
      <c r="F37" s="742"/>
      <c r="G37" s="767"/>
      <c r="H37" s="740"/>
      <c r="I37" s="740"/>
      <c r="J37" s="740"/>
      <c r="K37" s="740"/>
      <c r="L37" s="799"/>
      <c r="M37" s="735"/>
      <c r="N37" s="768"/>
    </row>
    <row r="38" spans="1:14" ht="30" customHeight="1">
      <c r="A38" s="2658">
        <v>28.8</v>
      </c>
      <c r="B38" s="2665" t="s">
        <v>671</v>
      </c>
      <c r="C38" s="2666"/>
      <c r="D38" s="2666"/>
      <c r="E38" s="2666"/>
      <c r="F38" s="2666"/>
      <c r="G38" s="2666"/>
      <c r="H38" s="2666"/>
      <c r="I38" s="2666"/>
      <c r="J38" s="2666"/>
      <c r="K38" s="2666"/>
      <c r="L38" s="800"/>
      <c r="M38" s="769"/>
      <c r="N38" s="606"/>
    </row>
    <row r="39" spans="1:14" ht="30" customHeight="1">
      <c r="A39" s="2659"/>
      <c r="B39" s="670" t="s">
        <v>672</v>
      </c>
      <c r="C39" s="542" t="s">
        <v>412</v>
      </c>
      <c r="D39" s="962">
        <v>0</v>
      </c>
      <c r="E39" s="962">
        <v>0</v>
      </c>
      <c r="F39" s="542"/>
      <c r="G39" s="984">
        <f>E39*D39</f>
        <v>0</v>
      </c>
      <c r="H39" s="542"/>
      <c r="I39" s="542"/>
      <c r="J39" s="542"/>
      <c r="K39" s="542"/>
      <c r="L39" s="685">
        <f>SUM(F39:K39)</f>
        <v>0</v>
      </c>
      <c r="M39" s="726"/>
      <c r="N39" s="765" t="s">
        <v>919</v>
      </c>
    </row>
    <row r="40" spans="1:14" ht="30" customHeight="1">
      <c r="A40" s="2660"/>
      <c r="B40" s="664" t="s">
        <v>673</v>
      </c>
      <c r="C40" s="542" t="s">
        <v>412</v>
      </c>
      <c r="D40" s="962">
        <v>0</v>
      </c>
      <c r="E40" s="962">
        <v>0</v>
      </c>
      <c r="F40" s="542"/>
      <c r="G40" s="984">
        <f>E40*D40</f>
        <v>0</v>
      </c>
      <c r="H40" s="542"/>
      <c r="I40" s="542"/>
      <c r="J40" s="542"/>
      <c r="K40" s="542"/>
      <c r="L40" s="685">
        <f>SUM(F40:K40)</f>
        <v>0</v>
      </c>
      <c r="M40" s="726"/>
      <c r="N40" s="765" t="s">
        <v>919</v>
      </c>
    </row>
    <row r="41" spans="1:14" ht="15" customHeight="1">
      <c r="A41" s="1092"/>
      <c r="B41" s="735"/>
      <c r="C41" s="740"/>
      <c r="D41" s="766"/>
      <c r="E41" s="766"/>
      <c r="F41" s="742"/>
      <c r="G41" s="767"/>
      <c r="H41" s="740"/>
      <c r="I41" s="740"/>
      <c r="J41" s="740"/>
      <c r="K41" s="740"/>
      <c r="L41" s="799"/>
      <c r="M41" s="735"/>
      <c r="N41" s="768"/>
    </row>
    <row r="42" spans="1:14" ht="30" customHeight="1">
      <c r="A42" s="271">
        <v>28.9</v>
      </c>
      <c r="B42" s="741" t="s">
        <v>667</v>
      </c>
      <c r="C42" s="670" t="s">
        <v>428</v>
      </c>
      <c r="D42" s="962">
        <v>0</v>
      </c>
      <c r="E42" s="962">
        <v>0</v>
      </c>
      <c r="F42" s="542"/>
      <c r="G42" s="764"/>
      <c r="H42" s="542"/>
      <c r="I42" s="984">
        <f>E42*D42</f>
        <v>0</v>
      </c>
      <c r="J42" s="542"/>
      <c r="K42" s="542"/>
      <c r="L42" s="685">
        <f>SUM(F42:K42)</f>
        <v>0</v>
      </c>
      <c r="M42" s="717"/>
      <c r="N42" s="606" t="s">
        <v>925</v>
      </c>
    </row>
    <row r="43" spans="1:14" s="161" customFormat="1" ht="15" customHeight="1">
      <c r="A43" s="1093"/>
      <c r="B43" s="742"/>
      <c r="C43" s="742"/>
      <c r="D43" s="742"/>
      <c r="E43" s="742"/>
      <c r="F43" s="742"/>
      <c r="G43" s="742"/>
      <c r="H43" s="742"/>
      <c r="I43" s="742"/>
      <c r="J43" s="742"/>
      <c r="K43" s="742"/>
      <c r="L43" s="801"/>
      <c r="M43" s="742"/>
      <c r="N43" s="743"/>
    </row>
    <row r="44" spans="1:14" ht="30" customHeight="1">
      <c r="A44" s="274">
        <v>28.1</v>
      </c>
      <c r="B44" s="729" t="s">
        <v>420</v>
      </c>
      <c r="C44" s="670" t="s">
        <v>428</v>
      </c>
      <c r="D44" s="962">
        <v>0</v>
      </c>
      <c r="E44" s="962">
        <v>0</v>
      </c>
      <c r="F44" s="764"/>
      <c r="G44" s="764"/>
      <c r="H44" s="764"/>
      <c r="I44" s="984">
        <f>E44*D44</f>
        <v>0</v>
      </c>
      <c r="J44" s="764"/>
      <c r="K44" s="764"/>
      <c r="L44" s="685">
        <f>SUM(F44:K44)</f>
        <v>0</v>
      </c>
      <c r="M44" s="717"/>
      <c r="N44" s="606"/>
    </row>
    <row r="45" spans="1:14" ht="15" customHeight="1">
      <c r="A45" s="1092"/>
      <c r="B45" s="744"/>
      <c r="C45" s="745"/>
      <c r="D45" s="221"/>
      <c r="E45" s="221"/>
      <c r="F45" s="742"/>
      <c r="G45" s="742"/>
      <c r="H45" s="742"/>
      <c r="I45" s="770"/>
      <c r="J45" s="742"/>
      <c r="K45" s="742"/>
      <c r="L45" s="799"/>
      <c r="M45" s="735"/>
      <c r="N45" s="768"/>
    </row>
    <row r="46" spans="1:14" ht="30" customHeight="1">
      <c r="A46" s="274">
        <v>28.11</v>
      </c>
      <c r="B46" s="729" t="s">
        <v>421</v>
      </c>
      <c r="C46" s="277" t="s">
        <v>428</v>
      </c>
      <c r="D46" s="962">
        <v>0</v>
      </c>
      <c r="E46" s="962">
        <v>0</v>
      </c>
      <c r="F46" s="764"/>
      <c r="G46" s="764"/>
      <c r="H46" s="764"/>
      <c r="I46" s="984">
        <f>E46*D46</f>
        <v>0</v>
      </c>
      <c r="J46" s="764"/>
      <c r="K46" s="764"/>
      <c r="L46" s="685">
        <f>SUM(F46:K46)</f>
        <v>0</v>
      </c>
      <c r="M46" s="717"/>
      <c r="N46" s="606"/>
    </row>
    <row r="47" spans="1:14" s="162" customFormat="1" ht="15" customHeight="1">
      <c r="A47" s="1088"/>
      <c r="B47" s="727"/>
      <c r="C47" s="727"/>
      <c r="D47" s="727"/>
      <c r="E47" s="727"/>
      <c r="F47" s="727"/>
      <c r="G47" s="727"/>
      <c r="H47" s="727"/>
      <c r="I47" s="727"/>
      <c r="J47" s="727"/>
      <c r="K47" s="727"/>
      <c r="L47" s="802"/>
      <c r="M47" s="727"/>
      <c r="N47" s="728"/>
    </row>
    <row r="48" spans="1:14" ht="30" customHeight="1">
      <c r="A48" s="301">
        <v>28.12</v>
      </c>
      <c r="B48" s="729" t="s">
        <v>422</v>
      </c>
      <c r="C48" s="542" t="s">
        <v>100</v>
      </c>
      <c r="D48" s="962">
        <v>0</v>
      </c>
      <c r="E48" s="962">
        <v>0</v>
      </c>
      <c r="F48" s="764"/>
      <c r="G48" s="764"/>
      <c r="H48" s="984">
        <f>E48*D48</f>
        <v>0</v>
      </c>
      <c r="I48" s="764"/>
      <c r="J48" s="764"/>
      <c r="K48" s="764"/>
      <c r="L48" s="685">
        <f>SUM(F48:K48)</f>
        <v>0</v>
      </c>
      <c r="M48" s="448"/>
      <c r="N48" s="606" t="s">
        <v>927</v>
      </c>
    </row>
    <row r="49" spans="1:14" ht="30" customHeight="1">
      <c r="A49" s="1089"/>
      <c r="B49" s="729"/>
      <c r="C49" s="542" t="s">
        <v>100</v>
      </c>
      <c r="D49" s="962">
        <v>0</v>
      </c>
      <c r="E49" s="962">
        <v>0</v>
      </c>
      <c r="F49" s="764"/>
      <c r="G49" s="764"/>
      <c r="H49" s="764"/>
      <c r="I49" s="984">
        <f>E49*D49</f>
        <v>0</v>
      </c>
      <c r="J49" s="764"/>
      <c r="K49" s="764"/>
      <c r="L49" s="685">
        <f>SUM(F49:K49)</f>
        <v>0</v>
      </c>
      <c r="M49" s="448"/>
      <c r="N49" s="606" t="s">
        <v>925</v>
      </c>
    </row>
    <row r="50" spans="1:14" ht="15" customHeight="1">
      <c r="A50" s="1094"/>
      <c r="B50" s="746"/>
      <c r="C50" s="747"/>
      <c r="D50" s="771"/>
      <c r="E50" s="771"/>
      <c r="F50" s="772"/>
      <c r="G50" s="772"/>
      <c r="H50" s="772"/>
      <c r="I50" s="772"/>
      <c r="J50" s="772"/>
      <c r="K50" s="772"/>
      <c r="L50" s="803"/>
      <c r="M50" s="748"/>
      <c r="N50" s="773"/>
    </row>
    <row r="51" spans="1:14" ht="30" customHeight="1">
      <c r="A51" s="622">
        <v>28.13</v>
      </c>
      <c r="B51" s="749" t="s">
        <v>674</v>
      </c>
      <c r="C51" s="739" t="s">
        <v>412</v>
      </c>
      <c r="D51" s="962">
        <v>0</v>
      </c>
      <c r="E51" s="962">
        <v>0</v>
      </c>
      <c r="F51" s="774"/>
      <c r="G51" s="984">
        <f>E51*D51</f>
        <v>0</v>
      </c>
      <c r="H51" s="542"/>
      <c r="I51" s="542"/>
      <c r="J51" s="542"/>
      <c r="K51" s="542"/>
      <c r="L51" s="685">
        <f>SUM(F51:K51)</f>
        <v>0</v>
      </c>
      <c r="M51" s="726"/>
      <c r="N51" s="765" t="s">
        <v>919</v>
      </c>
    </row>
    <row r="52" spans="1:14" ht="15" customHeight="1">
      <c r="A52" s="1107"/>
      <c r="B52" s="746"/>
      <c r="C52" s="747"/>
      <c r="D52" s="771"/>
      <c r="E52" s="771"/>
      <c r="F52" s="772"/>
      <c r="G52" s="772"/>
      <c r="H52" s="772"/>
      <c r="I52" s="772"/>
      <c r="J52" s="772"/>
      <c r="K52" s="772"/>
      <c r="L52" s="803"/>
      <c r="M52" s="748"/>
      <c r="N52" s="773"/>
    </row>
    <row r="53" spans="1:14" ht="30" customHeight="1">
      <c r="A53" s="274">
        <v>28.14</v>
      </c>
      <c r="B53" s="741" t="s">
        <v>423</v>
      </c>
      <c r="C53" s="542" t="s">
        <v>412</v>
      </c>
      <c r="D53" s="962">
        <v>0</v>
      </c>
      <c r="E53" s="962">
        <v>0</v>
      </c>
      <c r="F53" s="764"/>
      <c r="G53" s="984">
        <f>E53*D53</f>
        <v>0</v>
      </c>
      <c r="H53" s="764"/>
      <c r="I53" s="764"/>
      <c r="J53" s="764"/>
      <c r="K53" s="764"/>
      <c r="L53" s="685">
        <f>SUM(F53:K53)</f>
        <v>0</v>
      </c>
      <c r="M53" s="775"/>
      <c r="N53" s="776"/>
    </row>
    <row r="54" spans="1:14" ht="15" customHeight="1">
      <c r="A54" s="1108"/>
      <c r="B54" s="751"/>
      <c r="C54" s="734"/>
      <c r="D54" s="777"/>
      <c r="E54" s="777"/>
      <c r="F54" s="724"/>
      <c r="G54" s="778"/>
      <c r="H54" s="724"/>
      <c r="I54" s="724"/>
      <c r="J54" s="724"/>
      <c r="K54" s="724"/>
      <c r="L54" s="804"/>
      <c r="M54" s="779"/>
      <c r="N54" s="780"/>
    </row>
    <row r="55" spans="1:14" ht="30" customHeight="1">
      <c r="A55" s="2646">
        <v>28.15</v>
      </c>
      <c r="B55" s="752" t="s">
        <v>668</v>
      </c>
      <c r="C55" s="670" t="s">
        <v>100</v>
      </c>
      <c r="D55" s="962">
        <v>0</v>
      </c>
      <c r="E55" s="962">
        <v>0</v>
      </c>
      <c r="F55" s="764"/>
      <c r="G55" s="764"/>
      <c r="H55" s="984">
        <f>E55*D55</f>
        <v>0</v>
      </c>
      <c r="I55" s="764"/>
      <c r="J55" s="764"/>
      <c r="K55" s="764"/>
      <c r="L55" s="685">
        <f>SUM(F55:K55)</f>
        <v>0</v>
      </c>
      <c r="M55" s="448"/>
      <c r="N55" s="606" t="s">
        <v>927</v>
      </c>
    </row>
    <row r="56" spans="1:14" ht="30" customHeight="1">
      <c r="A56" s="2648"/>
      <c r="B56" s="729"/>
      <c r="C56" s="670" t="s">
        <v>100</v>
      </c>
      <c r="D56" s="962">
        <v>0</v>
      </c>
      <c r="E56" s="962">
        <v>0</v>
      </c>
      <c r="F56" s="781"/>
      <c r="G56" s="764"/>
      <c r="H56" s="764"/>
      <c r="I56" s="984">
        <f>E56*D56</f>
        <v>0</v>
      </c>
      <c r="J56" s="764"/>
      <c r="K56" s="764"/>
      <c r="L56" s="685">
        <f>SUM(F56:K56)</f>
        <v>0</v>
      </c>
      <c r="M56" s="448"/>
      <c r="N56" s="606" t="s">
        <v>925</v>
      </c>
    </row>
    <row r="57" spans="1:14" s="162" customFormat="1" ht="15" customHeight="1">
      <c r="A57" s="1107"/>
      <c r="B57" s="753"/>
      <c r="C57" s="753"/>
      <c r="D57" s="753"/>
      <c r="E57" s="753"/>
      <c r="F57" s="753"/>
      <c r="G57" s="753"/>
      <c r="H57" s="753"/>
      <c r="I57" s="753"/>
      <c r="J57" s="753"/>
      <c r="K57" s="753"/>
      <c r="L57" s="805"/>
      <c r="M57" s="753"/>
      <c r="N57" s="754"/>
    </row>
    <row r="58" spans="1:14" ht="30" customHeight="1">
      <c r="A58" s="274">
        <v>28.16</v>
      </c>
      <c r="B58" s="741" t="s">
        <v>424</v>
      </c>
      <c r="C58" s="670" t="s">
        <v>85</v>
      </c>
      <c r="D58" s="782">
        <v>0.25</v>
      </c>
      <c r="E58" s="782"/>
      <c r="F58" s="782"/>
      <c r="G58" s="984">
        <f>(G40+G39+G36+G34+G29+G16+G12)*D58</f>
        <v>0</v>
      </c>
      <c r="H58" s="984">
        <f>H30*D58</f>
        <v>0</v>
      </c>
      <c r="I58" s="984">
        <f>(I44+I42)*D58</f>
        <v>0</v>
      </c>
      <c r="J58" s="984">
        <f>J26*D58</f>
        <v>0</v>
      </c>
      <c r="K58" s="542"/>
      <c r="L58" s="685">
        <f>SUM(F58:K58)</f>
        <v>0</v>
      </c>
      <c r="M58" s="775"/>
      <c r="N58" s="783" t="s">
        <v>675</v>
      </c>
    </row>
    <row r="59" spans="1:14" s="162" customFormat="1" ht="15" customHeight="1">
      <c r="A59" s="1109"/>
      <c r="B59" s="727"/>
      <c r="C59" s="727"/>
      <c r="D59" s="727"/>
      <c r="E59" s="727"/>
      <c r="F59" s="727"/>
      <c r="G59" s="727"/>
      <c r="H59" s="727"/>
      <c r="I59" s="727"/>
      <c r="J59" s="727"/>
      <c r="K59" s="727"/>
      <c r="L59" s="802"/>
      <c r="M59" s="727"/>
      <c r="N59" s="728"/>
    </row>
    <row r="60" spans="1:14" ht="30" customHeight="1">
      <c r="A60" s="2646">
        <v>28.17</v>
      </c>
      <c r="B60" s="729" t="s">
        <v>425</v>
      </c>
      <c r="C60" s="542" t="s">
        <v>412</v>
      </c>
      <c r="D60" s="962">
        <v>0</v>
      </c>
      <c r="E60" s="962">
        <v>0</v>
      </c>
      <c r="F60" s="542"/>
      <c r="G60" s="542"/>
      <c r="H60" s="984">
        <f>E60*D60</f>
        <v>0</v>
      </c>
      <c r="I60" s="542"/>
      <c r="J60" s="542"/>
      <c r="K60" s="542"/>
      <c r="L60" s="685">
        <f>SUM(F60:K60)</f>
        <v>0</v>
      </c>
      <c r="M60" s="775"/>
      <c r="N60" s="784" t="s">
        <v>927</v>
      </c>
    </row>
    <row r="61" spans="1:14" ht="30" customHeight="1">
      <c r="A61" s="2648"/>
      <c r="B61" s="729"/>
      <c r="C61" s="542" t="s">
        <v>412</v>
      </c>
      <c r="D61" s="962">
        <v>0</v>
      </c>
      <c r="E61" s="962">
        <v>0</v>
      </c>
      <c r="F61" s="542"/>
      <c r="G61" s="984">
        <f>E61*D61</f>
        <v>0</v>
      </c>
      <c r="H61" s="764"/>
      <c r="I61" s="542"/>
      <c r="J61" s="542"/>
      <c r="K61" s="542"/>
      <c r="L61" s="685">
        <f>SUM(F61:K61)</f>
        <v>0</v>
      </c>
      <c r="M61" s="775"/>
      <c r="N61" s="784" t="s">
        <v>919</v>
      </c>
    </row>
    <row r="62" spans="1:14" ht="15" customHeight="1">
      <c r="A62" s="1108"/>
      <c r="B62" s="746"/>
      <c r="C62" s="747"/>
      <c r="D62" s="771"/>
      <c r="E62" s="771"/>
      <c r="F62" s="747"/>
      <c r="G62" s="627"/>
      <c r="H62" s="772"/>
      <c r="I62" s="747"/>
      <c r="J62" s="747"/>
      <c r="K62" s="785"/>
      <c r="L62" s="685"/>
      <c r="M62" s="775"/>
      <c r="N62" s="784"/>
    </row>
    <row r="63" spans="1:14" ht="30" customHeight="1">
      <c r="A63" s="2646">
        <v>28.18</v>
      </c>
      <c r="B63" s="755" t="s">
        <v>669</v>
      </c>
      <c r="C63" s="756" t="s">
        <v>85</v>
      </c>
      <c r="D63" s="542">
        <v>1</v>
      </c>
      <c r="E63" s="962">
        <v>0</v>
      </c>
      <c r="F63" s="984">
        <f>E63*D63</f>
        <v>0</v>
      </c>
      <c r="G63" s="739"/>
      <c r="H63" s="739"/>
      <c r="I63" s="739"/>
      <c r="J63" s="739"/>
      <c r="K63" s="739"/>
      <c r="L63" s="685">
        <f t="shared" ref="L63:L68" si="1">SUM(F63:K63)</f>
        <v>0</v>
      </c>
      <c r="M63" s="786"/>
      <c r="N63" s="787" t="s">
        <v>920</v>
      </c>
    </row>
    <row r="64" spans="1:14" ht="30" customHeight="1">
      <c r="A64" s="2647"/>
      <c r="B64" s="729"/>
      <c r="C64" s="670" t="s">
        <v>85</v>
      </c>
      <c r="D64" s="542">
        <v>1</v>
      </c>
      <c r="E64" s="962">
        <v>0</v>
      </c>
      <c r="F64" s="739"/>
      <c r="G64" s="984">
        <f>E64*D64</f>
        <v>0</v>
      </c>
      <c r="H64" s="542"/>
      <c r="I64" s="542"/>
      <c r="J64" s="542"/>
      <c r="K64" s="542"/>
      <c r="L64" s="685">
        <f t="shared" si="1"/>
        <v>0</v>
      </c>
      <c r="M64" s="775"/>
      <c r="N64" s="784" t="s">
        <v>919</v>
      </c>
    </row>
    <row r="65" spans="1:14" ht="30" customHeight="1">
      <c r="A65" s="2647"/>
      <c r="B65" s="729"/>
      <c r="C65" s="670" t="s">
        <v>85</v>
      </c>
      <c r="D65" s="542">
        <v>1</v>
      </c>
      <c r="E65" s="962">
        <v>0</v>
      </c>
      <c r="F65" s="739"/>
      <c r="G65" s="739"/>
      <c r="H65" s="984">
        <f>E65*D65</f>
        <v>0</v>
      </c>
      <c r="I65" s="764"/>
      <c r="J65" s="764"/>
      <c r="K65" s="764"/>
      <c r="L65" s="685">
        <f t="shared" si="1"/>
        <v>0</v>
      </c>
      <c r="M65" s="775"/>
      <c r="N65" s="784" t="s">
        <v>927</v>
      </c>
    </row>
    <row r="66" spans="1:14" ht="30" customHeight="1">
      <c r="A66" s="2647"/>
      <c r="B66" s="729"/>
      <c r="C66" s="670" t="s">
        <v>85</v>
      </c>
      <c r="D66" s="542">
        <v>1</v>
      </c>
      <c r="E66" s="962">
        <v>0</v>
      </c>
      <c r="F66" s="739"/>
      <c r="G66" s="739"/>
      <c r="H66" s="739"/>
      <c r="I66" s="984">
        <f>E66*D66</f>
        <v>0</v>
      </c>
      <c r="J66" s="764"/>
      <c r="K66" s="764"/>
      <c r="L66" s="685">
        <f t="shared" si="1"/>
        <v>0</v>
      </c>
      <c r="M66" s="775"/>
      <c r="N66" s="784" t="s">
        <v>925</v>
      </c>
    </row>
    <row r="67" spans="1:14" ht="30" customHeight="1">
      <c r="A67" s="2647"/>
      <c r="B67" s="729"/>
      <c r="C67" s="670" t="s">
        <v>85</v>
      </c>
      <c r="D67" s="542">
        <v>1</v>
      </c>
      <c r="E67" s="962">
        <v>0</v>
      </c>
      <c r="F67" s="739"/>
      <c r="G67" s="739"/>
      <c r="H67" s="739"/>
      <c r="I67" s="739"/>
      <c r="J67" s="985">
        <f>D67*E67</f>
        <v>0</v>
      </c>
      <c r="K67" s="542"/>
      <c r="L67" s="685">
        <f t="shared" si="1"/>
        <v>0</v>
      </c>
      <c r="M67" s="775"/>
      <c r="N67" s="784" t="s">
        <v>926</v>
      </c>
    </row>
    <row r="68" spans="1:14" ht="30" customHeight="1">
      <c r="A68" s="2648"/>
      <c r="B68" s="729"/>
      <c r="C68" s="670" t="s">
        <v>85</v>
      </c>
      <c r="D68" s="542">
        <v>1</v>
      </c>
      <c r="E68" s="962">
        <v>0</v>
      </c>
      <c r="F68" s="739"/>
      <c r="G68" s="739"/>
      <c r="H68" s="739"/>
      <c r="I68" s="739"/>
      <c r="J68" s="739"/>
      <c r="K68" s="985">
        <f>E68*D68</f>
        <v>0</v>
      </c>
      <c r="L68" s="685">
        <f t="shared" si="1"/>
        <v>0</v>
      </c>
      <c r="M68" s="775"/>
      <c r="N68" s="784" t="s">
        <v>666</v>
      </c>
    </row>
    <row r="69" spans="1:14" ht="15" customHeight="1">
      <c r="A69" s="750"/>
      <c r="B69" s="746"/>
      <c r="C69" s="747"/>
      <c r="D69" s="771"/>
      <c r="E69" s="771"/>
      <c r="F69" s="747"/>
      <c r="G69" s="627"/>
      <c r="H69" s="772"/>
      <c r="I69" s="747"/>
      <c r="J69" s="747"/>
      <c r="K69" s="785"/>
      <c r="L69" s="685"/>
      <c r="M69" s="775"/>
      <c r="N69" s="784"/>
    </row>
    <row r="70" spans="1:14" ht="20.100000000000001" customHeight="1">
      <c r="A70" s="2649" t="s">
        <v>426</v>
      </c>
      <c r="B70" s="2650"/>
      <c r="C70" s="2650"/>
      <c r="D70" s="2650"/>
      <c r="E70" s="2650"/>
      <c r="F70" s="2650"/>
      <c r="G70" s="2650"/>
      <c r="H70" s="2650"/>
      <c r="I70" s="2650"/>
      <c r="J70" s="2650"/>
      <c r="K70" s="2651"/>
      <c r="L70" s="806">
        <f>ROUND(SUM(L11:L69),0)</f>
        <v>0</v>
      </c>
      <c r="M70" s="788"/>
      <c r="N70" s="789"/>
    </row>
    <row r="71" spans="1:14" ht="30" customHeight="1">
      <c r="A71" s="2646">
        <v>28.19</v>
      </c>
      <c r="B71" s="729" t="s">
        <v>133</v>
      </c>
      <c r="C71" s="670" t="s">
        <v>85</v>
      </c>
      <c r="D71" s="542">
        <v>1</v>
      </c>
      <c r="E71" s="542"/>
      <c r="F71" s="985">
        <v>0</v>
      </c>
      <c r="G71" s="220"/>
      <c r="H71" s="220"/>
      <c r="I71" s="220"/>
      <c r="J71" s="220"/>
      <c r="K71" s="220"/>
      <c r="L71" s="364">
        <f>SUM(F71:K71)</f>
        <v>0</v>
      </c>
      <c r="M71" s="775"/>
      <c r="N71" s="784" t="s">
        <v>920</v>
      </c>
    </row>
    <row r="72" spans="1:14" ht="30" customHeight="1">
      <c r="A72" s="2648"/>
      <c r="B72" s="729"/>
      <c r="C72" s="670" t="s">
        <v>85</v>
      </c>
      <c r="D72" s="542">
        <v>1</v>
      </c>
      <c r="E72" s="747"/>
      <c r="F72" s="747"/>
      <c r="G72" s="220"/>
      <c r="H72" s="986">
        <v>0</v>
      </c>
      <c r="I72" s="220"/>
      <c r="J72" s="220"/>
      <c r="K72" s="679"/>
      <c r="L72" s="364">
        <f>SUM(F72:K72)</f>
        <v>0</v>
      </c>
      <c r="M72" s="775"/>
      <c r="N72" s="784" t="s">
        <v>927</v>
      </c>
    </row>
    <row r="73" spans="1:14" s="162" customFormat="1" ht="15" customHeight="1">
      <c r="A73" s="1088"/>
      <c r="B73" s="727"/>
      <c r="C73" s="727"/>
      <c r="D73" s="727"/>
      <c r="E73" s="727"/>
      <c r="F73" s="727"/>
      <c r="G73" s="727"/>
      <c r="H73" s="727"/>
      <c r="I73" s="727"/>
      <c r="J73" s="727"/>
      <c r="K73" s="727"/>
      <c r="L73" s="802"/>
      <c r="M73" s="727"/>
      <c r="N73" s="728"/>
    </row>
    <row r="74" spans="1:14" ht="30" customHeight="1">
      <c r="A74" s="274">
        <v>28.2</v>
      </c>
      <c r="B74" s="729" t="s">
        <v>82</v>
      </c>
      <c r="C74" s="670" t="s">
        <v>85</v>
      </c>
      <c r="D74" s="221"/>
      <c r="E74" s="221"/>
      <c r="F74" s="542">
        <f>F90</f>
        <v>0</v>
      </c>
      <c r="G74" s="220"/>
      <c r="H74" s="220"/>
      <c r="I74" s="220"/>
      <c r="J74" s="220"/>
      <c r="K74" s="220"/>
      <c r="L74" s="364">
        <f>F74</f>
        <v>0</v>
      </c>
      <c r="M74" s="775"/>
      <c r="N74" s="776"/>
    </row>
    <row r="75" spans="1:14" s="162" customFormat="1" ht="15" customHeight="1">
      <c r="A75" s="1108"/>
      <c r="B75" s="737"/>
      <c r="C75" s="737"/>
      <c r="D75" s="737"/>
      <c r="E75" s="737"/>
      <c r="F75" s="737"/>
      <c r="G75" s="737"/>
      <c r="H75" s="737"/>
      <c r="I75" s="737"/>
      <c r="J75" s="737"/>
      <c r="K75" s="737"/>
      <c r="L75" s="807"/>
      <c r="M75" s="737"/>
      <c r="N75" s="738"/>
    </row>
    <row r="76" spans="1:14" ht="30" customHeight="1">
      <c r="A76" s="622">
        <v>28.21</v>
      </c>
      <c r="B76" s="755" t="s">
        <v>307</v>
      </c>
      <c r="C76" s="756" t="s">
        <v>85</v>
      </c>
      <c r="D76" s="757">
        <v>0.05</v>
      </c>
      <c r="E76" s="757"/>
      <c r="F76" s="795">
        <f>L76</f>
        <v>0</v>
      </c>
      <c r="G76" s="757"/>
      <c r="H76" s="757"/>
      <c r="I76" s="757"/>
      <c r="J76" s="757"/>
      <c r="K76" s="340"/>
      <c r="L76" s="796">
        <f>ROUND(D76*L70,0)</f>
        <v>0</v>
      </c>
      <c r="M76" s="786"/>
      <c r="N76" s="790"/>
    </row>
    <row r="77" spans="1:14" s="162" customFormat="1" ht="15" customHeight="1">
      <c r="A77" s="1108"/>
      <c r="B77" s="737"/>
      <c r="C77" s="737"/>
      <c r="D77" s="737"/>
      <c r="E77" s="737"/>
      <c r="F77" s="737"/>
      <c r="G77" s="737"/>
      <c r="H77" s="737"/>
      <c r="I77" s="737"/>
      <c r="J77" s="737"/>
      <c r="K77" s="737"/>
      <c r="L77" s="808"/>
      <c r="M77" s="737"/>
      <c r="N77" s="738"/>
    </row>
    <row r="78" spans="1:14" ht="30" customHeight="1">
      <c r="A78" s="622">
        <v>28.22</v>
      </c>
      <c r="B78" s="755" t="s">
        <v>169</v>
      </c>
      <c r="C78" s="756" t="s">
        <v>85</v>
      </c>
      <c r="D78" s="757">
        <v>0.05</v>
      </c>
      <c r="E78" s="757"/>
      <c r="F78" s="795">
        <f>L78</f>
        <v>0</v>
      </c>
      <c r="G78" s="757"/>
      <c r="H78" s="757"/>
      <c r="I78" s="757"/>
      <c r="J78" s="757"/>
      <c r="K78" s="340"/>
      <c r="L78" s="796">
        <f>ROUND(D78*L70,0)</f>
        <v>0</v>
      </c>
      <c r="M78" s="786"/>
      <c r="N78" s="790"/>
    </row>
    <row r="79" spans="1:14" ht="20.100000000000001" customHeight="1">
      <c r="A79" s="2652" t="s">
        <v>644</v>
      </c>
      <c r="B79" s="2653"/>
      <c r="C79" s="2653"/>
      <c r="D79" s="2653"/>
      <c r="E79" s="2653"/>
      <c r="F79" s="2653"/>
      <c r="G79" s="2653"/>
      <c r="H79" s="2653"/>
      <c r="I79" s="2653"/>
      <c r="J79" s="2653"/>
      <c r="K79" s="2654"/>
      <c r="L79" s="797">
        <f>SUM(L71:L78)</f>
        <v>0</v>
      </c>
      <c r="M79" s="788"/>
      <c r="N79" s="789"/>
    </row>
    <row r="80" spans="1:14" ht="30" customHeight="1">
      <c r="A80" s="274">
        <v>28.23</v>
      </c>
      <c r="B80" s="729" t="s">
        <v>78</v>
      </c>
      <c r="C80" s="670" t="s">
        <v>85</v>
      </c>
      <c r="D80" s="987">
        <v>0</v>
      </c>
      <c r="E80" s="758"/>
      <c r="F80" s="369">
        <f>L80</f>
        <v>0</v>
      </c>
      <c r="G80" s="220"/>
      <c r="H80" s="220"/>
      <c r="I80" s="220"/>
      <c r="J80" s="220"/>
      <c r="K80" s="220"/>
      <c r="L80" s="795">
        <f>D80*SUM(L70,L79)</f>
        <v>0</v>
      </c>
      <c r="M80" s="775"/>
      <c r="N80" s="776"/>
    </row>
    <row r="81" spans="1:14" ht="20.100000000000001" customHeight="1" thickBot="1">
      <c r="A81" s="2643" t="s">
        <v>352</v>
      </c>
      <c r="B81" s="2644"/>
      <c r="C81" s="2644"/>
      <c r="D81" s="2645"/>
      <c r="E81" s="760"/>
      <c r="F81" s="793">
        <f>SUM(F15,F28,F33,F35,F63,F71,F74,F76,F78,F80)</f>
        <v>0</v>
      </c>
      <c r="G81" s="793">
        <f>SUM(G12,G16,G29,G34,G36,G39,G40,G51,G53,G58,G61,G64)</f>
        <v>0</v>
      </c>
      <c r="H81" s="793">
        <f>SUM(H30,H48,H55,H58,H60,H65,H72)</f>
        <v>0</v>
      </c>
      <c r="I81" s="793">
        <f>SUM(I42,I44,I46,I49,I56,I58,I66)</f>
        <v>0</v>
      </c>
      <c r="J81" s="793">
        <f>SUM(J26,J58)*J67</f>
        <v>0</v>
      </c>
      <c r="K81" s="793">
        <f>SUM(K11,K19,K20,K23,K24,K68)</f>
        <v>0</v>
      </c>
      <c r="L81" s="794">
        <f>ROUND(L80+L79+L70,0)</f>
        <v>0</v>
      </c>
      <c r="M81" s="761"/>
      <c r="N81" s="791"/>
    </row>
    <row r="82" spans="1:14" ht="20.100000000000001" customHeight="1">
      <c r="A82" s="589"/>
      <c r="B82" s="589"/>
      <c r="C82" s="589"/>
      <c r="D82" s="589"/>
      <c r="E82" s="589"/>
      <c r="F82" s="590"/>
      <c r="G82" s="590"/>
      <c r="H82" s="590"/>
      <c r="I82" s="590"/>
      <c r="J82" s="591" t="s">
        <v>550</v>
      </c>
      <c r="K82" s="798">
        <f>SUM(F81:K81)</f>
        <v>0</v>
      </c>
      <c r="L82" s="592"/>
      <c r="M82" s="164"/>
      <c r="N82" s="165"/>
    </row>
    <row r="83" spans="1:14" ht="15.6" thickBot="1">
      <c r="A83" s="166"/>
      <c r="B83" s="167"/>
      <c r="C83" s="168"/>
      <c r="D83" s="168"/>
      <c r="E83" s="168"/>
      <c r="F83" s="168"/>
      <c r="G83" s="168"/>
      <c r="H83" s="168"/>
      <c r="I83" s="168"/>
      <c r="J83" s="168"/>
      <c r="K83" s="168"/>
      <c r="L83" s="168"/>
      <c r="M83" s="168"/>
      <c r="N83" s="168"/>
    </row>
    <row r="84" spans="1:14" s="268" customFormat="1" ht="36.75" customHeight="1" thickBot="1">
      <c r="A84" s="2389" t="s">
        <v>82</v>
      </c>
      <c r="B84" s="2088"/>
      <c r="C84" s="279" t="s">
        <v>87</v>
      </c>
      <c r="D84" s="279" t="s">
        <v>101</v>
      </c>
      <c r="E84" s="279" t="s">
        <v>706</v>
      </c>
      <c r="F84" s="279" t="s">
        <v>102</v>
      </c>
      <c r="G84" s="2414" t="s">
        <v>575</v>
      </c>
      <c r="H84" s="2612"/>
      <c r="I84" s="2612"/>
      <c r="J84" s="2612"/>
      <c r="K84" s="2613"/>
      <c r="L84" s="280" t="s">
        <v>576</v>
      </c>
      <c r="N84" s="1006" t="s">
        <v>164</v>
      </c>
    </row>
    <row r="85" spans="1:14" s="268" customFormat="1" ht="20.100000000000001" customHeight="1">
      <c r="A85" s="2456" t="s">
        <v>8</v>
      </c>
      <c r="B85" s="2457"/>
      <c r="C85" s="340" t="s">
        <v>141</v>
      </c>
      <c r="D85" s="964">
        <v>0</v>
      </c>
      <c r="E85" s="964">
        <v>0</v>
      </c>
      <c r="F85" s="324">
        <f>E85*D85</f>
        <v>0</v>
      </c>
      <c r="G85" s="2640"/>
      <c r="H85" s="2641"/>
      <c r="I85" s="2641"/>
      <c r="J85" s="2641"/>
      <c r="K85" s="2642"/>
      <c r="L85" s="977">
        <v>0</v>
      </c>
      <c r="N85" s="1007"/>
    </row>
    <row r="86" spans="1:14" s="268" customFormat="1" ht="20.100000000000001" customHeight="1">
      <c r="A86" s="2460" t="s">
        <v>231</v>
      </c>
      <c r="B86" s="2461"/>
      <c r="C86" s="220" t="s">
        <v>141</v>
      </c>
      <c r="D86" s="962">
        <v>0</v>
      </c>
      <c r="E86" s="962">
        <v>0</v>
      </c>
      <c r="F86" s="219">
        <f>E86*D86</f>
        <v>0</v>
      </c>
      <c r="G86" s="2637"/>
      <c r="H86" s="2638"/>
      <c r="I86" s="2638"/>
      <c r="J86" s="2638"/>
      <c r="K86" s="2639"/>
      <c r="L86" s="978">
        <v>0</v>
      </c>
      <c r="N86" s="1007"/>
    </row>
    <row r="87" spans="1:14" s="268" customFormat="1" ht="20.100000000000001" customHeight="1" thickBot="1">
      <c r="A87" s="2632" t="s">
        <v>238</v>
      </c>
      <c r="B87" s="2633"/>
      <c r="C87" s="613"/>
      <c r="D87" s="613"/>
      <c r="E87" s="613"/>
      <c r="F87" s="614">
        <f>SUM(F85:F86)</f>
        <v>0</v>
      </c>
      <c r="G87" s="2634" t="s">
        <v>1415</v>
      </c>
      <c r="H87" s="2635"/>
      <c r="I87" s="2635"/>
      <c r="J87" s="2635"/>
      <c r="K87" s="2636"/>
      <c r="L87" s="689">
        <f>SUM(L85:L86)</f>
        <v>0</v>
      </c>
    </row>
    <row r="88" spans="1:14" s="268" customFormat="1" ht="20.100000000000001" customHeight="1" thickTop="1">
      <c r="A88" s="2073" t="s">
        <v>861</v>
      </c>
      <c r="B88" s="2074"/>
      <c r="C88" s="340" t="s">
        <v>141</v>
      </c>
      <c r="D88" s="964">
        <v>0</v>
      </c>
      <c r="E88" s="964">
        <v>0</v>
      </c>
      <c r="F88" s="324">
        <f>E88*D88</f>
        <v>0</v>
      </c>
      <c r="G88" s="2627" t="s">
        <v>1418</v>
      </c>
      <c r="H88" s="2628"/>
      <c r="I88" s="2628"/>
      <c r="J88" s="2628"/>
      <c r="K88" s="2629"/>
      <c r="L88" s="293" t="s">
        <v>1116</v>
      </c>
    </row>
    <row r="89" spans="1:14" s="268" customFormat="1" ht="20.100000000000001" customHeight="1" thickBot="1">
      <c r="A89" s="2596" t="s">
        <v>155</v>
      </c>
      <c r="B89" s="2597"/>
      <c r="C89" s="343" t="s">
        <v>141</v>
      </c>
      <c r="D89" s="966">
        <v>0</v>
      </c>
      <c r="E89" s="966">
        <v>0</v>
      </c>
      <c r="F89" s="328">
        <f>E89*D89</f>
        <v>0</v>
      </c>
      <c r="G89" s="2624" t="s">
        <v>1418</v>
      </c>
      <c r="H89" s="2625"/>
      <c r="I89" s="2625"/>
      <c r="J89" s="2625"/>
      <c r="K89" s="2626"/>
      <c r="L89" s="294" t="s">
        <v>1116</v>
      </c>
    </row>
    <row r="90" spans="1:14" s="288" customFormat="1" ht="20.100000000000001" customHeight="1" thickTop="1" thickBot="1">
      <c r="A90" s="2630" t="s">
        <v>156</v>
      </c>
      <c r="B90" s="2631"/>
      <c r="C90" s="540"/>
      <c r="D90" s="540"/>
      <c r="E90" s="540"/>
      <c r="F90" s="608">
        <f>SUM(F87:F89)</f>
        <v>0</v>
      </c>
      <c r="G90" s="2621" t="s">
        <v>1416</v>
      </c>
      <c r="H90" s="2622"/>
      <c r="I90" s="2622"/>
      <c r="J90" s="2622"/>
      <c r="K90" s="2623"/>
      <c r="L90" s="332">
        <f>L87</f>
        <v>0</v>
      </c>
    </row>
    <row r="91" spans="1:14" s="268" customFormat="1" ht="15.6">
      <c r="A91" s="289"/>
      <c r="C91" s="290"/>
      <c r="D91" s="290"/>
      <c r="E91" s="290"/>
      <c r="F91" s="346" t="s">
        <v>1873</v>
      </c>
      <c r="L91" s="389" t="s">
        <v>1405</v>
      </c>
    </row>
    <row r="92" spans="1:14" s="3" customFormat="1" ht="15">
      <c r="A92" s="596"/>
      <c r="F92" s="18"/>
      <c r="G92" s="18"/>
      <c r="H92" s="18"/>
      <c r="I92" s="18"/>
      <c r="J92" s="18"/>
      <c r="K92" s="563"/>
      <c r="L92" s="341"/>
    </row>
    <row r="93" spans="1:14" s="3" customFormat="1" ht="13.8">
      <c r="A93" s="617" t="s">
        <v>1417</v>
      </c>
      <c r="F93" s="18"/>
      <c r="G93" s="18"/>
      <c r="H93" s="18"/>
      <c r="I93" s="18"/>
      <c r="J93" s="18"/>
      <c r="K93" s="563"/>
      <c r="L93" s="341"/>
    </row>
  </sheetData>
  <mergeCells count="43">
    <mergeCell ref="A18:A20"/>
    <mergeCell ref="C18:N18"/>
    <mergeCell ref="A11:A12"/>
    <mergeCell ref="A14:A16"/>
    <mergeCell ref="B14:N14"/>
    <mergeCell ref="A60:A61"/>
    <mergeCell ref="A22:A24"/>
    <mergeCell ref="C22:N22"/>
    <mergeCell ref="A32:A36"/>
    <mergeCell ref="B32:N32"/>
    <mergeCell ref="M33:M35"/>
    <mergeCell ref="A38:A40"/>
    <mergeCell ref="B38:K38"/>
    <mergeCell ref="A55:A56"/>
    <mergeCell ref="A81:D81"/>
    <mergeCell ref="A63:A68"/>
    <mergeCell ref="A70:K70"/>
    <mergeCell ref="A71:A72"/>
    <mergeCell ref="A79:K79"/>
    <mergeCell ref="G90:K90"/>
    <mergeCell ref="G89:K89"/>
    <mergeCell ref="G88:K88"/>
    <mergeCell ref="A84:B84"/>
    <mergeCell ref="A90:B90"/>
    <mergeCell ref="A89:B89"/>
    <mergeCell ref="A88:B88"/>
    <mergeCell ref="A87:B87"/>
    <mergeCell ref="G87:K87"/>
    <mergeCell ref="G86:K86"/>
    <mergeCell ref="G85:K85"/>
    <mergeCell ref="G84:K84"/>
    <mergeCell ref="A85:B85"/>
    <mergeCell ref="A86:B86"/>
    <mergeCell ref="A4:B4"/>
    <mergeCell ref="C4:I4"/>
    <mergeCell ref="A5:B5"/>
    <mergeCell ref="C5:I5"/>
    <mergeCell ref="J4:N4"/>
    <mergeCell ref="F9:K9"/>
    <mergeCell ref="A6:B6"/>
    <mergeCell ref="C6:I6"/>
    <mergeCell ref="J6:N6"/>
    <mergeCell ref="J5:N5"/>
  </mergeCells>
  <printOptions horizontalCentered="1"/>
  <pageMargins left="0.5" right="0.5" top="1" bottom="1" header="0.5" footer="0.34"/>
  <pageSetup scale="55" fitToHeight="3" orientation="landscape" r:id="rId1"/>
  <headerFooter alignWithMargins="0">
    <oddHeader>&amp;C&amp;"Arial,Bold"&amp;14&amp;U&amp;A</oddHeader>
    <oddFooter>&amp;L&amp;F
&amp;A&amp;CPage &amp;P of &amp;N&amp;R&amp;D</oddFooter>
  </headerFooter>
  <rowBreaks count="2" manualBreakCount="2">
    <brk id="27" max="13" man="1"/>
    <brk id="59" max="13" man="1"/>
  </rowBreak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ECEA5-E7F8-4F0E-ACBF-46A2022F24B4}">
  <sheetPr codeName="Sheet48"/>
  <dimension ref="A1:AF72"/>
  <sheetViews>
    <sheetView showGridLines="0" topLeftCell="B1" zoomScale="85" zoomScaleNormal="85" workbookViewId="0">
      <selection activeCell="B1" sqref="B1:C3"/>
    </sheetView>
  </sheetViews>
  <sheetFormatPr defaultColWidth="9.109375" defaultRowHeight="13.8"/>
  <cols>
    <col min="1" max="1" width="12.6640625" style="348" hidden="1" customWidth="1"/>
    <col min="2" max="2" width="6.6640625" style="348" customWidth="1"/>
    <col min="3" max="3" width="50.6640625" style="348" customWidth="1"/>
    <col min="4" max="10" width="14.6640625" style="348" customWidth="1"/>
    <col min="11" max="11" width="100.6640625" style="348" customWidth="1"/>
    <col min="12" max="12" width="70.6640625" style="348" customWidth="1"/>
    <col min="13" max="13" width="8.6640625" style="348" customWidth="1"/>
    <col min="14" max="14" width="15.5546875" style="348" customWidth="1"/>
    <col min="15" max="15" width="8.6640625" style="348" hidden="1" customWidth="1"/>
    <col min="16" max="16" width="12.5546875" style="348" hidden="1" customWidth="1"/>
    <col min="17" max="22" width="12.6640625" style="1097" hidden="1" customWidth="1"/>
    <col min="23" max="25" width="12.6640625" style="1067" hidden="1" customWidth="1"/>
    <col min="26" max="26" width="12.6640625" style="348" hidden="1" customWidth="1"/>
    <col min="27" max="28" width="12.6640625" style="1067" hidden="1" customWidth="1"/>
    <col min="29" max="29" width="12.5546875" style="348" hidden="1" customWidth="1"/>
    <col min="30" max="16384" width="9.109375" style="348"/>
  </cols>
  <sheetData>
    <row r="1" spans="1:32" ht="15" customHeight="1">
      <c r="B1" s="2136" t="s">
        <v>592</v>
      </c>
      <c r="C1" s="2137"/>
      <c r="D1" s="2133" t="s">
        <v>2458</v>
      </c>
      <c r="E1" s="2133"/>
      <c r="F1" s="2133"/>
      <c r="G1" s="2133"/>
      <c r="H1" s="2133"/>
      <c r="I1" s="2133"/>
      <c r="J1" s="2133"/>
      <c r="K1" s="1055" t="str">
        <f>'Project Information'!B3</f>
        <v>Enter project name &amp; description</v>
      </c>
      <c r="L1" s="2120" t="s">
        <v>1819</v>
      </c>
      <c r="M1" s="1141"/>
      <c r="N1" s="1142"/>
      <c r="O1" s="1141"/>
      <c r="P1" s="1141"/>
      <c r="Q1" s="1143"/>
      <c r="R1" s="1143"/>
      <c r="S1" s="1143"/>
      <c r="T1" s="1143"/>
      <c r="U1" s="1144"/>
      <c r="V1" s="1144"/>
      <c r="W1" s="1145"/>
      <c r="X1" s="1145"/>
      <c r="Y1" s="1145"/>
      <c r="Z1" s="1142"/>
      <c r="AA1" s="1145"/>
      <c r="AB1" s="1145"/>
    </row>
    <row r="2" spans="1:32" ht="15" customHeight="1">
      <c r="B2" s="2138"/>
      <c r="C2" s="2139"/>
      <c r="D2" s="2134"/>
      <c r="E2" s="2134"/>
      <c r="F2" s="2134"/>
      <c r="G2" s="2134"/>
      <c r="H2" s="2134"/>
      <c r="I2" s="2134"/>
      <c r="J2" s="2134"/>
      <c r="K2" s="1056" t="str">
        <f>'Project Information'!B1</f>
        <v>999999-1-32-01</v>
      </c>
      <c r="L2" s="2121"/>
      <c r="M2" s="1141"/>
      <c r="N2" s="1142"/>
      <c r="O2" s="1141"/>
      <c r="P2" s="1141"/>
      <c r="Q2" s="1143"/>
      <c r="R2" s="1143"/>
      <c r="S2" s="1143"/>
      <c r="T2" s="1143"/>
      <c r="U2" s="1144"/>
      <c r="V2" s="1144"/>
      <c r="W2" s="1145"/>
      <c r="X2" s="1145"/>
      <c r="Y2" s="1145"/>
      <c r="Z2" s="1142"/>
      <c r="AA2" s="1145"/>
      <c r="AB2" s="1145"/>
    </row>
    <row r="3" spans="1:32" s="1058" customFormat="1" ht="15" customHeight="1" thickBot="1">
      <c r="B3" s="2140"/>
      <c r="C3" s="2141"/>
      <c r="D3" s="2135"/>
      <c r="E3" s="2135"/>
      <c r="F3" s="2135"/>
      <c r="G3" s="2135"/>
      <c r="H3" s="2135"/>
      <c r="I3" s="2135"/>
      <c r="J3" s="2135"/>
      <c r="K3" s="1057"/>
      <c r="L3" s="2122"/>
      <c r="M3" s="1141"/>
      <c r="N3" s="1146"/>
      <c r="O3" s="1141"/>
      <c r="P3" s="1141"/>
      <c r="Q3" s="1144"/>
      <c r="R3" s="1144"/>
      <c r="S3" s="1144"/>
      <c r="T3" s="1144"/>
      <c r="U3" s="1144"/>
      <c r="V3" s="1144"/>
      <c r="W3" s="1145"/>
      <c r="X3" s="1145"/>
      <c r="Y3" s="1145"/>
      <c r="Z3" s="1146"/>
      <c r="AA3" s="1145"/>
      <c r="AB3" s="1145"/>
    </row>
    <row r="4" spans="1:32" s="1058" customFormat="1" ht="30" customHeight="1" thickBot="1">
      <c r="B4" s="2198" t="s">
        <v>1396</v>
      </c>
      <c r="C4" s="2199"/>
      <c r="D4" s="2200" t="s">
        <v>1397</v>
      </c>
      <c r="E4" s="2200"/>
      <c r="F4" s="2200"/>
      <c r="G4" s="2200"/>
      <c r="H4" s="2200"/>
      <c r="I4" s="2200"/>
      <c r="J4" s="2200"/>
      <c r="K4" s="1111" t="s">
        <v>1398</v>
      </c>
      <c r="L4" s="1580" t="s">
        <v>2625</v>
      </c>
      <c r="M4" s="1147"/>
      <c r="N4" s="1146"/>
      <c r="O4" s="1147"/>
      <c r="P4" s="1147"/>
      <c r="Q4" s="1148"/>
      <c r="R4" s="1148"/>
      <c r="S4" s="1148"/>
      <c r="T4" s="1148"/>
      <c r="U4" s="1144"/>
      <c r="V4" s="1144"/>
      <c r="W4" s="1145"/>
      <c r="X4" s="1145"/>
      <c r="Y4" s="1145"/>
      <c r="Z4" s="1146"/>
      <c r="AA4" s="1145"/>
      <c r="AB4" s="1145"/>
    </row>
    <row r="5" spans="1:32" s="1058" customFormat="1" ht="30" customHeight="1">
      <c r="B5" s="2201" t="s">
        <v>1400</v>
      </c>
      <c r="C5" s="2202"/>
      <c r="D5" s="2203"/>
      <c r="E5" s="2203"/>
      <c r="F5" s="2203"/>
      <c r="G5" s="2203"/>
      <c r="H5" s="2203"/>
      <c r="I5" s="2203"/>
      <c r="J5" s="2130"/>
      <c r="K5" s="1059"/>
      <c r="L5" s="2253" t="s">
        <v>1820</v>
      </c>
      <c r="M5" s="1147"/>
      <c r="N5" s="1146"/>
      <c r="O5" s="1147"/>
      <c r="P5" s="1147"/>
      <c r="Q5" s="1148"/>
      <c r="R5" s="1148"/>
      <c r="S5" s="1148"/>
      <c r="T5" s="1148"/>
      <c r="U5" s="1144"/>
      <c r="V5" s="1144"/>
      <c r="W5" s="1145"/>
      <c r="X5" s="1145"/>
      <c r="Y5" s="1145"/>
      <c r="Z5" s="1146"/>
      <c r="AA5" s="1145"/>
      <c r="AB5" s="1145"/>
    </row>
    <row r="6" spans="1:32" s="1058" customFormat="1" ht="30" customHeight="1" thickBot="1">
      <c r="B6" s="2204" t="s">
        <v>1399</v>
      </c>
      <c r="C6" s="2205"/>
      <c r="D6" s="2206"/>
      <c r="E6" s="2206"/>
      <c r="F6" s="2206"/>
      <c r="G6" s="2206"/>
      <c r="H6" s="2206"/>
      <c r="I6" s="2206"/>
      <c r="J6" s="2114"/>
      <c r="K6" s="1060"/>
      <c r="L6" s="2254"/>
      <c r="M6" s="1147"/>
      <c r="N6" s="1146"/>
      <c r="O6" s="1147"/>
      <c r="P6" s="1147"/>
      <c r="Q6" s="1148"/>
      <c r="R6" s="1148"/>
      <c r="S6" s="1148"/>
      <c r="T6" s="1148"/>
      <c r="U6" s="1144"/>
      <c r="V6" s="1144"/>
      <c r="W6" s="1145"/>
      <c r="X6" s="1145"/>
      <c r="Y6" s="1145"/>
      <c r="Z6" s="1146"/>
      <c r="AA6" s="1145"/>
      <c r="AB6" s="1145"/>
    </row>
    <row r="7" spans="1:32" s="1058" customFormat="1" ht="15" customHeight="1">
      <c r="B7" s="1112" t="s">
        <v>1430</v>
      </c>
      <c r="C7" s="1113"/>
      <c r="D7" s="1114"/>
      <c r="E7" s="1114"/>
      <c r="F7" s="1114"/>
      <c r="G7" s="1114"/>
      <c r="H7" s="1114"/>
      <c r="I7" s="1114"/>
      <c r="J7" s="1114"/>
      <c r="K7" s="1821"/>
      <c r="L7" s="2254"/>
      <c r="M7" s="1147"/>
      <c r="N7" s="1146"/>
      <c r="O7" s="1147"/>
      <c r="P7" s="1147"/>
      <c r="Q7" s="1144"/>
      <c r="R7" s="1144"/>
      <c r="S7" s="1144"/>
      <c r="T7" s="1144"/>
      <c r="U7" s="1144"/>
      <c r="V7" s="1144"/>
      <c r="W7" s="1145"/>
      <c r="X7" s="1145"/>
      <c r="Y7" s="1145"/>
      <c r="Z7" s="1146"/>
      <c r="AA7" s="1145"/>
      <c r="AB7" s="1145"/>
    </row>
    <row r="8" spans="1:32" s="1058" customFormat="1" ht="15" customHeight="1" thickBot="1">
      <c r="B8" s="1116"/>
      <c r="C8" s="1117"/>
      <c r="D8" s="1118"/>
      <c r="E8" s="1118"/>
      <c r="F8" s="1118"/>
      <c r="G8" s="1118"/>
      <c r="H8" s="1118"/>
      <c r="I8" s="1118"/>
      <c r="J8" s="1118"/>
      <c r="K8" s="1822"/>
      <c r="L8" s="2254"/>
      <c r="M8" s="1147"/>
      <c r="N8" s="1146"/>
      <c r="O8" s="1147"/>
      <c r="P8" s="1147"/>
      <c r="Q8" s="1144"/>
      <c r="R8" s="1144"/>
      <c r="S8" s="1144"/>
      <c r="T8" s="1144"/>
      <c r="U8" s="1144"/>
      <c r="V8" s="1144"/>
      <c r="W8" s="1145"/>
      <c r="X8" s="1145"/>
      <c r="Y8" s="1145"/>
      <c r="Z8" s="1146"/>
      <c r="AA8" s="1145"/>
      <c r="AB8" s="1145"/>
    </row>
    <row r="9" spans="1:32" s="1061" customFormat="1" ht="30" customHeight="1">
      <c r="B9" s="2153" t="s">
        <v>79</v>
      </c>
      <c r="C9" s="2155" t="s">
        <v>190</v>
      </c>
      <c r="D9" s="2230" t="s">
        <v>1821</v>
      </c>
      <c r="E9" s="2230"/>
      <c r="F9" s="2230"/>
      <c r="G9" s="2157" t="s">
        <v>1822</v>
      </c>
      <c r="H9" s="2158"/>
      <c r="I9" s="2158"/>
      <c r="J9" s="2158"/>
      <c r="K9" s="1120" t="s">
        <v>1823</v>
      </c>
      <c r="L9" s="2254"/>
      <c r="M9" s="1147"/>
      <c r="N9" s="2324"/>
      <c r="O9" s="2167" t="s">
        <v>190</v>
      </c>
      <c r="P9" s="2214" t="s">
        <v>1869</v>
      </c>
      <c r="Q9" s="2213"/>
      <c r="R9" s="2213"/>
      <c r="S9" s="2213"/>
      <c r="T9" s="2215"/>
      <c r="U9" s="2214" t="s">
        <v>1914</v>
      </c>
      <c r="V9" s="2213"/>
      <c r="W9" s="2215"/>
      <c r="X9" s="2214" t="s">
        <v>1960</v>
      </c>
      <c r="Y9" s="2213"/>
      <c r="Z9" s="2215"/>
      <c r="AA9" s="2214" t="s">
        <v>1862</v>
      </c>
      <c r="AB9" s="2213"/>
      <c r="AC9" s="2215"/>
    </row>
    <row r="10" spans="1:32" s="1061" customFormat="1" ht="30" customHeight="1">
      <c r="B10" s="2677"/>
      <c r="C10" s="2678"/>
      <c r="D10" s="1847" t="s">
        <v>1824</v>
      </c>
      <c r="E10" s="1848" t="s">
        <v>87</v>
      </c>
      <c r="F10" s="1847" t="s">
        <v>1825</v>
      </c>
      <c r="G10" s="1847" t="s">
        <v>1826</v>
      </c>
      <c r="H10" s="1847" t="s">
        <v>1827</v>
      </c>
      <c r="I10" s="1847" t="s">
        <v>1196</v>
      </c>
      <c r="J10" s="1849" t="s">
        <v>1828</v>
      </c>
      <c r="K10" s="1850" t="s">
        <v>1829</v>
      </c>
      <c r="L10" s="2254"/>
      <c r="M10" s="1147"/>
      <c r="N10" s="2324"/>
      <c r="O10" s="2167"/>
      <c r="P10" s="1606" t="s">
        <v>1926</v>
      </c>
      <c r="Q10" s="1607" t="s">
        <v>1859</v>
      </c>
      <c r="R10" s="1607" t="s">
        <v>1860</v>
      </c>
      <c r="S10" s="1607" t="s">
        <v>1861</v>
      </c>
      <c r="T10" s="1608" t="s">
        <v>1927</v>
      </c>
      <c r="U10" s="1607" t="s">
        <v>1883</v>
      </c>
      <c r="V10" s="1607" t="s">
        <v>1833</v>
      </c>
      <c r="W10" s="1608" t="s">
        <v>1834</v>
      </c>
      <c r="X10" s="1606" t="s">
        <v>1928</v>
      </c>
      <c r="Y10" s="1607" t="s">
        <v>1929</v>
      </c>
      <c r="Z10" s="1607" t="s">
        <v>1930</v>
      </c>
      <c r="AA10" s="1606" t="s">
        <v>1931</v>
      </c>
      <c r="AB10" s="1607" t="s">
        <v>1932</v>
      </c>
      <c r="AC10" s="1608" t="s">
        <v>1933</v>
      </c>
    </row>
    <row r="11" spans="1:32" ht="20.100000000000001" customHeight="1" thickBot="1">
      <c r="A11" s="1067"/>
      <c r="B11" s="2671" t="s">
        <v>596</v>
      </c>
      <c r="C11" s="2672"/>
      <c r="D11" s="2672"/>
      <c r="E11" s="2672"/>
      <c r="F11" s="2672"/>
      <c r="G11" s="2672"/>
      <c r="H11" s="2672"/>
      <c r="I11" s="2672"/>
      <c r="J11" s="2672"/>
      <c r="K11" s="2673"/>
      <c r="L11" s="2281"/>
      <c r="M11" s="1173"/>
      <c r="N11" s="1142"/>
      <c r="O11" s="1174"/>
      <c r="P11" s="1174"/>
      <c r="Q11" s="1175"/>
      <c r="R11" s="1176"/>
      <c r="S11" s="1175"/>
      <c r="T11" s="1175"/>
      <c r="U11" s="1175"/>
      <c r="V11" s="1175"/>
      <c r="W11" s="1145"/>
      <c r="X11" s="1145"/>
      <c r="Y11" s="1145"/>
      <c r="Z11" s="1142"/>
      <c r="AA11" s="1145"/>
      <c r="AB11" s="1145"/>
      <c r="AC11" s="1145"/>
    </row>
    <row r="12" spans="1:32" ht="30" customHeight="1">
      <c r="A12" s="1067" t="s">
        <v>2459</v>
      </c>
      <c r="B12" s="1609">
        <v>29.1</v>
      </c>
      <c r="C12" s="1610" t="s">
        <v>322</v>
      </c>
      <c r="D12" s="1070" t="s">
        <v>1830</v>
      </c>
      <c r="E12" s="1099">
        <v>0</v>
      </c>
      <c r="F12" s="1181"/>
      <c r="G12" s="1611">
        <f>ROUNDUP(ROUND(E12,2)*(IF(F12="Simple",U12,(IF(F12="Standard",V12,(IF(F12="Complex",W12,0)))))),0)</f>
        <v>0</v>
      </c>
      <c r="H12" s="1062">
        <v>0</v>
      </c>
      <c r="I12" s="1062">
        <v>0</v>
      </c>
      <c r="J12" s="1823">
        <v>0</v>
      </c>
      <c r="K12" s="1063"/>
      <c r="L12" s="2149" t="s">
        <v>1882</v>
      </c>
      <c r="M12" s="1142"/>
      <c r="N12" s="1207"/>
      <c r="O12" s="1924">
        <v>29.1</v>
      </c>
      <c r="P12" s="1342"/>
      <c r="Q12" s="1335"/>
      <c r="R12" s="1161"/>
      <c r="S12" s="1309"/>
      <c r="T12" s="1162"/>
      <c r="U12" s="1824">
        <v>2</v>
      </c>
      <c r="V12" s="1311">
        <v>3</v>
      </c>
      <c r="W12" s="1713">
        <v>4</v>
      </c>
      <c r="X12" s="1302"/>
      <c r="Y12" s="1309"/>
      <c r="Z12" s="1161"/>
      <c r="AA12" s="1302"/>
      <c r="AB12" s="1161"/>
      <c r="AC12" s="1316"/>
    </row>
    <row r="13" spans="1:32" ht="30" customHeight="1">
      <c r="A13" s="1067" t="s">
        <v>2460</v>
      </c>
      <c r="B13" s="1126">
        <v>29.2</v>
      </c>
      <c r="C13" s="351" t="s">
        <v>315</v>
      </c>
      <c r="D13" s="1615" t="s">
        <v>312</v>
      </c>
      <c r="E13" s="1064">
        <v>0</v>
      </c>
      <c r="F13" s="1602"/>
      <c r="G13" s="1611">
        <f>E13*(IF(F13="Standard",V13,(IF(F13="Complex",W13,0))))</f>
        <v>0</v>
      </c>
      <c r="H13" s="1065">
        <v>0</v>
      </c>
      <c r="I13" s="1065">
        <v>0</v>
      </c>
      <c r="J13" s="1825">
        <v>0</v>
      </c>
      <c r="K13" s="1066"/>
      <c r="L13" s="2150"/>
      <c r="M13" s="1142"/>
      <c r="N13" s="1207"/>
      <c r="O13" s="1651">
        <v>29.2</v>
      </c>
      <c r="P13" s="1337"/>
      <c r="Q13" s="1227"/>
      <c r="R13" s="1151"/>
      <c r="S13" s="1314"/>
      <c r="T13" s="1153"/>
      <c r="U13" s="1154"/>
      <c r="V13" s="1206">
        <v>2</v>
      </c>
      <c r="W13" s="1153">
        <v>4</v>
      </c>
      <c r="X13" s="1232"/>
      <c r="Y13" s="1293"/>
      <c r="Z13" s="1151"/>
      <c r="AA13" s="1232"/>
      <c r="AB13" s="1151"/>
      <c r="AC13" s="1261"/>
    </row>
    <row r="14" spans="1:32" ht="30" customHeight="1">
      <c r="A14" s="1067" t="s">
        <v>2461</v>
      </c>
      <c r="B14" s="1600">
        <v>29.3</v>
      </c>
      <c r="C14" s="1426" t="s">
        <v>2462</v>
      </c>
      <c r="D14" s="1210" t="s">
        <v>499</v>
      </c>
      <c r="E14" s="1064">
        <v>0</v>
      </c>
      <c r="F14" s="1602"/>
      <c r="G14" s="1611">
        <f>E14*(IF(F14="Standard",V14,(IF(F14="Complex",W14,0))))</f>
        <v>0</v>
      </c>
      <c r="H14" s="1065">
        <v>0</v>
      </c>
      <c r="I14" s="1065">
        <v>0</v>
      </c>
      <c r="J14" s="1825">
        <v>0</v>
      </c>
      <c r="K14" s="1066"/>
      <c r="L14" s="2150"/>
      <c r="M14" s="1142"/>
      <c r="N14" s="1207"/>
      <c r="O14" s="1924">
        <v>29.3</v>
      </c>
      <c r="P14" s="1338"/>
      <c r="Q14" s="1333"/>
      <c r="R14" s="1156"/>
      <c r="S14" s="1333"/>
      <c r="T14" s="1157"/>
      <c r="U14" s="1301"/>
      <c r="V14" s="1156">
        <v>4</v>
      </c>
      <c r="W14" s="1145">
        <v>12</v>
      </c>
      <c r="X14" s="1302"/>
      <c r="Y14" s="1309"/>
      <c r="Z14" s="1161"/>
      <c r="AA14" s="1302"/>
      <c r="AB14" s="1161"/>
      <c r="AC14" s="1316"/>
    </row>
    <row r="15" spans="1:32" s="1077" customFormat="1" ht="30" customHeight="1">
      <c r="A15" s="1067" t="s">
        <v>2463</v>
      </c>
      <c r="B15" s="1757">
        <v>29.4</v>
      </c>
      <c r="C15" s="1655" t="s">
        <v>2464</v>
      </c>
      <c r="D15" s="1615" t="s">
        <v>2465</v>
      </c>
      <c r="E15" s="1064">
        <v>0</v>
      </c>
      <c r="F15" s="1602"/>
      <c r="G15" s="1611">
        <f>E15*(IF(F15="Standard",V15,(IF(F15="Complex",W15,0))))</f>
        <v>0</v>
      </c>
      <c r="H15" s="1617">
        <v>0</v>
      </c>
      <c r="I15" s="1617">
        <v>0</v>
      </c>
      <c r="J15" s="1827">
        <v>0</v>
      </c>
      <c r="K15" s="1217"/>
      <c r="L15" s="2150"/>
      <c r="M15" s="348"/>
      <c r="N15" s="1767"/>
      <c r="O15" s="1925">
        <v>29.4</v>
      </c>
      <c r="P15" s="1751"/>
      <c r="Q15" s="1747"/>
      <c r="R15" s="1747"/>
      <c r="S15" s="1747"/>
      <c r="T15" s="1750"/>
      <c r="U15" s="1724"/>
      <c r="V15" s="1828">
        <v>4</v>
      </c>
      <c r="W15" s="1388">
        <v>10</v>
      </c>
      <c r="X15" s="1382"/>
      <c r="Y15" s="1623"/>
      <c r="Z15" s="1622"/>
      <c r="AA15" s="1382"/>
      <c r="AB15" s="1623"/>
      <c r="AC15" s="1829"/>
      <c r="AD15" s="1076"/>
      <c r="AE15" s="1076"/>
      <c r="AF15" s="1076"/>
    </row>
    <row r="16" spans="1:32" s="1077" customFormat="1" ht="30" customHeight="1">
      <c r="A16" s="1067" t="s">
        <v>2466</v>
      </c>
      <c r="B16" s="1757">
        <v>29.5</v>
      </c>
      <c r="C16" s="1655" t="s">
        <v>342</v>
      </c>
      <c r="D16" s="1615" t="s">
        <v>1830</v>
      </c>
      <c r="E16" s="1105">
        <v>0</v>
      </c>
      <c r="F16" s="1602"/>
      <c r="G16" s="1611">
        <f t="shared" ref="G16:G21" si="0">ROUNDUP(ROUND(E16,2)*(IF(F16="Simple",U16,(IF(F16="Standard",V16,(IF(F16="Complex",W16,0)))))),0)</f>
        <v>0</v>
      </c>
      <c r="H16" s="1617">
        <v>0</v>
      </c>
      <c r="I16" s="1617">
        <v>0</v>
      </c>
      <c r="J16" s="1827">
        <v>0</v>
      </c>
      <c r="K16" s="1217"/>
      <c r="L16" s="2150"/>
      <c r="M16" s="348"/>
      <c r="N16" s="1767"/>
      <c r="O16" s="1925">
        <v>29.5</v>
      </c>
      <c r="P16" s="1751"/>
      <c r="Q16" s="1747"/>
      <c r="R16" s="1747"/>
      <c r="S16" s="1747"/>
      <c r="T16" s="1750"/>
      <c r="U16" s="1724">
        <v>8</v>
      </c>
      <c r="V16" s="1828">
        <v>16</v>
      </c>
      <c r="W16" s="1388">
        <v>24</v>
      </c>
      <c r="X16" s="1382"/>
      <c r="Y16" s="1623"/>
      <c r="Z16" s="1622"/>
      <c r="AA16" s="1382"/>
      <c r="AB16" s="1623"/>
      <c r="AC16" s="1829"/>
      <c r="AD16" s="1076"/>
      <c r="AE16" s="1076"/>
      <c r="AF16" s="1076"/>
    </row>
    <row r="17" spans="1:32" s="1077" customFormat="1" ht="30" customHeight="1">
      <c r="A17" s="1067" t="s">
        <v>2467</v>
      </c>
      <c r="B17" s="1757">
        <v>29.6</v>
      </c>
      <c r="C17" s="1655" t="s">
        <v>316</v>
      </c>
      <c r="D17" s="1615" t="s">
        <v>1830</v>
      </c>
      <c r="E17" s="1616">
        <v>0</v>
      </c>
      <c r="F17" s="1602"/>
      <c r="G17" s="1611">
        <f>ROUNDUP(ROUND(E17,2)*(IF(F17="Standard",V17,(IF(F17="Complex",W17,0)))),0)</f>
        <v>0</v>
      </c>
      <c r="H17" s="1617">
        <v>0</v>
      </c>
      <c r="I17" s="1617">
        <v>0</v>
      </c>
      <c r="J17" s="1827">
        <v>0</v>
      </c>
      <c r="K17" s="1217"/>
      <c r="L17" s="2150"/>
      <c r="M17" s="348"/>
      <c r="N17" s="1767"/>
      <c r="O17" s="1925">
        <v>29.6</v>
      </c>
      <c r="P17" s="1751"/>
      <c r="Q17" s="1747"/>
      <c r="R17" s="1747"/>
      <c r="S17" s="1747"/>
      <c r="T17" s="1750"/>
      <c r="U17" s="1724"/>
      <c r="V17" s="1828">
        <v>2</v>
      </c>
      <c r="W17" s="1388">
        <v>4</v>
      </c>
      <c r="X17" s="1382"/>
      <c r="Y17" s="1623"/>
      <c r="Z17" s="1622"/>
      <c r="AA17" s="1382"/>
      <c r="AB17" s="1623"/>
      <c r="AC17" s="1829"/>
      <c r="AD17" s="1076"/>
      <c r="AE17" s="1076"/>
      <c r="AF17" s="1076"/>
    </row>
    <row r="18" spans="1:32" s="1077" customFormat="1" ht="30" customHeight="1">
      <c r="A18" s="1067" t="s">
        <v>2468</v>
      </c>
      <c r="B18" s="1757">
        <v>29.7</v>
      </c>
      <c r="C18" s="1655" t="s">
        <v>317</v>
      </c>
      <c r="D18" s="1615" t="s">
        <v>304</v>
      </c>
      <c r="E18" s="1064">
        <v>0</v>
      </c>
      <c r="F18" s="1602"/>
      <c r="G18" s="1611">
        <f>E18*(IF(F18="Simple",U18,(IF(F18="Standard",V18,(IF(F18="Complex",W18,0))))))</f>
        <v>0</v>
      </c>
      <c r="H18" s="1617">
        <v>0</v>
      </c>
      <c r="I18" s="1617">
        <v>0</v>
      </c>
      <c r="J18" s="1827">
        <v>0</v>
      </c>
      <c r="K18" s="1217"/>
      <c r="L18" s="2150"/>
      <c r="M18" s="348"/>
      <c r="N18" s="1767"/>
      <c r="O18" s="1925">
        <v>29.7</v>
      </c>
      <c r="P18" s="1751"/>
      <c r="Q18" s="1747"/>
      <c r="R18" s="1747"/>
      <c r="S18" s="1747"/>
      <c r="T18" s="1750"/>
      <c r="U18" s="1724">
        <v>2</v>
      </c>
      <c r="V18" s="1828">
        <v>5</v>
      </c>
      <c r="W18" s="1388">
        <v>10</v>
      </c>
      <c r="X18" s="1382"/>
      <c r="Y18" s="1623"/>
      <c r="Z18" s="1622"/>
      <c r="AA18" s="1382"/>
      <c r="AB18" s="1623"/>
      <c r="AC18" s="1829"/>
      <c r="AD18" s="1076"/>
      <c r="AE18" s="1076"/>
      <c r="AF18" s="1076"/>
    </row>
    <row r="19" spans="1:32" s="1077" customFormat="1" ht="30" customHeight="1">
      <c r="A19" s="1067" t="s">
        <v>2469</v>
      </c>
      <c r="B19" s="1757">
        <v>29.8</v>
      </c>
      <c r="C19" s="1655" t="s">
        <v>343</v>
      </c>
      <c r="D19" s="1615" t="s">
        <v>304</v>
      </c>
      <c r="E19" s="1064">
        <v>0</v>
      </c>
      <c r="F19" s="1602"/>
      <c r="G19" s="1611">
        <f>E19*(IF(F19="Standard",V19,(IF(F19="Complex",W19,0))))</f>
        <v>0</v>
      </c>
      <c r="H19" s="1617">
        <v>0</v>
      </c>
      <c r="I19" s="1617">
        <v>0</v>
      </c>
      <c r="J19" s="1827">
        <v>0</v>
      </c>
      <c r="K19" s="1217"/>
      <c r="L19" s="2150"/>
      <c r="M19" s="348"/>
      <c r="N19" s="1767"/>
      <c r="O19" s="1925">
        <v>29.8</v>
      </c>
      <c r="P19" s="1751"/>
      <c r="Q19" s="1747"/>
      <c r="R19" s="1747"/>
      <c r="S19" s="1747"/>
      <c r="T19" s="1750"/>
      <c r="U19" s="1724"/>
      <c r="V19" s="1828">
        <v>2</v>
      </c>
      <c r="W19" s="1388">
        <v>4</v>
      </c>
      <c r="X19" s="1382"/>
      <c r="Y19" s="1623"/>
      <c r="Z19" s="1622"/>
      <c r="AA19" s="1382"/>
      <c r="AB19" s="1623"/>
      <c r="AC19" s="1829"/>
      <c r="AD19" s="1076"/>
      <c r="AE19" s="1076"/>
      <c r="AF19" s="1076"/>
    </row>
    <row r="20" spans="1:32" s="1077" customFormat="1" ht="30" customHeight="1">
      <c r="A20" s="1067" t="s">
        <v>2470</v>
      </c>
      <c r="B20" s="1757">
        <v>29.9</v>
      </c>
      <c r="C20" s="1655" t="s">
        <v>318</v>
      </c>
      <c r="D20" s="1615" t="s">
        <v>1830</v>
      </c>
      <c r="E20" s="1616">
        <v>0</v>
      </c>
      <c r="F20" s="1129"/>
      <c r="G20" s="1611">
        <f>ROUNDUP(ROUND(E20,2)*X20,0)</f>
        <v>0</v>
      </c>
      <c r="H20" s="1617">
        <v>0</v>
      </c>
      <c r="I20" s="1617">
        <v>0</v>
      </c>
      <c r="J20" s="1827">
        <v>0</v>
      </c>
      <c r="K20" s="1217"/>
      <c r="L20" s="2150"/>
      <c r="M20" s="348"/>
      <c r="N20" s="1767"/>
      <c r="O20" s="1925">
        <v>29.9</v>
      </c>
      <c r="P20" s="1751"/>
      <c r="Q20" s="1747"/>
      <c r="R20" s="1747"/>
      <c r="S20" s="1747"/>
      <c r="T20" s="1750"/>
      <c r="U20" s="1724"/>
      <c r="V20" s="1828"/>
      <c r="W20" s="1388"/>
      <c r="X20" s="1382">
        <v>2</v>
      </c>
      <c r="Y20" s="1623"/>
      <c r="Z20" s="1622"/>
      <c r="AA20" s="1382"/>
      <c r="AB20" s="1623"/>
      <c r="AC20" s="1829"/>
      <c r="AD20" s="1076"/>
      <c r="AE20" s="1076"/>
      <c r="AF20" s="1076"/>
    </row>
    <row r="21" spans="1:32" s="1077" customFormat="1" ht="30" customHeight="1" thickBot="1">
      <c r="A21" s="1067" t="s">
        <v>2471</v>
      </c>
      <c r="B21" s="1763">
        <v>29.1</v>
      </c>
      <c r="C21" s="1655" t="s">
        <v>313</v>
      </c>
      <c r="D21" s="1615" t="s">
        <v>314</v>
      </c>
      <c r="E21" s="1616">
        <v>0</v>
      </c>
      <c r="F21" s="1602"/>
      <c r="G21" s="1611">
        <f t="shared" si="0"/>
        <v>0</v>
      </c>
      <c r="H21" s="1617">
        <v>0</v>
      </c>
      <c r="I21" s="1617">
        <v>0</v>
      </c>
      <c r="J21" s="1827">
        <v>0</v>
      </c>
      <c r="K21" s="1217"/>
      <c r="L21" s="2150"/>
      <c r="M21" s="348"/>
      <c r="N21" s="1767"/>
      <c r="O21" s="1765">
        <v>29.1</v>
      </c>
      <c r="P21" s="1751"/>
      <c r="Q21" s="1747"/>
      <c r="R21" s="1747"/>
      <c r="S21" s="1747"/>
      <c r="T21" s="1750"/>
      <c r="U21" s="1724">
        <v>2</v>
      </c>
      <c r="V21" s="1828">
        <v>4</v>
      </c>
      <c r="W21" s="1153">
        <v>6</v>
      </c>
      <c r="X21" s="1150"/>
      <c r="Y21" s="1235"/>
      <c r="Z21" s="1294"/>
      <c r="AA21" s="1150"/>
      <c r="AB21" s="1235"/>
      <c r="AC21" s="1236"/>
      <c r="AD21" s="1076"/>
      <c r="AE21" s="1076"/>
      <c r="AF21" s="1076"/>
    </row>
    <row r="22" spans="1:32" ht="20.100000000000001" customHeight="1" thickBot="1">
      <c r="A22" s="1067"/>
      <c r="B22" s="2674" t="s">
        <v>301</v>
      </c>
      <c r="C22" s="2675"/>
      <c r="D22" s="2675"/>
      <c r="E22" s="2675"/>
      <c r="F22" s="2675"/>
      <c r="G22" s="2675"/>
      <c r="H22" s="2675"/>
      <c r="I22" s="2675"/>
      <c r="J22" s="2675"/>
      <c r="K22" s="2676"/>
      <c r="L22" s="2150"/>
      <c r="M22" s="1173"/>
      <c r="N22" s="1142"/>
      <c r="O22" s="1174"/>
      <c r="P22" s="1174"/>
      <c r="Q22" s="1175"/>
      <c r="R22" s="1176"/>
      <c r="S22" s="1175"/>
      <c r="T22" s="1175"/>
      <c r="U22" s="1175"/>
      <c r="V22" s="1175"/>
      <c r="W22" s="1145"/>
      <c r="X22" s="1145"/>
      <c r="Y22" s="1145"/>
      <c r="Z22" s="1142"/>
      <c r="AA22" s="1145"/>
      <c r="AB22" s="1145"/>
      <c r="AC22" s="1145"/>
    </row>
    <row r="23" spans="1:32" s="1077" customFormat="1" ht="30" customHeight="1">
      <c r="A23" s="1067" t="s">
        <v>2472</v>
      </c>
      <c r="B23" s="1906">
        <v>29.11</v>
      </c>
      <c r="C23" s="1598" t="s">
        <v>323</v>
      </c>
      <c r="D23" s="1615" t="s">
        <v>85</v>
      </c>
      <c r="E23" s="1629">
        <v>0</v>
      </c>
      <c r="F23" s="1129"/>
      <c r="G23" s="1138">
        <f>IF(E23=0,0,X23)</f>
        <v>0</v>
      </c>
      <c r="H23" s="1617">
        <v>0</v>
      </c>
      <c r="I23" s="1617">
        <v>0</v>
      </c>
      <c r="J23" s="1827">
        <v>0</v>
      </c>
      <c r="K23" s="1217"/>
      <c r="L23" s="2150"/>
      <c r="M23" s="348"/>
      <c r="N23" s="1767"/>
      <c r="O23" s="1771">
        <v>29.11</v>
      </c>
      <c r="P23" s="1751"/>
      <c r="Q23" s="1747"/>
      <c r="R23" s="1747"/>
      <c r="S23" s="1747"/>
      <c r="T23" s="1750"/>
      <c r="U23" s="1724"/>
      <c r="V23" s="1828"/>
      <c r="W23" s="1388"/>
      <c r="X23" s="1382">
        <v>8</v>
      </c>
      <c r="Y23" s="1623"/>
      <c r="Z23" s="1622"/>
      <c r="AA23" s="1382"/>
      <c r="AB23" s="1623"/>
      <c r="AC23" s="1829"/>
      <c r="AD23" s="1076"/>
      <c r="AE23" s="1076"/>
      <c r="AF23" s="1076"/>
    </row>
    <row r="24" spans="1:32" s="1077" customFormat="1" ht="30" customHeight="1">
      <c r="A24" s="1067" t="s">
        <v>2473</v>
      </c>
      <c r="B24" s="1906">
        <v>29.12</v>
      </c>
      <c r="C24" s="1598" t="s">
        <v>324</v>
      </c>
      <c r="D24" s="1615" t="s">
        <v>2474</v>
      </c>
      <c r="E24" s="1064">
        <v>0</v>
      </c>
      <c r="F24" s="1602"/>
      <c r="G24" s="1611">
        <f>E24*(IF(F24="Simple",U24,(IF(F24="Standard",V24,(IF(F24="Complex",W24,0))))))</f>
        <v>0</v>
      </c>
      <c r="H24" s="1617">
        <v>0</v>
      </c>
      <c r="I24" s="1617">
        <v>0</v>
      </c>
      <c r="J24" s="1827">
        <v>0</v>
      </c>
      <c r="K24" s="1217"/>
      <c r="L24" s="2150"/>
      <c r="M24" s="348"/>
      <c r="N24" s="1767"/>
      <c r="O24" s="1771">
        <v>29.12</v>
      </c>
      <c r="P24" s="1751"/>
      <c r="Q24" s="1747"/>
      <c r="R24" s="1747"/>
      <c r="S24" s="1747"/>
      <c r="T24" s="1750"/>
      <c r="U24" s="1724">
        <v>8</v>
      </c>
      <c r="V24" s="1828">
        <v>12</v>
      </c>
      <c r="W24" s="1388">
        <v>16</v>
      </c>
      <c r="X24" s="1382"/>
      <c r="Y24" s="1623"/>
      <c r="Z24" s="1622"/>
      <c r="AA24" s="1382"/>
      <c r="AB24" s="1623"/>
      <c r="AC24" s="1829"/>
      <c r="AD24" s="1076"/>
      <c r="AE24" s="1076"/>
      <c r="AF24" s="1076"/>
    </row>
    <row r="25" spans="1:32" s="1077" customFormat="1" ht="30" customHeight="1">
      <c r="A25" s="1067" t="s">
        <v>2475</v>
      </c>
      <c r="B25" s="1906">
        <v>29.13</v>
      </c>
      <c r="C25" s="1598" t="s">
        <v>325</v>
      </c>
      <c r="D25" s="1615" t="s">
        <v>2474</v>
      </c>
      <c r="E25" s="1064">
        <v>0</v>
      </c>
      <c r="F25" s="1602"/>
      <c r="G25" s="1611">
        <f>E25*(IF(F25="Simple",U25,(IF(F25="Standard",V25,(IF(F25="Complex",W25,0))))))</f>
        <v>0</v>
      </c>
      <c r="H25" s="1617">
        <v>0</v>
      </c>
      <c r="I25" s="1617">
        <v>0</v>
      </c>
      <c r="J25" s="1827">
        <v>0</v>
      </c>
      <c r="K25" s="1217"/>
      <c r="L25" s="2150"/>
      <c r="M25" s="348"/>
      <c r="N25" s="1767"/>
      <c r="O25" s="1771">
        <v>29.13</v>
      </c>
      <c r="P25" s="1751"/>
      <c r="Q25" s="1747"/>
      <c r="R25" s="1747"/>
      <c r="S25" s="1747"/>
      <c r="T25" s="1750"/>
      <c r="U25" s="1724">
        <v>8</v>
      </c>
      <c r="V25" s="1828">
        <v>16</v>
      </c>
      <c r="W25" s="1388">
        <v>24</v>
      </c>
      <c r="X25" s="1382"/>
      <c r="Y25" s="1623"/>
      <c r="Z25" s="1622"/>
      <c r="AA25" s="1382"/>
      <c r="AB25" s="1623"/>
      <c r="AC25" s="1829"/>
      <c r="AD25" s="1076"/>
      <c r="AE25" s="1076"/>
      <c r="AF25" s="1076"/>
    </row>
    <row r="26" spans="1:32" s="1077" customFormat="1" ht="30" customHeight="1">
      <c r="A26" s="1067" t="s">
        <v>2476</v>
      </c>
      <c r="B26" s="1906">
        <v>29.14</v>
      </c>
      <c r="C26" s="1598" t="s">
        <v>344</v>
      </c>
      <c r="D26" s="1615" t="s">
        <v>85</v>
      </c>
      <c r="E26" s="1629">
        <v>0</v>
      </c>
      <c r="F26" s="1129"/>
      <c r="G26" s="1138">
        <f>IF(E26=0,0,X26)</f>
        <v>0</v>
      </c>
      <c r="H26" s="1617">
        <v>0</v>
      </c>
      <c r="I26" s="1617">
        <v>0</v>
      </c>
      <c r="J26" s="1827">
        <v>0</v>
      </c>
      <c r="K26" s="1217"/>
      <c r="L26" s="2150"/>
      <c r="M26" s="348"/>
      <c r="N26" s="1767"/>
      <c r="O26" s="1771">
        <v>29.14</v>
      </c>
      <c r="P26" s="1751"/>
      <c r="Q26" s="1747"/>
      <c r="R26" s="1747"/>
      <c r="S26" s="1747"/>
      <c r="T26" s="1750"/>
      <c r="U26" s="1724"/>
      <c r="V26" s="1828"/>
      <c r="W26" s="1388"/>
      <c r="X26" s="1382">
        <v>8</v>
      </c>
      <c r="Y26" s="1623"/>
      <c r="Z26" s="1622"/>
      <c r="AA26" s="1382"/>
      <c r="AB26" s="1623"/>
      <c r="AC26" s="1829"/>
      <c r="AD26" s="1076"/>
      <c r="AE26" s="1076"/>
      <c r="AF26" s="1076"/>
    </row>
    <row r="27" spans="1:32" s="1077" customFormat="1" ht="30" customHeight="1">
      <c r="A27" s="1067" t="s">
        <v>2477</v>
      </c>
      <c r="B27" s="1906">
        <v>29.15</v>
      </c>
      <c r="C27" s="1598" t="s">
        <v>345</v>
      </c>
      <c r="D27" s="1615" t="s">
        <v>2474</v>
      </c>
      <c r="E27" s="1064">
        <v>0</v>
      </c>
      <c r="F27" s="1602"/>
      <c r="G27" s="1611">
        <f>E27*(IF(F27="Simple",U27,(IF(F27="Standard",V27,(IF(F27="Complex",W27,0))))))</f>
        <v>0</v>
      </c>
      <c r="H27" s="1617">
        <v>0</v>
      </c>
      <c r="I27" s="1617">
        <v>0</v>
      </c>
      <c r="J27" s="1827">
        <v>0</v>
      </c>
      <c r="K27" s="1217"/>
      <c r="L27" s="2150"/>
      <c r="M27" s="348"/>
      <c r="N27" s="1767"/>
      <c r="O27" s="1771">
        <v>29.15</v>
      </c>
      <c r="P27" s="1751"/>
      <c r="Q27" s="1747"/>
      <c r="R27" s="1747"/>
      <c r="S27" s="1747"/>
      <c r="T27" s="1750"/>
      <c r="U27" s="1724">
        <v>2</v>
      </c>
      <c r="V27" s="1828">
        <v>12</v>
      </c>
      <c r="W27" s="1388">
        <v>24</v>
      </c>
      <c r="X27" s="1382"/>
      <c r="Y27" s="1623"/>
      <c r="Z27" s="1622"/>
      <c r="AA27" s="1382"/>
      <c r="AB27" s="1623"/>
      <c r="AC27" s="1829"/>
      <c r="AD27" s="1076"/>
      <c r="AE27" s="1076"/>
      <c r="AF27" s="1076"/>
    </row>
    <row r="28" spans="1:32" s="1077" customFormat="1" ht="30" customHeight="1">
      <c r="A28" s="1067" t="s">
        <v>2478</v>
      </c>
      <c r="B28" s="1906">
        <v>29.16</v>
      </c>
      <c r="C28" s="1598" t="s">
        <v>346</v>
      </c>
      <c r="D28" s="1615" t="s">
        <v>2474</v>
      </c>
      <c r="E28" s="1064">
        <v>0</v>
      </c>
      <c r="F28" s="1602"/>
      <c r="G28" s="1611">
        <f>E28*(IF(F28="Simple",U28,(IF(F28="Standard",V28,(IF(F28="Complex",W28,0))))))</f>
        <v>0</v>
      </c>
      <c r="H28" s="1617">
        <v>0</v>
      </c>
      <c r="I28" s="1617">
        <v>0</v>
      </c>
      <c r="J28" s="1827">
        <v>0</v>
      </c>
      <c r="K28" s="1217"/>
      <c r="L28" s="2150"/>
      <c r="M28" s="348"/>
      <c r="N28" s="1767"/>
      <c r="O28" s="1771">
        <v>29.16</v>
      </c>
      <c r="P28" s="1751"/>
      <c r="Q28" s="1747"/>
      <c r="R28" s="1747"/>
      <c r="S28" s="1747"/>
      <c r="T28" s="1750"/>
      <c r="U28" s="1724">
        <v>4</v>
      </c>
      <c r="V28" s="1828">
        <v>18</v>
      </c>
      <c r="W28" s="1388">
        <v>32</v>
      </c>
      <c r="X28" s="1382"/>
      <c r="Y28" s="1623"/>
      <c r="Z28" s="1622"/>
      <c r="AA28" s="1382"/>
      <c r="AB28" s="1623"/>
      <c r="AC28" s="1829"/>
      <c r="AD28" s="1076"/>
      <c r="AE28" s="1076"/>
      <c r="AF28" s="1076"/>
    </row>
    <row r="29" spans="1:32" s="1077" customFormat="1" ht="30" customHeight="1">
      <c r="A29" s="1067" t="s">
        <v>2479</v>
      </c>
      <c r="B29" s="1906">
        <v>29.17</v>
      </c>
      <c r="C29" s="1598" t="s">
        <v>515</v>
      </c>
      <c r="D29" s="1615" t="s">
        <v>85</v>
      </c>
      <c r="E29" s="1629">
        <v>0</v>
      </c>
      <c r="F29" s="1129"/>
      <c r="G29" s="1138">
        <f>IF(E29=0,0,X29)</f>
        <v>0</v>
      </c>
      <c r="H29" s="1617">
        <v>0</v>
      </c>
      <c r="I29" s="1617">
        <v>0</v>
      </c>
      <c r="J29" s="1827">
        <v>0</v>
      </c>
      <c r="K29" s="1217"/>
      <c r="L29" s="2150"/>
      <c r="M29" s="348"/>
      <c r="N29" s="1767"/>
      <c r="O29" s="1771">
        <v>29.17</v>
      </c>
      <c r="P29" s="1751"/>
      <c r="Q29" s="1747"/>
      <c r="R29" s="1747"/>
      <c r="S29" s="1747"/>
      <c r="T29" s="1750"/>
      <c r="U29" s="1724"/>
      <c r="V29" s="1828"/>
      <c r="W29" s="1388"/>
      <c r="X29" s="1382">
        <v>8</v>
      </c>
      <c r="Y29" s="1623"/>
      <c r="Z29" s="1622"/>
      <c r="AA29" s="1382"/>
      <c r="AB29" s="1623"/>
      <c r="AC29" s="1829"/>
      <c r="AD29" s="1076"/>
      <c r="AE29" s="1076"/>
      <c r="AF29" s="1076"/>
    </row>
    <row r="30" spans="1:32" s="1077" customFormat="1" ht="30" customHeight="1">
      <c r="A30" s="1067" t="s">
        <v>2480</v>
      </c>
      <c r="B30" s="1906">
        <v>29.18</v>
      </c>
      <c r="C30" s="1598" t="s">
        <v>516</v>
      </c>
      <c r="D30" s="1615" t="s">
        <v>2474</v>
      </c>
      <c r="E30" s="1064">
        <v>0</v>
      </c>
      <c r="F30" s="1602"/>
      <c r="G30" s="1611">
        <f>E30*(IF(F30="Simple",U30,(IF(F30="Standard",V30,(IF(F30="Complex",W30,0))))))</f>
        <v>0</v>
      </c>
      <c r="H30" s="1617">
        <v>0</v>
      </c>
      <c r="I30" s="1617">
        <v>0</v>
      </c>
      <c r="J30" s="1827">
        <v>0</v>
      </c>
      <c r="K30" s="1217"/>
      <c r="L30" s="2150"/>
      <c r="M30" s="348"/>
      <c r="N30" s="1767"/>
      <c r="O30" s="1771">
        <v>29.18</v>
      </c>
      <c r="P30" s="1751"/>
      <c r="Q30" s="1747"/>
      <c r="R30" s="1747"/>
      <c r="S30" s="1747"/>
      <c r="T30" s="1750"/>
      <c r="U30" s="1724">
        <v>2</v>
      </c>
      <c r="V30" s="1828">
        <v>8</v>
      </c>
      <c r="W30" s="1388">
        <v>16</v>
      </c>
      <c r="X30" s="1382"/>
      <c r="Y30" s="1623"/>
      <c r="Z30" s="1622"/>
      <c r="AA30" s="1382"/>
      <c r="AB30" s="1623"/>
      <c r="AC30" s="1829"/>
      <c r="AD30" s="1076"/>
      <c r="AE30" s="1076"/>
      <c r="AF30" s="1076"/>
    </row>
    <row r="31" spans="1:32" s="1077" customFormat="1" ht="30" customHeight="1">
      <c r="A31" s="1067" t="s">
        <v>2481</v>
      </c>
      <c r="B31" s="1906">
        <v>29.19</v>
      </c>
      <c r="C31" s="1598" t="s">
        <v>517</v>
      </c>
      <c r="D31" s="1615" t="s">
        <v>2474</v>
      </c>
      <c r="E31" s="1064">
        <v>0</v>
      </c>
      <c r="F31" s="1602"/>
      <c r="G31" s="1611">
        <f>E31*(IF(F31="Simple",U31,(IF(F31="Standard",V31,(IF(F31="Complex",W31,0))))))</f>
        <v>0</v>
      </c>
      <c r="H31" s="1617">
        <v>0</v>
      </c>
      <c r="I31" s="1617">
        <v>0</v>
      </c>
      <c r="J31" s="1827">
        <v>0</v>
      </c>
      <c r="K31" s="1217"/>
      <c r="L31" s="2150"/>
      <c r="M31" s="348"/>
      <c r="N31" s="1767"/>
      <c r="O31" s="1771">
        <v>29.19</v>
      </c>
      <c r="P31" s="1751"/>
      <c r="Q31" s="1747"/>
      <c r="R31" s="1747"/>
      <c r="S31" s="1747"/>
      <c r="T31" s="1750"/>
      <c r="U31" s="1724">
        <v>2</v>
      </c>
      <c r="V31" s="1828">
        <v>12</v>
      </c>
      <c r="W31" s="1388">
        <v>24</v>
      </c>
      <c r="X31" s="1382"/>
      <c r="Y31" s="1623"/>
      <c r="Z31" s="1622"/>
      <c r="AA31" s="1382"/>
      <c r="AB31" s="1623"/>
      <c r="AC31" s="1829"/>
      <c r="AD31" s="1076"/>
      <c r="AE31" s="1076"/>
      <c r="AF31" s="1076"/>
    </row>
    <row r="32" spans="1:32" s="1077" customFormat="1" ht="30" customHeight="1">
      <c r="A32" s="1067" t="s">
        <v>2482</v>
      </c>
      <c r="B32" s="1906">
        <v>29.2</v>
      </c>
      <c r="C32" s="1598" t="s">
        <v>326</v>
      </c>
      <c r="D32" s="1615" t="s">
        <v>141</v>
      </c>
      <c r="E32" s="1064">
        <v>0</v>
      </c>
      <c r="F32" s="1129"/>
      <c r="G32" s="1620">
        <f>ROUNDUP(IF(E32=0,0,E32*X32),0)</f>
        <v>0</v>
      </c>
      <c r="H32" s="1617">
        <v>0</v>
      </c>
      <c r="I32" s="1617">
        <v>0</v>
      </c>
      <c r="J32" s="1827">
        <v>0</v>
      </c>
      <c r="K32" s="1217"/>
      <c r="L32" s="2150"/>
      <c r="M32" s="348"/>
      <c r="N32" s="1767"/>
      <c r="O32" s="1771">
        <v>29.2</v>
      </c>
      <c r="P32" s="1751"/>
      <c r="Q32" s="1747"/>
      <c r="R32" s="1747"/>
      <c r="S32" s="1747"/>
      <c r="T32" s="1750"/>
      <c r="U32" s="1724"/>
      <c r="V32" s="1828"/>
      <c r="W32" s="1388"/>
      <c r="X32" s="1382">
        <v>0.5</v>
      </c>
      <c r="Y32" s="1623"/>
      <c r="Z32" s="1622"/>
      <c r="AA32" s="1382"/>
      <c r="AB32" s="1623"/>
      <c r="AC32" s="1829"/>
      <c r="AD32" s="1076"/>
      <c r="AE32" s="1076"/>
      <c r="AF32" s="1076"/>
    </row>
    <row r="33" spans="1:32" s="1077" customFormat="1" ht="30" customHeight="1">
      <c r="A33" s="1067" t="s">
        <v>2483</v>
      </c>
      <c r="B33" s="1906">
        <v>29.21</v>
      </c>
      <c r="C33" s="1598" t="s">
        <v>1693</v>
      </c>
      <c r="D33" s="1615" t="s">
        <v>2474</v>
      </c>
      <c r="E33" s="1064">
        <v>0</v>
      </c>
      <c r="F33" s="1602"/>
      <c r="G33" s="1611">
        <f>E33*(IF(F33="Simple",U33,(IF(F33="Standard",V33,(IF(F33="Complex",W33,0))))))</f>
        <v>0</v>
      </c>
      <c r="H33" s="1617">
        <v>0</v>
      </c>
      <c r="I33" s="1617">
        <v>0</v>
      </c>
      <c r="J33" s="1827">
        <v>0</v>
      </c>
      <c r="K33" s="1217"/>
      <c r="L33" s="2150"/>
      <c r="M33" s="348"/>
      <c r="N33" s="1767"/>
      <c r="O33" s="1771">
        <v>29.21</v>
      </c>
      <c r="P33" s="1751"/>
      <c r="Q33" s="1747"/>
      <c r="R33" s="1747"/>
      <c r="S33" s="1747"/>
      <c r="T33" s="1750"/>
      <c r="U33" s="1724">
        <v>6</v>
      </c>
      <c r="V33" s="1828">
        <v>8</v>
      </c>
      <c r="W33" s="1388">
        <v>12</v>
      </c>
      <c r="X33" s="1382"/>
      <c r="Y33" s="1623"/>
      <c r="Z33" s="1622"/>
      <c r="AA33" s="1382"/>
      <c r="AB33" s="1623"/>
      <c r="AC33" s="1829"/>
      <c r="AD33" s="1076"/>
      <c r="AE33" s="1076"/>
      <c r="AF33" s="1076"/>
    </row>
    <row r="34" spans="1:32" s="1077" customFormat="1" ht="30" customHeight="1" thickBot="1">
      <c r="A34" s="1067" t="s">
        <v>2484</v>
      </c>
      <c r="B34" s="1906">
        <v>29.22</v>
      </c>
      <c r="C34" s="1598" t="s">
        <v>327</v>
      </c>
      <c r="D34" s="1615" t="s">
        <v>304</v>
      </c>
      <c r="E34" s="1064">
        <v>0</v>
      </c>
      <c r="F34" s="1129"/>
      <c r="G34" s="1611">
        <f>IF(E34=0,0,ROUNDUP((X34+(E34*AA34)),0))</f>
        <v>0</v>
      </c>
      <c r="H34" s="1617">
        <v>0</v>
      </c>
      <c r="I34" s="1617">
        <v>0</v>
      </c>
      <c r="J34" s="1827">
        <v>0</v>
      </c>
      <c r="K34" s="1217"/>
      <c r="L34" s="2150"/>
      <c r="M34" s="348"/>
      <c r="N34" s="1767"/>
      <c r="O34" s="1765">
        <v>29.22</v>
      </c>
      <c r="P34" s="1751"/>
      <c r="Q34" s="1747"/>
      <c r="R34" s="1747"/>
      <c r="S34" s="1747"/>
      <c r="T34" s="1750"/>
      <c r="U34" s="1724"/>
      <c r="V34" s="1828"/>
      <c r="W34" s="1153"/>
      <c r="X34" s="1150">
        <v>4</v>
      </c>
      <c r="Y34" s="1235"/>
      <c r="Z34" s="1294"/>
      <c r="AA34" s="1150">
        <v>0.2</v>
      </c>
      <c r="AB34" s="1235"/>
      <c r="AC34" s="1236"/>
      <c r="AD34" s="1076"/>
      <c r="AE34" s="1076"/>
      <c r="AF34" s="1076"/>
    </row>
    <row r="35" spans="1:32" ht="20.100000000000001" customHeight="1" thickBot="1">
      <c r="A35" s="1067"/>
      <c r="B35" s="2674" t="s">
        <v>2485</v>
      </c>
      <c r="C35" s="2675"/>
      <c r="D35" s="2675"/>
      <c r="E35" s="2675"/>
      <c r="F35" s="2675"/>
      <c r="G35" s="2675"/>
      <c r="H35" s="2675"/>
      <c r="I35" s="2675"/>
      <c r="J35" s="2675"/>
      <c r="K35" s="2676"/>
      <c r="L35" s="2150"/>
      <c r="M35" s="1173"/>
      <c r="N35" s="1142"/>
      <c r="O35" s="1174"/>
      <c r="P35" s="1174"/>
      <c r="Q35" s="1175"/>
      <c r="R35" s="1176"/>
      <c r="S35" s="1175"/>
      <c r="T35" s="1175"/>
      <c r="U35" s="1175"/>
      <c r="V35" s="1175"/>
      <c r="W35" s="1145"/>
      <c r="X35" s="1145"/>
      <c r="Y35" s="1145"/>
      <c r="Z35" s="1142"/>
      <c r="AA35" s="1145"/>
      <c r="AB35" s="1145"/>
      <c r="AC35" s="1145"/>
    </row>
    <row r="36" spans="1:32" s="1077" customFormat="1" ht="30" customHeight="1">
      <c r="A36" s="1067" t="s">
        <v>2486</v>
      </c>
      <c r="B36" s="1906">
        <v>29.23</v>
      </c>
      <c r="C36" s="1598" t="s">
        <v>328</v>
      </c>
      <c r="D36" s="1615" t="s">
        <v>304</v>
      </c>
      <c r="E36" s="1064">
        <v>0</v>
      </c>
      <c r="F36" s="1602"/>
      <c r="G36" s="1611">
        <f>E36*(IF(F36="Simple",U36,(IF(F36="Standard",V36,(IF(F36="Complex",W36,0))))))</f>
        <v>0</v>
      </c>
      <c r="H36" s="1617">
        <v>0</v>
      </c>
      <c r="I36" s="1617">
        <v>0</v>
      </c>
      <c r="J36" s="1827">
        <v>0</v>
      </c>
      <c r="K36" s="1217"/>
      <c r="L36" s="2150"/>
      <c r="M36" s="348"/>
      <c r="N36" s="1767"/>
      <c r="O36" s="1771">
        <v>29.23</v>
      </c>
      <c r="P36" s="1751"/>
      <c r="Q36" s="1747"/>
      <c r="R36" s="1747"/>
      <c r="S36" s="1747"/>
      <c r="T36" s="1750"/>
      <c r="U36" s="1724">
        <v>4</v>
      </c>
      <c r="V36" s="1828">
        <v>10</v>
      </c>
      <c r="W36" s="1388">
        <v>16</v>
      </c>
      <c r="X36" s="1382"/>
      <c r="Y36" s="1623"/>
      <c r="Z36" s="1622"/>
      <c r="AA36" s="1382"/>
      <c r="AB36" s="1623"/>
      <c r="AC36" s="1829"/>
      <c r="AD36" s="1076"/>
      <c r="AE36" s="1076"/>
      <c r="AF36" s="1076"/>
    </row>
    <row r="37" spans="1:32" s="1077" customFormat="1" ht="30" customHeight="1">
      <c r="A37" s="1067" t="s">
        <v>2487</v>
      </c>
      <c r="B37" s="1906">
        <v>29.24</v>
      </c>
      <c r="C37" s="1598" t="s">
        <v>329</v>
      </c>
      <c r="D37" s="1615" t="s">
        <v>304</v>
      </c>
      <c r="E37" s="1064">
        <v>0</v>
      </c>
      <c r="F37" s="1602"/>
      <c r="G37" s="1611">
        <f t="shared" ref="G37:G40" si="1">E37*(IF(F37="Simple",U37,(IF(F37="Standard",V37,(IF(F37="Complex",W37,0))))))</f>
        <v>0</v>
      </c>
      <c r="H37" s="1617">
        <v>0</v>
      </c>
      <c r="I37" s="1617">
        <v>0</v>
      </c>
      <c r="J37" s="1827">
        <v>0</v>
      </c>
      <c r="K37" s="1217"/>
      <c r="L37" s="2150"/>
      <c r="M37" s="348"/>
      <c r="N37" s="1767"/>
      <c r="O37" s="1771">
        <v>29.24</v>
      </c>
      <c r="P37" s="1751"/>
      <c r="Q37" s="1747"/>
      <c r="R37" s="1747"/>
      <c r="S37" s="1747"/>
      <c r="T37" s="1750"/>
      <c r="U37" s="1724">
        <v>12</v>
      </c>
      <c r="V37" s="1828">
        <v>22</v>
      </c>
      <c r="W37" s="1388">
        <v>32</v>
      </c>
      <c r="X37" s="1382"/>
      <c r="Y37" s="1623"/>
      <c r="Z37" s="1622"/>
      <c r="AA37" s="1382"/>
      <c r="AB37" s="1623"/>
      <c r="AC37" s="1829"/>
      <c r="AD37" s="1076"/>
      <c r="AE37" s="1076"/>
      <c r="AF37" s="1076"/>
    </row>
    <row r="38" spans="1:32" s="1077" customFormat="1" ht="30" customHeight="1">
      <c r="A38" s="1067" t="s">
        <v>2488</v>
      </c>
      <c r="B38" s="1906">
        <v>29.25</v>
      </c>
      <c r="C38" s="1598" t="s">
        <v>2489</v>
      </c>
      <c r="D38" s="1615" t="s">
        <v>141</v>
      </c>
      <c r="E38" s="1064">
        <v>0</v>
      </c>
      <c r="F38" s="1602"/>
      <c r="G38" s="1611">
        <f t="shared" si="1"/>
        <v>0</v>
      </c>
      <c r="H38" s="1617">
        <v>0</v>
      </c>
      <c r="I38" s="1617">
        <v>0</v>
      </c>
      <c r="J38" s="1827">
        <v>0</v>
      </c>
      <c r="K38" s="1217"/>
      <c r="L38" s="2150"/>
      <c r="M38" s="348"/>
      <c r="N38" s="1767"/>
      <c r="O38" s="1771">
        <v>29.25</v>
      </c>
      <c r="P38" s="1751"/>
      <c r="Q38" s="1747"/>
      <c r="R38" s="1747"/>
      <c r="S38" s="1747"/>
      <c r="T38" s="1750"/>
      <c r="U38" s="1724">
        <v>16</v>
      </c>
      <c r="V38" s="1828">
        <v>50</v>
      </c>
      <c r="W38" s="1388">
        <v>80</v>
      </c>
      <c r="X38" s="1382"/>
      <c r="Y38" s="1623"/>
      <c r="Z38" s="1622"/>
      <c r="AA38" s="1382"/>
      <c r="AB38" s="1623"/>
      <c r="AC38" s="1829"/>
      <c r="AD38" s="1076"/>
      <c r="AE38" s="1076"/>
      <c r="AF38" s="1076"/>
    </row>
    <row r="39" spans="1:32" ht="30" customHeight="1">
      <c r="A39" s="1067" t="s">
        <v>2490</v>
      </c>
      <c r="B39" s="1127">
        <v>29.26</v>
      </c>
      <c r="C39" s="1190" t="s">
        <v>330</v>
      </c>
      <c r="D39" s="1615" t="s">
        <v>141</v>
      </c>
      <c r="E39" s="1064">
        <v>0</v>
      </c>
      <c r="F39" s="1602"/>
      <c r="G39" s="1611">
        <f t="shared" si="1"/>
        <v>0</v>
      </c>
      <c r="H39" s="1065">
        <v>0</v>
      </c>
      <c r="I39" s="1065">
        <v>0</v>
      </c>
      <c r="J39" s="1825">
        <v>0</v>
      </c>
      <c r="K39" s="1066"/>
      <c r="L39" s="2150"/>
      <c r="M39" s="1142"/>
      <c r="N39" s="1207"/>
      <c r="O39" s="1630">
        <v>29.26</v>
      </c>
      <c r="P39" s="1337"/>
      <c r="Q39" s="1227"/>
      <c r="R39" s="1151"/>
      <c r="S39" s="1227"/>
      <c r="T39" s="1153"/>
      <c r="U39" s="1154">
        <v>16</v>
      </c>
      <c r="V39" s="1314">
        <v>50</v>
      </c>
      <c r="W39" s="1354">
        <v>80</v>
      </c>
      <c r="X39" s="1232"/>
      <c r="Y39" s="1293"/>
      <c r="Z39" s="1151"/>
      <c r="AA39" s="1232"/>
      <c r="AB39" s="1151"/>
      <c r="AC39" s="1261"/>
    </row>
    <row r="40" spans="1:32" ht="30" customHeight="1">
      <c r="A40" s="1067" t="s">
        <v>2491</v>
      </c>
      <c r="B40" s="1127">
        <v>29.27</v>
      </c>
      <c r="C40" s="1190" t="s">
        <v>347</v>
      </c>
      <c r="D40" s="1615" t="s">
        <v>2474</v>
      </c>
      <c r="E40" s="1064">
        <v>0</v>
      </c>
      <c r="F40" s="1602"/>
      <c r="G40" s="1611">
        <f t="shared" si="1"/>
        <v>0</v>
      </c>
      <c r="H40" s="1065">
        <v>0</v>
      </c>
      <c r="I40" s="1065">
        <v>0</v>
      </c>
      <c r="J40" s="1825">
        <v>0</v>
      </c>
      <c r="K40" s="1066"/>
      <c r="L40" s="2150"/>
      <c r="M40" s="1142"/>
      <c r="N40" s="1207"/>
      <c r="O40" s="1630">
        <v>29.27</v>
      </c>
      <c r="P40" s="1337"/>
      <c r="Q40" s="1227"/>
      <c r="R40" s="1151"/>
      <c r="S40" s="1227"/>
      <c r="T40" s="1153"/>
      <c r="U40" s="1154">
        <v>8</v>
      </c>
      <c r="V40" s="1314">
        <v>20</v>
      </c>
      <c r="W40" s="1354">
        <v>32</v>
      </c>
      <c r="X40" s="1232"/>
      <c r="Y40" s="1293"/>
      <c r="Z40" s="1151"/>
      <c r="AA40" s="1232"/>
      <c r="AB40" s="1151"/>
      <c r="AC40" s="1261"/>
    </row>
    <row r="41" spans="1:32" ht="30" customHeight="1">
      <c r="A41" s="1067" t="s">
        <v>2492</v>
      </c>
      <c r="B41" s="1127">
        <v>29.28</v>
      </c>
      <c r="C41" s="1190" t="s">
        <v>319</v>
      </c>
      <c r="D41" s="1615" t="s">
        <v>85</v>
      </c>
      <c r="E41" s="1629">
        <v>0</v>
      </c>
      <c r="F41" s="1602"/>
      <c r="G41" s="1611">
        <f>E41*(IF(F41="Standard",V41,(IF(F41="Complex",W41,0))))</f>
        <v>0</v>
      </c>
      <c r="H41" s="1065">
        <v>0</v>
      </c>
      <c r="I41" s="1065">
        <v>0</v>
      </c>
      <c r="J41" s="1825">
        <v>0</v>
      </c>
      <c r="K41" s="1066"/>
      <c r="L41" s="2150"/>
      <c r="M41" s="1142"/>
      <c r="N41" s="1207"/>
      <c r="O41" s="1630">
        <v>29.28</v>
      </c>
      <c r="P41" s="1337"/>
      <c r="Q41" s="1227"/>
      <c r="R41" s="1151"/>
      <c r="S41" s="1227"/>
      <c r="T41" s="1153"/>
      <c r="U41" s="1154"/>
      <c r="V41" s="1314">
        <v>2</v>
      </c>
      <c r="W41" s="1354">
        <v>4</v>
      </c>
      <c r="X41" s="1232"/>
      <c r="Y41" s="1293"/>
      <c r="Z41" s="1151"/>
      <c r="AA41" s="1232"/>
      <c r="AB41" s="1151"/>
      <c r="AC41" s="1261"/>
    </row>
    <row r="42" spans="1:32" ht="30" customHeight="1">
      <c r="A42" s="1067" t="s">
        <v>2493</v>
      </c>
      <c r="B42" s="1127">
        <v>29.29</v>
      </c>
      <c r="C42" s="1190" t="s">
        <v>320</v>
      </c>
      <c r="D42" s="1615" t="s">
        <v>85</v>
      </c>
      <c r="E42" s="1629">
        <v>0</v>
      </c>
      <c r="F42" s="1129"/>
      <c r="G42" s="1138">
        <f>IF(E42=0,0,X42)</f>
        <v>0</v>
      </c>
      <c r="H42" s="1065">
        <v>0</v>
      </c>
      <c r="I42" s="1065">
        <v>0</v>
      </c>
      <c r="J42" s="1825">
        <v>0</v>
      </c>
      <c r="K42" s="1066"/>
      <c r="L42" s="2150"/>
      <c r="M42" s="1142"/>
      <c r="N42" s="1207"/>
      <c r="O42" s="1630">
        <v>29.29</v>
      </c>
      <c r="P42" s="1337"/>
      <c r="Q42" s="1227"/>
      <c r="R42" s="1151"/>
      <c r="S42" s="1227"/>
      <c r="T42" s="1153"/>
      <c r="U42" s="1154"/>
      <c r="V42" s="1314"/>
      <c r="W42" s="1354"/>
      <c r="X42" s="1232">
        <v>2</v>
      </c>
      <c r="Y42" s="1293"/>
      <c r="Z42" s="1151"/>
      <c r="AA42" s="1232"/>
      <c r="AB42" s="1151"/>
      <c r="AC42" s="1261"/>
    </row>
    <row r="43" spans="1:32" ht="30" customHeight="1" thickBot="1">
      <c r="A43" s="1067" t="s">
        <v>2494</v>
      </c>
      <c r="B43" s="1127">
        <v>29.3</v>
      </c>
      <c r="C43" s="1190" t="s">
        <v>321</v>
      </c>
      <c r="D43" s="1615" t="s">
        <v>304</v>
      </c>
      <c r="E43" s="1064">
        <v>0</v>
      </c>
      <c r="F43" s="1602"/>
      <c r="G43" s="1611">
        <f>E43*(IF(F43="Standard",V43,(IF(F43="Complex",W43,0))))</f>
        <v>0</v>
      </c>
      <c r="H43" s="1065">
        <v>0</v>
      </c>
      <c r="I43" s="1065">
        <v>0</v>
      </c>
      <c r="J43" s="1825">
        <v>0</v>
      </c>
      <c r="K43" s="1066"/>
      <c r="L43" s="2150"/>
      <c r="M43" s="1142"/>
      <c r="N43" s="1207"/>
      <c r="O43" s="1630">
        <v>29.3</v>
      </c>
      <c r="P43" s="1337"/>
      <c r="Q43" s="1227"/>
      <c r="R43" s="1151"/>
      <c r="S43" s="1227"/>
      <c r="T43" s="1153"/>
      <c r="U43" s="1154"/>
      <c r="V43" s="1314">
        <v>2</v>
      </c>
      <c r="W43" s="1354">
        <v>4</v>
      </c>
      <c r="X43" s="1232"/>
      <c r="Y43" s="1293"/>
      <c r="Z43" s="1151"/>
      <c r="AA43" s="1232"/>
      <c r="AB43" s="1151"/>
      <c r="AC43" s="1261"/>
    </row>
    <row r="44" spans="1:32" ht="20.100000000000001" customHeight="1" thickBot="1">
      <c r="A44" s="1067"/>
      <c r="B44" s="2183" t="s">
        <v>2495</v>
      </c>
      <c r="C44" s="2184"/>
      <c r="D44" s="2184"/>
      <c r="E44" s="2184"/>
      <c r="F44" s="2185"/>
      <c r="G44" s="1626">
        <f>SUM(G12:G43)</f>
        <v>0</v>
      </c>
      <c r="H44" s="1130">
        <f>SUM(H12:H43)</f>
        <v>0</v>
      </c>
      <c r="I44" s="1130">
        <f>SUM(I12:I43)</f>
        <v>0</v>
      </c>
      <c r="J44" s="1834">
        <f>SUM(J12:J43)</f>
        <v>0</v>
      </c>
      <c r="K44" s="1131"/>
      <c r="L44" s="2189"/>
      <c r="M44" s="1173"/>
      <c r="N44" s="1142"/>
      <c r="O44" s="1174"/>
      <c r="P44" s="1174"/>
      <c r="Q44" s="1175"/>
      <c r="R44" s="1176"/>
      <c r="S44" s="1175"/>
      <c r="T44" s="1175"/>
      <c r="U44" s="1175"/>
      <c r="V44" s="1175"/>
      <c r="W44" s="1145"/>
      <c r="X44" s="1145"/>
      <c r="Y44" s="1145"/>
      <c r="Z44" s="1142"/>
      <c r="AA44" s="1145"/>
      <c r="AB44" s="1145"/>
      <c r="AC44" s="1145"/>
    </row>
    <row r="45" spans="1:32" ht="30" customHeight="1">
      <c r="A45" s="1067" t="s">
        <v>2496</v>
      </c>
      <c r="B45" s="1628">
        <v>29.31</v>
      </c>
      <c r="C45" s="1125" t="s">
        <v>307</v>
      </c>
      <c r="D45" s="1070" t="s">
        <v>878</v>
      </c>
      <c r="E45" s="1212">
        <v>1</v>
      </c>
      <c r="F45" s="1347">
        <v>0.05</v>
      </c>
      <c r="G45" s="1578">
        <f t="shared" ref="G45:I46" si="2">IF($E45=0,0,ROUNDUP($F45*G$44,0))</f>
        <v>0</v>
      </c>
      <c r="H45" s="1578">
        <f t="shared" si="2"/>
        <v>0</v>
      </c>
      <c r="I45" s="1578">
        <f t="shared" si="2"/>
        <v>0</v>
      </c>
      <c r="J45" s="1062">
        <f>IF($E45=0,0,ROUNDUP($F45*J$44,0))</f>
        <v>0</v>
      </c>
      <c r="K45" s="1063"/>
      <c r="L45" s="2190"/>
      <c r="M45" s="1173"/>
      <c r="N45" s="1142"/>
      <c r="O45" s="1630">
        <v>29.31</v>
      </c>
      <c r="P45" s="1337"/>
      <c r="Q45" s="1228"/>
      <c r="R45" s="1172"/>
      <c r="S45" s="1314"/>
      <c r="T45" s="1153"/>
      <c r="U45" s="1154"/>
      <c r="V45" s="1314"/>
      <c r="W45" s="1153"/>
      <c r="X45" s="1307"/>
      <c r="Y45" s="1206"/>
      <c r="Z45" s="1175"/>
      <c r="AA45" s="1307"/>
      <c r="AB45" s="1314"/>
      <c r="AC45" s="1153"/>
    </row>
    <row r="46" spans="1:32" ht="30" customHeight="1">
      <c r="A46" s="1067" t="s">
        <v>2497</v>
      </c>
      <c r="B46" s="1127">
        <v>29.32</v>
      </c>
      <c r="C46" s="351" t="s">
        <v>169</v>
      </c>
      <c r="D46" s="1210" t="s">
        <v>878</v>
      </c>
      <c r="E46" s="1629">
        <v>1</v>
      </c>
      <c r="F46" s="1636">
        <v>0.05</v>
      </c>
      <c r="G46" s="1620">
        <f t="shared" si="2"/>
        <v>0</v>
      </c>
      <c r="H46" s="1620">
        <f t="shared" si="2"/>
        <v>0</v>
      </c>
      <c r="I46" s="1620">
        <f t="shared" si="2"/>
        <v>0</v>
      </c>
      <c r="J46" s="1617">
        <f>IF($E46=0,0,ROUNDUP($F46*J$44,0))</f>
        <v>0</v>
      </c>
      <c r="K46" s="1066"/>
      <c r="L46" s="2190"/>
      <c r="M46" s="1173"/>
      <c r="N46" s="1142"/>
      <c r="O46" s="1630">
        <v>29.32</v>
      </c>
      <c r="P46" s="1337"/>
      <c r="Q46" s="1228"/>
      <c r="R46" s="1172"/>
      <c r="S46" s="1314"/>
      <c r="T46" s="1153"/>
      <c r="U46" s="1154"/>
      <c r="V46" s="1314"/>
      <c r="W46" s="1153"/>
      <c r="X46" s="1631"/>
      <c r="Y46" s="1206"/>
      <c r="Z46" s="1632"/>
      <c r="AA46" s="1631"/>
      <c r="AB46" s="1314"/>
      <c r="AC46" s="1153"/>
    </row>
    <row r="47" spans="1:32" ht="30" customHeight="1">
      <c r="A47" s="1067" t="s">
        <v>2498</v>
      </c>
      <c r="B47" s="2325">
        <v>29.33</v>
      </c>
      <c r="C47" s="2255" t="s">
        <v>2589</v>
      </c>
      <c r="D47" s="1210" t="s">
        <v>2134</v>
      </c>
      <c r="E47" s="1901">
        <f>D64</f>
        <v>0</v>
      </c>
      <c r="F47" s="1129"/>
      <c r="G47" s="1138">
        <f>$E47*$X47</f>
        <v>0</v>
      </c>
      <c r="H47" s="1065">
        <v>0</v>
      </c>
      <c r="I47" s="1065">
        <v>0</v>
      </c>
      <c r="J47" s="1825">
        <v>0</v>
      </c>
      <c r="K47" s="1066"/>
      <c r="L47" s="2190"/>
      <c r="M47" s="1173"/>
      <c r="N47" s="1142"/>
      <c r="O47" s="2256">
        <v>29.33</v>
      </c>
      <c r="P47" s="1337"/>
      <c r="Q47" s="1228"/>
      <c r="R47" s="1172"/>
      <c r="S47" s="1314"/>
      <c r="T47" s="1153"/>
      <c r="U47" s="1154"/>
      <c r="V47" s="1314"/>
      <c r="W47" s="1153"/>
      <c r="X47" s="1631">
        <v>2</v>
      </c>
      <c r="Y47" s="1206"/>
      <c r="Z47" s="1632"/>
      <c r="AA47" s="1631"/>
      <c r="AB47" s="1314"/>
      <c r="AC47" s="1153"/>
    </row>
    <row r="48" spans="1:32" ht="30" customHeight="1">
      <c r="A48" s="1067" t="s">
        <v>2499</v>
      </c>
      <c r="B48" s="2325"/>
      <c r="C48" s="2255"/>
      <c r="D48" s="1210" t="s">
        <v>2249</v>
      </c>
      <c r="E48" s="1129"/>
      <c r="F48" s="1129"/>
      <c r="G48" s="1620">
        <f>E64</f>
        <v>0</v>
      </c>
      <c r="H48" s="1065">
        <v>0</v>
      </c>
      <c r="I48" s="1065">
        <v>0</v>
      </c>
      <c r="J48" s="1825">
        <v>0</v>
      </c>
      <c r="K48" s="1066"/>
      <c r="L48" s="2190"/>
      <c r="M48" s="1173"/>
      <c r="N48" s="1142"/>
      <c r="O48" s="2257"/>
      <c r="P48" s="1337"/>
      <c r="Q48" s="1228"/>
      <c r="R48" s="1172"/>
      <c r="S48" s="1314"/>
      <c r="T48" s="1153"/>
      <c r="U48" s="1154"/>
      <c r="V48" s="1314"/>
      <c r="W48" s="1153"/>
      <c r="X48" s="1631"/>
      <c r="Y48" s="1206"/>
      <c r="Z48" s="1632"/>
      <c r="AA48" s="1631"/>
      <c r="AB48" s="1314"/>
      <c r="AC48" s="1153"/>
    </row>
    <row r="49" spans="1:29" ht="30" customHeight="1" thickBot="1">
      <c r="A49" s="1067" t="s">
        <v>2500</v>
      </c>
      <c r="B49" s="1633">
        <v>29.34</v>
      </c>
      <c r="C49" s="1634" t="s">
        <v>2251</v>
      </c>
      <c r="D49" s="1071" t="s">
        <v>85</v>
      </c>
      <c r="E49" s="1136"/>
      <c r="F49" s="1136"/>
      <c r="G49" s="1661">
        <f>G72</f>
        <v>0</v>
      </c>
      <c r="H49" s="1068">
        <v>0</v>
      </c>
      <c r="I49" s="1068">
        <v>0</v>
      </c>
      <c r="J49" s="1835">
        <v>0</v>
      </c>
      <c r="K49" s="1836"/>
      <c r="L49" s="2190"/>
      <c r="M49" s="1173"/>
      <c r="N49" s="1142"/>
      <c r="O49" s="1791">
        <v>29.34</v>
      </c>
      <c r="P49" s="1337"/>
      <c r="Q49" s="1228"/>
      <c r="R49" s="1172"/>
      <c r="S49" s="1314"/>
      <c r="T49" s="1153"/>
      <c r="U49" s="1154"/>
      <c r="V49" s="1314"/>
      <c r="W49" s="1153"/>
      <c r="X49" s="1631"/>
      <c r="Y49" s="1206"/>
      <c r="Z49" s="1632"/>
      <c r="AA49" s="1631"/>
      <c r="AB49" s="1314"/>
      <c r="AC49" s="1153"/>
    </row>
    <row r="50" spans="1:29" ht="20.100000000000001" customHeight="1" thickBot="1">
      <c r="A50" s="1067"/>
      <c r="B50" s="2183" t="s">
        <v>2501</v>
      </c>
      <c r="C50" s="2184"/>
      <c r="D50" s="2184"/>
      <c r="E50" s="2184"/>
      <c r="F50" s="2185"/>
      <c r="G50" s="1626">
        <f>SUM(G45:G49)</f>
        <v>0</v>
      </c>
      <c r="H50" s="1130">
        <f t="shared" ref="H50:J50" si="3">SUM(H45:H49)</f>
        <v>0</v>
      </c>
      <c r="I50" s="1130">
        <f t="shared" si="3"/>
        <v>0</v>
      </c>
      <c r="J50" s="1834">
        <f t="shared" si="3"/>
        <v>0</v>
      </c>
      <c r="K50" s="1131"/>
      <c r="L50" s="2190"/>
      <c r="M50" s="1173"/>
      <c r="N50" s="1142"/>
      <c r="O50" s="1174"/>
      <c r="P50" s="1174"/>
      <c r="Q50" s="1175"/>
      <c r="R50" s="1176"/>
      <c r="S50" s="1175"/>
      <c r="T50" s="1175"/>
      <c r="U50" s="1175"/>
      <c r="V50" s="1175"/>
      <c r="W50" s="1145"/>
      <c r="X50" s="1145"/>
      <c r="Y50" s="1145"/>
      <c r="Z50" s="1142"/>
      <c r="AA50" s="1145"/>
      <c r="AB50" s="1145"/>
      <c r="AC50" s="1145"/>
    </row>
    <row r="51" spans="1:29" ht="30" customHeight="1">
      <c r="A51" s="1067" t="s">
        <v>2502</v>
      </c>
      <c r="B51" s="1897">
        <v>29.35</v>
      </c>
      <c r="C51" s="1326" t="s">
        <v>78</v>
      </c>
      <c r="D51" s="1210" t="s">
        <v>878</v>
      </c>
      <c r="E51" s="1629">
        <v>1</v>
      </c>
      <c r="F51" s="1636">
        <v>0.03</v>
      </c>
      <c r="G51" s="1578">
        <f>IF($E51=0,0,ROUNDUP((G$44+G$50)*$F$51,0))</f>
        <v>0</v>
      </c>
      <c r="H51" s="1578">
        <f>IF($E51=0,0,ROUNDUP((H$44+H$50)*$F$51,0))</f>
        <v>0</v>
      </c>
      <c r="I51" s="1578">
        <f t="shared" ref="I51:J51" si="4">IF($E51=0,0,ROUNDUP((I$44+I$50)*$F$51,0))</f>
        <v>0</v>
      </c>
      <c r="J51" s="1062">
        <f t="shared" si="4"/>
        <v>0</v>
      </c>
      <c r="K51" s="1796"/>
      <c r="L51" s="2190"/>
      <c r="M51" s="1173"/>
      <c r="N51" s="1142"/>
      <c r="O51" s="1928">
        <v>29.35</v>
      </c>
      <c r="P51" s="1337"/>
      <c r="Q51" s="1228"/>
      <c r="R51" s="1172"/>
      <c r="S51" s="1314"/>
      <c r="T51" s="1153"/>
      <c r="U51" s="1154"/>
      <c r="V51" s="1314"/>
      <c r="W51" s="1153"/>
      <c r="X51" s="1307"/>
      <c r="Y51" s="1206"/>
      <c r="Z51" s="1321"/>
      <c r="AA51" s="1154"/>
      <c r="AB51" s="1314"/>
      <c r="AC51" s="1153"/>
    </row>
    <row r="52" spans="1:29" ht="30" customHeight="1" thickBot="1">
      <c r="A52" s="1067" t="s">
        <v>2503</v>
      </c>
      <c r="B52" s="1896">
        <v>29.36</v>
      </c>
      <c r="C52" s="1598" t="s">
        <v>266</v>
      </c>
      <c r="D52" s="1215" t="s">
        <v>85</v>
      </c>
      <c r="E52" s="1659"/>
      <c r="F52" s="1659"/>
      <c r="G52" s="1196">
        <v>0</v>
      </c>
      <c r="H52" s="1196">
        <v>0</v>
      </c>
      <c r="I52" s="1911">
        <v>0</v>
      </c>
      <c r="J52" s="1911">
        <v>0</v>
      </c>
      <c r="K52" s="1660"/>
      <c r="L52" s="2190"/>
      <c r="M52" s="1173"/>
      <c r="N52" s="1142"/>
      <c r="O52" s="1630">
        <v>29.36</v>
      </c>
      <c r="P52" s="1337"/>
      <c r="Q52" s="1228"/>
      <c r="R52" s="1172"/>
      <c r="S52" s="1314"/>
      <c r="T52" s="1153"/>
      <c r="U52" s="1154"/>
      <c r="V52" s="1314"/>
      <c r="W52" s="1153"/>
      <c r="X52" s="1307"/>
      <c r="Y52" s="1206"/>
      <c r="Z52" s="1321"/>
      <c r="AA52" s="1154"/>
      <c r="AB52" s="1314"/>
      <c r="AC52" s="1153"/>
    </row>
    <row r="53" spans="1:29" ht="20.100000000000001" customHeight="1" thickBot="1">
      <c r="B53" s="2183" t="s">
        <v>2562</v>
      </c>
      <c r="C53" s="2184"/>
      <c r="D53" s="2184"/>
      <c r="E53" s="2184"/>
      <c r="F53" s="2185"/>
      <c r="G53" s="1918">
        <f>G44+G50+G51+G52</f>
        <v>0</v>
      </c>
      <c r="H53" s="1867">
        <f>H44+H50+H51+H52</f>
        <v>0</v>
      </c>
      <c r="I53" s="1867">
        <f>I44+I50+I51+I52</f>
        <v>0</v>
      </c>
      <c r="J53" s="1867">
        <f>J44+J50+J51+J52</f>
        <v>0</v>
      </c>
      <c r="K53" s="1133"/>
      <c r="L53" s="2191"/>
      <c r="M53" s="1173"/>
      <c r="N53" s="1142"/>
      <c r="O53" s="1663"/>
      <c r="P53" s="1177"/>
      <c r="Q53" s="1178"/>
      <c r="R53" s="1179"/>
      <c r="S53" s="1178"/>
      <c r="T53" s="1178"/>
      <c r="U53" s="1178"/>
      <c r="V53" s="1178"/>
      <c r="W53" s="1145"/>
      <c r="X53" s="1145"/>
      <c r="Y53" s="1145"/>
      <c r="Z53" s="1142"/>
      <c r="AA53" s="1145"/>
      <c r="AB53" s="1145"/>
    </row>
    <row r="54" spans="1:29">
      <c r="J54" s="1140" t="s">
        <v>1858</v>
      </c>
    </row>
    <row r="55" spans="1:29" ht="14.4" thickBot="1">
      <c r="J55" s="1674"/>
    </row>
    <row r="56" spans="1:29" s="1061" customFormat="1" ht="36" customHeight="1" thickBot="1">
      <c r="A56" s="2231"/>
      <c r="B56" s="2231"/>
      <c r="C56" s="1677" t="s">
        <v>82</v>
      </c>
      <c r="D56" s="1678" t="s">
        <v>2139</v>
      </c>
      <c r="E56" s="1679" t="s">
        <v>2254</v>
      </c>
      <c r="F56" s="1678" t="s">
        <v>2140</v>
      </c>
      <c r="G56" s="2267" t="s">
        <v>1823</v>
      </c>
      <c r="H56" s="2268"/>
      <c r="I56" s="2268"/>
      <c r="J56" s="2269"/>
    </row>
    <row r="57" spans="1:29" s="1061" customFormat="1" ht="20.100000000000001" customHeight="1">
      <c r="A57" s="2679"/>
      <c r="B57" s="2679"/>
      <c r="C57" s="1683" t="s">
        <v>148</v>
      </c>
      <c r="D57" s="1684">
        <v>0</v>
      </c>
      <c r="E57" s="1684">
        <v>0</v>
      </c>
      <c r="F57" s="1815">
        <v>0</v>
      </c>
      <c r="G57" s="2270"/>
      <c r="H57" s="2271"/>
      <c r="I57" s="2271"/>
      <c r="J57" s="2272"/>
    </row>
    <row r="58" spans="1:29" s="1061" customFormat="1" ht="20.100000000000001" customHeight="1">
      <c r="A58" s="2679"/>
      <c r="B58" s="2679"/>
      <c r="C58" s="1683" t="s">
        <v>236</v>
      </c>
      <c r="D58" s="1684">
        <v>0</v>
      </c>
      <c r="E58" s="1684">
        <v>0</v>
      </c>
      <c r="F58" s="1684">
        <v>0</v>
      </c>
      <c r="G58" s="2261"/>
      <c r="H58" s="2262"/>
      <c r="I58" s="2262"/>
      <c r="J58" s="2263"/>
    </row>
    <row r="59" spans="1:29" s="1061" customFormat="1" ht="20.100000000000001" customHeight="1">
      <c r="A59" s="2679"/>
      <c r="B59" s="2679"/>
      <c r="C59" s="1683" t="s">
        <v>1319</v>
      </c>
      <c r="D59" s="1684">
        <v>0</v>
      </c>
      <c r="E59" s="1684">
        <v>0</v>
      </c>
      <c r="F59" s="1684">
        <v>0</v>
      </c>
      <c r="G59" s="2261"/>
      <c r="H59" s="2262"/>
      <c r="I59" s="2262"/>
      <c r="J59" s="2263"/>
    </row>
    <row r="60" spans="1:29" s="1061" customFormat="1" ht="20.100000000000001" customHeight="1" thickBot="1">
      <c r="A60" s="2679"/>
      <c r="B60" s="2679"/>
      <c r="C60" s="1685" t="s">
        <v>231</v>
      </c>
      <c r="D60" s="1686">
        <v>0</v>
      </c>
      <c r="E60" s="1686">
        <v>0</v>
      </c>
      <c r="F60" s="1686">
        <v>0</v>
      </c>
      <c r="G60" s="2273"/>
      <c r="H60" s="2274"/>
      <c r="I60" s="2274"/>
      <c r="J60" s="2275"/>
    </row>
    <row r="61" spans="1:29" s="1061" customFormat="1" ht="20.100000000000001" customHeight="1" thickBot="1">
      <c r="A61" s="2680"/>
      <c r="B61" s="2680"/>
      <c r="C61" s="1851" t="s">
        <v>238</v>
      </c>
      <c r="D61" s="1852">
        <f>SUM(D57:D60)</f>
        <v>0</v>
      </c>
      <c r="E61" s="1853">
        <f>SUM(E57:E60)</f>
        <v>0</v>
      </c>
      <c r="F61" s="1868">
        <f>SUM(F57:F60)</f>
        <v>0</v>
      </c>
      <c r="G61" s="2326"/>
      <c r="H61" s="2326"/>
      <c r="I61" s="2326"/>
      <c r="J61" s="2326"/>
    </row>
    <row r="62" spans="1:29" s="1061" customFormat="1" ht="20.100000000000001" customHeight="1">
      <c r="A62" s="2679"/>
      <c r="B62" s="2679"/>
      <c r="C62" s="1692" t="s">
        <v>861</v>
      </c>
      <c r="D62" s="1912">
        <v>0</v>
      </c>
      <c r="E62" s="1693">
        <v>0</v>
      </c>
      <c r="G62" s="1637"/>
      <c r="H62" s="1637"/>
      <c r="I62" s="1637"/>
      <c r="J62" s="1637"/>
    </row>
    <row r="63" spans="1:29" s="1061" customFormat="1" ht="20.100000000000001" customHeight="1" thickBot="1">
      <c r="A63" s="2679"/>
      <c r="B63" s="2679"/>
      <c r="C63" s="1695" t="s">
        <v>155</v>
      </c>
      <c r="D63" s="1913">
        <v>0</v>
      </c>
      <c r="E63" s="1696">
        <v>0</v>
      </c>
      <c r="F63" s="1694"/>
      <c r="G63" s="1637"/>
      <c r="H63" s="1637"/>
      <c r="I63" s="1637"/>
      <c r="J63" s="1854"/>
    </row>
    <row r="64" spans="1:29" s="1694" customFormat="1" ht="20.100000000000001" customHeight="1" thickTop="1" thickBot="1">
      <c r="A64" s="2680"/>
      <c r="B64" s="2680"/>
      <c r="C64" s="1697" t="s">
        <v>156</v>
      </c>
      <c r="D64" s="1915">
        <f>SUM(D61:D63)</f>
        <v>0</v>
      </c>
      <c r="E64" s="1698">
        <f>SUM(E61:E63)</f>
        <v>0</v>
      </c>
      <c r="G64" s="1637"/>
      <c r="H64" s="1637"/>
      <c r="I64" s="1637"/>
      <c r="J64" s="1637"/>
    </row>
    <row r="65" spans="3:7" ht="14.4" thickBot="1"/>
    <row r="66" spans="3:7" ht="31.8" thickBot="1">
      <c r="C66" s="1677" t="s">
        <v>133</v>
      </c>
      <c r="D66" s="1678" t="s">
        <v>2255</v>
      </c>
      <c r="E66" s="1678" t="s">
        <v>2256</v>
      </c>
      <c r="F66" s="1678" t="s">
        <v>2257</v>
      </c>
      <c r="G66" s="1680" t="s">
        <v>102</v>
      </c>
    </row>
    <row r="67" spans="3:7">
      <c r="C67" s="1683" t="s">
        <v>2258</v>
      </c>
      <c r="D67" s="1684">
        <v>0</v>
      </c>
      <c r="E67" s="1684">
        <v>0</v>
      </c>
      <c r="F67" s="1684">
        <v>0</v>
      </c>
      <c r="G67" s="1898">
        <f>D67*(E67+F67)</f>
        <v>0</v>
      </c>
    </row>
    <row r="68" spans="3:7">
      <c r="C68" s="1683" t="s">
        <v>2259</v>
      </c>
      <c r="D68" s="1684">
        <v>0</v>
      </c>
      <c r="E68" s="1684">
        <v>0</v>
      </c>
      <c r="F68" s="1684">
        <v>0</v>
      </c>
      <c r="G68" s="1898">
        <f t="shared" ref="G68:G71" si="5">D68*(E68+F68)</f>
        <v>0</v>
      </c>
    </row>
    <row r="69" spans="3:7">
      <c r="C69" s="1683" t="s">
        <v>2260</v>
      </c>
      <c r="D69" s="1684">
        <v>0</v>
      </c>
      <c r="E69" s="1684">
        <v>0</v>
      </c>
      <c r="F69" s="1684">
        <v>0</v>
      </c>
      <c r="G69" s="1898">
        <f t="shared" si="5"/>
        <v>0</v>
      </c>
    </row>
    <row r="70" spans="3:7">
      <c r="C70" s="1683" t="s">
        <v>2261</v>
      </c>
      <c r="D70" s="1684">
        <v>0</v>
      </c>
      <c r="E70" s="1684">
        <v>0</v>
      </c>
      <c r="F70" s="1684">
        <v>0</v>
      </c>
      <c r="G70" s="1898">
        <f t="shared" si="5"/>
        <v>0</v>
      </c>
    </row>
    <row r="71" spans="3:7" ht="14.4" thickBot="1">
      <c r="C71" s="1683" t="s">
        <v>2262</v>
      </c>
      <c r="D71" s="1684">
        <v>0</v>
      </c>
      <c r="E71" s="1684">
        <v>0</v>
      </c>
      <c r="F71" s="1684">
        <v>0</v>
      </c>
      <c r="G71" s="1898">
        <f t="shared" si="5"/>
        <v>0</v>
      </c>
    </row>
    <row r="72" spans="3:7" ht="16.2" thickBot="1">
      <c r="C72" s="2178" t="s">
        <v>2263</v>
      </c>
      <c r="D72" s="2179"/>
      <c r="E72" s="2179"/>
      <c r="F72" s="2180"/>
      <c r="G72" s="1680">
        <f>SUM(G67:G71)</f>
        <v>0</v>
      </c>
    </row>
  </sheetData>
  <sheetProtection algorithmName="SHA-512" hashValue="6IHB2xCIYrCAU1km3K+/5KZ+zOSbUq0RBPaBEPvjfI2TFFLhoCxLkF3wjVmLZpcitMGz3//KUmJs+hC9zVhfwg==" saltValue="yt98EELfs5D0njilAkL6fA==" spinCount="100000" sheet="1" formatCells="0" formatColumns="0" formatRows="0" insertColumns="0" insertRows="0"/>
  <mergeCells count="47">
    <mergeCell ref="A64:B64"/>
    <mergeCell ref="C72:F72"/>
    <mergeCell ref="A60:B60"/>
    <mergeCell ref="G60:J60"/>
    <mergeCell ref="A61:B61"/>
    <mergeCell ref="G61:J61"/>
    <mergeCell ref="A62:B62"/>
    <mergeCell ref="A63:B63"/>
    <mergeCell ref="A57:B57"/>
    <mergeCell ref="G57:J57"/>
    <mergeCell ref="A58:B58"/>
    <mergeCell ref="G58:J58"/>
    <mergeCell ref="A59:B59"/>
    <mergeCell ref="G59:J59"/>
    <mergeCell ref="A56:B56"/>
    <mergeCell ref="G56:J56"/>
    <mergeCell ref="P9:T9"/>
    <mergeCell ref="U9:W9"/>
    <mergeCell ref="X9:Z9"/>
    <mergeCell ref="B47:B48"/>
    <mergeCell ref="C47:C48"/>
    <mergeCell ref="B50:F50"/>
    <mergeCell ref="B53:F53"/>
    <mergeCell ref="O47:O48"/>
    <mergeCell ref="AA9:AC9"/>
    <mergeCell ref="B11:K11"/>
    <mergeCell ref="B22:K22"/>
    <mergeCell ref="B35:K35"/>
    <mergeCell ref="B44:F44"/>
    <mergeCell ref="B9:B10"/>
    <mergeCell ref="C9:C10"/>
    <mergeCell ref="D9:F9"/>
    <mergeCell ref="G9:J9"/>
    <mergeCell ref="N9:N10"/>
    <mergeCell ref="O9:O10"/>
    <mergeCell ref="L12:L43"/>
    <mergeCell ref="L44:L53"/>
    <mergeCell ref="B1:C3"/>
    <mergeCell ref="D1:J3"/>
    <mergeCell ref="L1:L3"/>
    <mergeCell ref="B4:C4"/>
    <mergeCell ref="D4:J4"/>
    <mergeCell ref="B5:C5"/>
    <mergeCell ref="D5:J5"/>
    <mergeCell ref="L5:L11"/>
    <mergeCell ref="B6:C6"/>
    <mergeCell ref="D6:J6"/>
  </mergeCells>
  <dataValidations count="26">
    <dataValidation type="list" allowBlank="1" showInputMessage="1" showErrorMessage="1" promptTitle="Estimated Complexity" prompt="What is the complexity of the Legal Descriptions?_x000a_Standard (simple take configurations)_x000a_Complex (complex take configurations or multiple takes)" sqref="F43" xr:uid="{B3441DEE-1CA3-44D6-B260-2E317568A0B2}">
      <formula1>$V$10:$W$10</formula1>
    </dataValidation>
    <dataValidation type="list" allowBlank="1" showInputMessage="1" showErrorMessage="1" promptTitle="Estimated Complexity" prompt="What is the complexity of the Title Search Map?" sqref="F41" xr:uid="{6F1B6B56-2959-4E44-B674-961DFE5A17AA}">
      <formula1>$V$10:$W$10</formula1>
    </dataValidation>
    <dataValidation type="list" allowBlank="1" showInputMessage="1" showErrorMessage="1" promptTitle="Estimated Complexity" prompt="What is the complexity of the R/W Monumentation Map?_x000a_Simple (rural, few individual points, few parcels, linear)_x000a_Standard_x000a_Complex (urban, many individual points, many parcels, curvilinear)" sqref="F40" xr:uid="{66E39E80-CE1F-4855-A14E-BBAA20A0F33D}">
      <formula1>$U$10:$W$10</formula1>
    </dataValidation>
    <dataValidation type="list" allowBlank="1" showInputMessage="1" showErrorMessage="1" promptTitle="Estimated Complexity" prompt="What is the complexity of the Survey(s)?" sqref="F38:F39" xr:uid="{FEDD244E-7DA3-4F2D-AE05-875DDF17FD69}">
      <formula1>$U$10:$W$10</formula1>
    </dataValidation>
    <dataValidation type="list" allowBlank="1" showInputMessage="1" showErrorMessage="1" promptTitle="Estimated Complexity" prompt="What is the complexity of the TIITF Sketches?" sqref="F37" xr:uid="{E2F44EE0-21FC-47AC-A297-7167B5493F10}">
      <formula1>$U$10:$W$10</formula1>
    </dataValidation>
    <dataValidation type="list" allowBlank="1" showInputMessage="1" showErrorMessage="1" promptTitle="Estimated Complexity" prompt="What is the complexity of the Parcel Sketches?" sqref="F36" xr:uid="{8CB26B94-1807-4CD5-ACDD-9DC024608326}">
      <formula1>$U$10:$W$10</formula1>
    </dataValidation>
    <dataValidation type="list" allowBlank="1" showInputMessage="1" showErrorMessage="1" promptTitle="Estimated Complexity" prompt="What is the complexity of the Project Control Sheets?" sqref="F33" xr:uid="{4E828B9A-48FD-4BBB-AFD8-D03A3A48CE04}">
      <formula1>$U$10:$W$10</formula1>
    </dataValidation>
    <dataValidation type="list" allowBlank="1" showInputMessage="1" showErrorMessage="1" promptTitle="Estimated Complexity" prompt="What is the complexity of the Maintenance Map Detail Sheet?_x000a_Simple (copying from existing detail sheet with minimal adjustments to details)_x000a_Standard_x000a_Complex (conforming to local governmental agency requirements)" sqref="F31" xr:uid="{DA8D3B41-CD16-48AB-83CA-9FA3DCE284B0}">
      <formula1>$U$10:$W$10</formula1>
    </dataValidation>
    <dataValidation type="list" allowBlank="1" showInputMessage="1" showErrorMessage="1" promptTitle="Estimated Complexity" prompt="What is the complexity of the Maintenance Map Key Sheet?_x000a_Simple (copying from existing key sheet with minimal adjustments to details)_x000a_Standard_x000a_Complex (extensive CADD work to creat the sheet(s))" sqref="F30" xr:uid="{A9940109-185D-46EF-A2B0-53599F41E09F}">
      <formula1>$U$10:$W$10</formula1>
    </dataValidation>
    <dataValidation type="list" allowBlank="1" showInputMessage="1" showErrorMessage="1" promptTitle="Estimated Complexity" prompt="What is the complexity of the R/W Map Detail Sheet?_x000a_Simple (copying from existing detail sheet with minimal adjustments to details/minimal or no parcels)_x000a_Standard_x000a_Complex (extensive number of parcels)" sqref="F28" xr:uid="{AB47D53C-DEE4-4E16-ACA9-9DC8AE400856}">
      <formula1>$U$10:$W$10</formula1>
    </dataValidation>
    <dataValidation type="list" allowBlank="1" showInputMessage="1" showErrorMessage="1" promptTitle="Estimated Complexity" prompt="What is the complexity of the R/W Map Key Sheet?_x000a_Simple (copying from existing key sheet with minimal adjustments to details)_x000a_Standard_x000a_Complex (depiction of large parent tracts)" sqref="F27" xr:uid="{A7E5A1E2-F2EF-4466-8E8A-722A60FFAA8D}">
      <formula1>$U$10:$W$10</formula1>
    </dataValidation>
    <dataValidation type="list" allowBlank="1" showInputMessage="1" showErrorMessage="1" promptTitle="Estimated Complexity" prompt="What is the complexity of the Control Survey Detail Sheet?_x000a_Simple (rural/low density)_x000a_Standard_x000a_Complex (urban/high density)" sqref="F25" xr:uid="{0FCB436F-4CAB-4439-896E-AD8A28332B35}">
      <formula1>$U$10:$W$10</formula1>
    </dataValidation>
    <dataValidation type="list" allowBlank="1" showInputMessage="1" showErrorMessage="1" promptTitle="Estimated Complexity" prompt="What is the complexity of the Control Survey Key Sheet?_x000a_Simple (rural/low density)_x000a_Standard_x000a_Complex (urban/high density)" sqref="F24" xr:uid="{468D5427-73E2-4C1A-B21B-D7E7D96D85AD}">
      <formula1>$U$10:$W$10</formula1>
    </dataValidation>
    <dataValidation type="list" allowBlank="1" showInputMessage="1" showErrorMessage="1" promptTitle="Estimated Complexity" prompt="What is the complexity of the task?_x000a_Simple Configurations (minimal labeling)_x000a_Standard Configurations _x000a_Complex Configurations (extensive labeling and research)" sqref="F21" xr:uid="{FC762EDB-A033-413E-8AD7-68D69E65DC7A}">
      <formula1>$U$10:$W$10</formula1>
    </dataValidation>
    <dataValidation type="list" allowBlank="1" showInputMessage="1" showErrorMessage="1" promptTitle="Estimated Complexity" prompt="What is the complexity of the task?_x000a_Standard Configurations (rural projects)_x000a_Complex Configurations (urban and/or multiple takes)" sqref="F19" xr:uid="{235F6128-709C-42B7-815C-EDE90FCA6A58}">
      <formula1>$V$10:$W$10</formula1>
    </dataValidation>
    <dataValidation type="list" allowBlank="1" showInputMessage="1" showErrorMessage="1" promptTitle="Estimated Complexity" prompt="What is the complexity of the task?_x000a_Simple Boundry Configurations (minimal title search analysis)_x000a_Standard Boundry Configurations_x000a_Complex Boundry Configurations (extensive title search analysis)" sqref="F18" xr:uid="{430099FD-FCCD-4037-8393-CA3BF6DCBCD4}">
      <formula1>$U$10:$W$10</formula1>
    </dataValidation>
    <dataValidation type="list" allowBlank="1" showInputMessage="1" showErrorMessage="1" promptTitle="Estimated Complexity" prompt="What is the complexity of the Topography?_x000a_Standard Configurations (rural/minimal configurations)_x000a_Complex Configurations (urban/extensive configurations)" sqref="F17" xr:uid="{C6FF53F4-8A3B-499B-B422-9B4BB6A03D83}">
      <formula1>$V$10:$W$10</formula1>
    </dataValidation>
    <dataValidation type="list" allowBlank="1" showInputMessage="1" showErrorMessage="1" promptTitle="Estimated Complexity" prompt="What is the complexity of the Existing R/W?_x000a_Simple Configuration (minimal research/verification and extensive R/W information available)_x000a_Standard Configuration_x000a_Complex Configuration (extensive research/verification and minimal R/W information available)" sqref="F16" xr:uid="{3F340900-CF6E-4331-98F4-DC19A8F9A1A5}">
      <formula1>$U$10:$W$10</formula1>
    </dataValidation>
    <dataValidation type="list" allowBlank="1" showInputMessage="1" showErrorMessage="1" promptTitle="Estimated Complexity" prompt="What is the complexity of the task?_x000a_Standard Tracts (simple rectangular configurations)_x000a_Complex Tracts (multiple segments, less outs, parts/encumbrances, tracts with curvilinear configurations)" sqref="F15" xr:uid="{6F08A8B0-3F6D-47F2-BDCF-54BAAE60E815}">
      <formula1>$V$10:$W$10</formula1>
    </dataValidation>
    <dataValidation type="list" allowBlank="1" showInputMessage="1" showErrorMessage="1" promptTitle="Estimated Complexity" prompt="What is the complexity of the task?_x000a_Standard Blocks (simple rectangular configurations)_x000a_Complex Blocks (curvilinear configurations)" sqref="F14" xr:uid="{73D3A754-68F4-4CFC-AA84-BEBE5E985BE9}">
      <formula1>$V$10:$W$10</formula1>
    </dataValidation>
    <dataValidation type="list" allowBlank="1" showInputMessage="1" showErrorMessage="1" promptTitle="Estimated Complexity" prompt="What is the complexity of the task?_x000a_Standard Sections (sections that are not defined as complex)_x000a_Complex Sections (containing govenment lots, meander lines, grants, section on closing line, water boundries)" sqref="F13" xr:uid="{034A3822-E348-4DFC-963C-5C0A8BCCEA36}">
      <formula1>$V$10:$W$10</formula1>
    </dataValidation>
    <dataValidation type="decimal" operator="greaterThanOrEqual" allowBlank="1" showInputMessage="1" showErrorMessage="1" error="Enter a positive number with an accuravy of 2 decimal places." sqref="E12 E16:E17 E20:E21" xr:uid="{86342497-C7B7-4C68-B537-0F06658592AD}">
      <formula1>0</formula1>
    </dataValidation>
    <dataValidation type="whole" operator="greaterThanOrEqual" allowBlank="1" showInputMessage="1" showErrorMessage="1" error="Input a whole number greater than or equal to zero." sqref="E43 E13:E15 E18:E19 E24:E25 E27:E28 E30:E34 E36:E40 E47" xr:uid="{03AF1905-DDB1-4333-87C3-7DACE8A64072}">
      <formula1>0</formula1>
    </dataValidation>
    <dataValidation type="whole" allowBlank="1" showInputMessage="1" showErrorMessage="1" error="Enter 1 or 0._x000a_Yes=1_x000a_No=0" sqref="E51 E45:E46 E29 E23 E26 E41:E42" xr:uid="{4848FCD4-9C80-4A91-A73B-0A35E50108AA}">
      <formula1>0</formula1>
      <formula2>1</formula2>
    </dataValidation>
    <dataValidation type="list" allowBlank="1" showInputMessage="1" showErrorMessage="1" promptTitle="Estimated Complexity" prompt="What is the complexity of the Alignment?_x000a_Simple Configurations (tangents)_x000a_Standard Configurations (mix of tangents and curves)_x000a_Complex Configurations (multiple curves, ramps, spirals)" sqref="F12" xr:uid="{FF83A939-69FF-4850-8216-2040CD2F75D6}">
      <formula1>$U$10:$W$10</formula1>
    </dataValidation>
    <dataValidation type="whole" operator="greaterThanOrEqual" allowBlank="1" showInputMessage="1" showErrorMessage="1" sqref="D62:E63 D67:G71 D57:F60 G61" xr:uid="{47E6290C-A4DE-4A87-903B-5681BFAE1472}">
      <formula1>0</formula1>
    </dataValidation>
  </dataValidations>
  <hyperlinks>
    <hyperlink ref="L4" r:id="rId1" display="Video Tutorial - A short webinar for the Drainage Plans tab" xr:uid="{4417CF10-37F2-4058-BA36-8C25C0681731}"/>
  </hyperlinks>
  <pageMargins left="0.7" right="0.7" top="0.75" bottom="0.75" header="0.3" footer="0.3"/>
  <pageSetup orientation="portrait"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fitToPage="1"/>
  </sheetPr>
  <dimension ref="A1:R45"/>
  <sheetViews>
    <sheetView showGridLines="0" showRuler="0" zoomScale="85" zoomScaleNormal="85" zoomScaleSheetLayoutView="85" workbookViewId="0"/>
  </sheetViews>
  <sheetFormatPr defaultRowHeight="13.2"/>
  <cols>
    <col min="1" max="1" width="9.44140625" customWidth="1"/>
    <col min="2" max="2" width="35.88671875" customWidth="1"/>
    <col min="3" max="3" width="11.6640625" style="7" customWidth="1"/>
    <col min="4" max="16" width="11.6640625" customWidth="1"/>
    <col min="18" max="18" width="16.33203125" bestFit="1" customWidth="1"/>
  </cols>
  <sheetData>
    <row r="1" spans="1:16">
      <c r="A1" s="2" t="s">
        <v>521</v>
      </c>
      <c r="B1" s="2"/>
      <c r="C1" s="949" t="str">
        <f>'Project Information'!B2</f>
        <v>Enter name of prime or subconsultant</v>
      </c>
      <c r="L1" s="2015" t="str">
        <f>'Project Information'!B3</f>
        <v>Enter project name &amp; description</v>
      </c>
      <c r="M1" s="2015"/>
      <c r="N1" s="2015"/>
      <c r="O1" s="2015"/>
      <c r="P1" s="2015"/>
    </row>
    <row r="2" spans="1:16" ht="13.8" thickBot="1">
      <c r="A2" s="2"/>
      <c r="B2" s="2"/>
      <c r="C2" s="15"/>
      <c r="N2" s="2018" t="str">
        <f>'Project Information'!B1</f>
        <v>999999-1-32-01</v>
      </c>
      <c r="O2" s="2018"/>
      <c r="P2" s="2018"/>
    </row>
    <row r="3" spans="1:16" ht="21" customHeight="1" thickBot="1">
      <c r="A3" s="2"/>
      <c r="B3" s="127"/>
      <c r="C3" s="2019" t="s">
        <v>459</v>
      </c>
      <c r="D3" s="2020"/>
      <c r="E3" s="2020"/>
      <c r="F3" s="2020"/>
      <c r="G3" s="2020"/>
      <c r="H3" s="2020"/>
      <c r="I3" s="2020"/>
      <c r="J3" s="2020"/>
      <c r="K3" s="2020"/>
      <c r="L3" s="2020"/>
      <c r="M3" s="2020"/>
      <c r="N3" s="2020"/>
      <c r="O3" s="2020"/>
      <c r="P3" s="2021"/>
    </row>
    <row r="4" spans="1:16" s="2" customFormat="1" ht="26.4">
      <c r="A4" s="252" t="s">
        <v>695</v>
      </c>
      <c r="B4" s="253" t="s">
        <v>694</v>
      </c>
      <c r="C4" s="959" t="s">
        <v>475</v>
      </c>
      <c r="D4" s="959" t="s">
        <v>434</v>
      </c>
      <c r="E4" s="959" t="s">
        <v>448</v>
      </c>
      <c r="F4" s="959" t="s">
        <v>449</v>
      </c>
      <c r="G4" s="959" t="s">
        <v>450</v>
      </c>
      <c r="H4" s="959" t="s">
        <v>451</v>
      </c>
      <c r="I4" s="959" t="s">
        <v>452</v>
      </c>
      <c r="J4" s="959" t="s">
        <v>453</v>
      </c>
      <c r="K4" s="959" t="s">
        <v>454</v>
      </c>
      <c r="L4" s="959" t="s">
        <v>455</v>
      </c>
      <c r="M4" s="959" t="s">
        <v>456</v>
      </c>
      <c r="N4" s="959" t="s">
        <v>457</v>
      </c>
      <c r="O4" s="959" t="s">
        <v>458</v>
      </c>
      <c r="P4" s="254" t="s">
        <v>102</v>
      </c>
    </row>
    <row r="5" spans="1:16" ht="20.100000000000001" customHeight="1">
      <c r="A5" s="10">
        <v>3</v>
      </c>
      <c r="B5" s="20" t="s">
        <v>967</v>
      </c>
      <c r="C5" s="16">
        <f>'3. Project General Tasks'!F40</f>
        <v>0</v>
      </c>
      <c r="D5" s="6"/>
      <c r="E5" s="6"/>
      <c r="F5" s="6"/>
      <c r="G5" s="6"/>
      <c r="H5" s="6"/>
      <c r="I5" s="6"/>
      <c r="J5" s="6"/>
      <c r="K5" s="6"/>
      <c r="L5" s="6"/>
      <c r="M5" s="6"/>
      <c r="N5" s="6"/>
      <c r="O5" s="6"/>
      <c r="P5" s="12">
        <f>SUM(C5:O5)</f>
        <v>0</v>
      </c>
    </row>
    <row r="6" spans="1:16" ht="20.100000000000001" customHeight="1">
      <c r="A6" s="10">
        <v>4</v>
      </c>
      <c r="B6" s="20" t="s">
        <v>696</v>
      </c>
      <c r="C6" s="16">
        <f>IF('4. Roadway Analysis'!J64&gt;0,'4. Roadway Analysis'!J64,IF('4. Roadway Analysis'!I64&gt;0,'4. Roadway Analysis'!I64,'4. Roadway Analysis'!H64))</f>
        <v>0</v>
      </c>
      <c r="D6" s="6"/>
      <c r="E6" s="6"/>
      <c r="F6" s="6"/>
      <c r="G6" s="6"/>
      <c r="H6" s="6"/>
      <c r="I6" s="6"/>
      <c r="J6" s="6"/>
      <c r="K6" s="6"/>
      <c r="L6" s="6"/>
      <c r="M6" s="6"/>
      <c r="N6" s="6"/>
      <c r="O6" s="6"/>
      <c r="P6" s="12">
        <f t="shared" ref="P6:P35" si="0">SUM(C6:O6)</f>
        <v>0</v>
      </c>
    </row>
    <row r="7" spans="1:16" ht="20.100000000000001" customHeight="1">
      <c r="A7" s="10">
        <v>5</v>
      </c>
      <c r="B7" s="20" t="s">
        <v>698</v>
      </c>
      <c r="C7" s="16">
        <f>IF('5. Roadway Plans'!J47&gt;0,'5. Roadway Plans'!J47,IF('5. Roadway Plans'!I47&gt;0,'5. Roadway Plans'!I47,'5. Roadway Plans'!H47))</f>
        <v>0</v>
      </c>
      <c r="D7" s="6"/>
      <c r="E7" s="6"/>
      <c r="F7" s="6"/>
      <c r="G7" s="6"/>
      <c r="H7" s="6"/>
      <c r="I7" s="6"/>
      <c r="J7" s="6"/>
      <c r="K7" s="6"/>
      <c r="L7" s="6"/>
      <c r="M7" s="6"/>
      <c r="N7" s="6"/>
      <c r="O7" s="6"/>
      <c r="P7" s="12">
        <f t="shared" si="0"/>
        <v>0</v>
      </c>
    </row>
    <row r="8" spans="1:16" ht="20.100000000000001" customHeight="1">
      <c r="A8" s="177" t="s">
        <v>1457</v>
      </c>
      <c r="B8" s="142" t="s">
        <v>697</v>
      </c>
      <c r="C8" s="138">
        <f>IF('6a. Drainage Analysis'!J67&gt;0,'6a. Drainage Analysis'!J67,IF('6a. Drainage Analysis'!I67&gt;0,'6a. Drainage Analysis'!I67,'6a. Drainage Analysis'!H67))</f>
        <v>0</v>
      </c>
      <c r="D8" s="138"/>
      <c r="E8" s="138"/>
      <c r="F8" s="138"/>
      <c r="G8" s="138"/>
      <c r="H8" s="138"/>
      <c r="I8" s="138"/>
      <c r="J8" s="138"/>
      <c r="K8" s="138"/>
      <c r="L8" s="138"/>
      <c r="M8" s="138"/>
      <c r="N8" s="138"/>
      <c r="O8" s="138"/>
      <c r="P8" s="180">
        <f t="shared" si="0"/>
        <v>0</v>
      </c>
    </row>
    <row r="9" spans="1:16" ht="20.100000000000001" customHeight="1">
      <c r="A9" s="177" t="s">
        <v>1394</v>
      </c>
      <c r="B9" s="142" t="s">
        <v>1395</v>
      </c>
      <c r="C9" s="138">
        <f>IF('6b. Drainage Plans'!J24&gt;0,'6b. Drainage Plans'!J24,IF('6b. Drainage Plans'!I24&gt;0,'6b. Drainage Plans'!I24,'6b. Drainage Plans'!H24))</f>
        <v>0</v>
      </c>
      <c r="D9" s="138"/>
      <c r="E9" s="138"/>
      <c r="F9" s="138"/>
      <c r="G9" s="138"/>
      <c r="H9" s="138"/>
      <c r="I9" s="138"/>
      <c r="J9" s="138"/>
      <c r="K9" s="138"/>
      <c r="L9" s="138"/>
      <c r="M9" s="138"/>
      <c r="N9" s="138"/>
      <c r="O9" s="138"/>
      <c r="P9" s="180">
        <f t="shared" si="0"/>
        <v>0</v>
      </c>
    </row>
    <row r="10" spans="1:16" ht="20.100000000000001" customHeight="1">
      <c r="A10" s="177" t="s">
        <v>2587</v>
      </c>
      <c r="B10" s="142" t="s">
        <v>2566</v>
      </c>
      <c r="C10" s="138">
        <f>IF('6c. Selective C&amp;G'!J29&gt;0,'6c. Selective C&amp;G'!J29,IF('6c. Selective C&amp;G'!I29&gt;0,'6c. Selective C&amp;G'!I29,'6c. Selective C&amp;G'!H29))</f>
        <v>0</v>
      </c>
      <c r="D10" s="138"/>
      <c r="E10" s="138"/>
      <c r="F10" s="138"/>
      <c r="G10" s="138"/>
      <c r="H10" s="138"/>
      <c r="I10" s="138"/>
      <c r="J10" s="138"/>
      <c r="K10" s="138"/>
      <c r="L10" s="138"/>
      <c r="M10" s="138"/>
      <c r="N10" s="138"/>
      <c r="O10" s="138"/>
      <c r="P10" s="180">
        <f t="shared" si="0"/>
        <v>0</v>
      </c>
    </row>
    <row r="11" spans="1:16" ht="20.100000000000001" customHeight="1">
      <c r="A11" s="10">
        <v>7</v>
      </c>
      <c r="B11" s="20" t="s">
        <v>955</v>
      </c>
      <c r="C11" s="16">
        <f>'7. Utilities'!F27</f>
        <v>0</v>
      </c>
      <c r="D11" s="6"/>
      <c r="E11" s="6"/>
      <c r="F11" s="6"/>
      <c r="G11" s="6"/>
      <c r="H11" s="6"/>
      <c r="I11" s="6"/>
      <c r="J11" s="6"/>
      <c r="K11" s="6"/>
      <c r="L11" s="6"/>
      <c r="M11" s="6"/>
      <c r="N11" s="6"/>
      <c r="O11" s="6"/>
      <c r="P11" s="12">
        <f t="shared" si="0"/>
        <v>0</v>
      </c>
    </row>
    <row r="12" spans="1:16" ht="20.100000000000001" customHeight="1">
      <c r="A12" s="10">
        <v>8</v>
      </c>
      <c r="B12" s="142" t="s">
        <v>1689</v>
      </c>
      <c r="C12" s="16">
        <f>'8. Env. Permits and Clearances'!F56</f>
        <v>0</v>
      </c>
      <c r="D12" s="6"/>
      <c r="E12" s="6"/>
      <c r="F12" s="6"/>
      <c r="G12" s="6"/>
      <c r="H12" s="6"/>
      <c r="I12" s="6"/>
      <c r="J12" s="6"/>
      <c r="K12" s="6"/>
      <c r="L12" s="6"/>
      <c r="M12" s="6"/>
      <c r="N12" s="6"/>
      <c r="O12" s="6"/>
      <c r="P12" s="12">
        <f t="shared" si="0"/>
        <v>0</v>
      </c>
    </row>
    <row r="13" spans="1:16" ht="20.100000000000001" customHeight="1">
      <c r="A13" s="10">
        <v>9</v>
      </c>
      <c r="B13" s="20" t="s">
        <v>966</v>
      </c>
      <c r="C13" s="16">
        <f>'9. Structures Summary'!F47</f>
        <v>0</v>
      </c>
      <c r="D13" s="6"/>
      <c r="E13" s="6"/>
      <c r="F13" s="6"/>
      <c r="G13" s="6"/>
      <c r="H13" s="6"/>
      <c r="I13" s="6"/>
      <c r="J13" s="6"/>
      <c r="K13" s="6"/>
      <c r="L13" s="6"/>
      <c r="M13" s="6"/>
      <c r="N13" s="6"/>
      <c r="O13" s="6"/>
      <c r="P13" s="12">
        <f t="shared" si="0"/>
        <v>0</v>
      </c>
    </row>
    <row r="14" spans="1:16" ht="20.100000000000001" customHeight="1">
      <c r="A14" s="10">
        <v>10</v>
      </c>
      <c r="B14" s="20" t="s">
        <v>699</v>
      </c>
      <c r="C14" s="16">
        <f>'9. Structures Summary'!D38</f>
        <v>0</v>
      </c>
      <c r="D14" s="6"/>
      <c r="E14" s="6"/>
      <c r="F14" s="6"/>
      <c r="G14" s="6"/>
      <c r="H14" s="6"/>
      <c r="I14" s="6"/>
      <c r="J14" s="6"/>
      <c r="K14" s="6"/>
      <c r="L14" s="6"/>
      <c r="M14" s="6"/>
      <c r="N14" s="6"/>
      <c r="O14" s="6"/>
      <c r="P14" s="12">
        <f t="shared" si="0"/>
        <v>0</v>
      </c>
    </row>
    <row r="15" spans="1:16" ht="20.100000000000001" customHeight="1">
      <c r="A15" s="10">
        <v>11</v>
      </c>
      <c r="B15" s="20" t="s">
        <v>874</v>
      </c>
      <c r="C15" s="16">
        <f>'9. Structures Summary'!E38</f>
        <v>0</v>
      </c>
      <c r="D15" s="6"/>
      <c r="E15" s="6"/>
      <c r="F15" s="6"/>
      <c r="G15" s="6"/>
      <c r="H15" s="6"/>
      <c r="I15" s="6"/>
      <c r="J15" s="6"/>
      <c r="K15" s="6"/>
      <c r="L15" s="6"/>
      <c r="M15" s="6"/>
      <c r="N15" s="6"/>
      <c r="O15" s="6"/>
      <c r="P15" s="12">
        <f t="shared" si="0"/>
        <v>0</v>
      </c>
    </row>
    <row r="16" spans="1:16" ht="20.100000000000001" customHeight="1">
      <c r="A16" s="10">
        <v>12</v>
      </c>
      <c r="B16" s="20" t="s">
        <v>956</v>
      </c>
      <c r="C16" s="16">
        <f>'9. Structures Summary'!F38</f>
        <v>0</v>
      </c>
      <c r="D16" s="6"/>
      <c r="E16" s="6"/>
      <c r="F16" s="6"/>
      <c r="G16" s="6"/>
      <c r="H16" s="6"/>
      <c r="I16" s="6"/>
      <c r="J16" s="6"/>
      <c r="K16" s="6"/>
      <c r="L16" s="6"/>
      <c r="M16" s="6"/>
      <c r="N16" s="6"/>
      <c r="O16" s="6"/>
      <c r="P16" s="12">
        <f t="shared" si="0"/>
        <v>0</v>
      </c>
    </row>
    <row r="17" spans="1:18" ht="20.100000000000001" customHeight="1">
      <c r="A17" s="10">
        <v>13</v>
      </c>
      <c r="B17" s="20" t="s">
        <v>957</v>
      </c>
      <c r="C17" s="16">
        <f>'9. Structures Summary'!G38</f>
        <v>0</v>
      </c>
      <c r="D17" s="6"/>
      <c r="E17" s="6"/>
      <c r="F17" s="6"/>
      <c r="G17" s="6"/>
      <c r="H17" s="6"/>
      <c r="I17" s="6"/>
      <c r="J17" s="6"/>
      <c r="K17" s="6"/>
      <c r="L17" s="6"/>
      <c r="M17" s="6"/>
      <c r="N17" s="6"/>
      <c r="O17" s="6"/>
      <c r="P17" s="12">
        <f t="shared" si="0"/>
        <v>0</v>
      </c>
    </row>
    <row r="18" spans="1:18" ht="20.100000000000001" customHeight="1">
      <c r="A18" s="10">
        <v>14</v>
      </c>
      <c r="B18" s="20" t="s">
        <v>958</v>
      </c>
      <c r="C18" s="16">
        <f>'9. Structures Summary'!H38</f>
        <v>0</v>
      </c>
      <c r="D18" s="6"/>
      <c r="E18" s="6"/>
      <c r="F18" s="6"/>
      <c r="G18" s="6"/>
      <c r="H18" s="6"/>
      <c r="I18" s="6"/>
      <c r="J18" s="6"/>
      <c r="K18" s="6"/>
      <c r="L18" s="6"/>
      <c r="M18" s="6"/>
      <c r="N18" s="6"/>
      <c r="O18" s="6"/>
      <c r="P18" s="12">
        <f t="shared" si="0"/>
        <v>0</v>
      </c>
    </row>
    <row r="19" spans="1:18" ht="20.100000000000001" customHeight="1">
      <c r="A19" s="10">
        <v>15</v>
      </c>
      <c r="B19" s="20" t="s">
        <v>959</v>
      </c>
      <c r="C19" s="16">
        <f>'9. Structures Summary'!I38</f>
        <v>0</v>
      </c>
      <c r="D19" s="6"/>
      <c r="E19" s="6"/>
      <c r="F19" s="6"/>
      <c r="G19" s="6"/>
      <c r="H19" s="6"/>
      <c r="I19" s="6"/>
      <c r="J19" s="6"/>
      <c r="K19" s="6"/>
      <c r="L19" s="6"/>
      <c r="M19" s="6"/>
      <c r="N19" s="6"/>
      <c r="O19" s="6"/>
      <c r="P19" s="12">
        <f t="shared" si="0"/>
        <v>0</v>
      </c>
    </row>
    <row r="20" spans="1:18" ht="20.100000000000001" customHeight="1">
      <c r="A20" s="10">
        <v>16</v>
      </c>
      <c r="B20" s="20" t="s">
        <v>875</v>
      </c>
      <c r="C20" s="16">
        <f>'9. Structures Summary'!J38</f>
        <v>0</v>
      </c>
      <c r="D20" s="6"/>
      <c r="E20" s="6"/>
      <c r="F20" s="6"/>
      <c r="G20" s="6"/>
      <c r="H20" s="6"/>
      <c r="I20" s="6"/>
      <c r="J20" s="6"/>
      <c r="K20" s="6"/>
      <c r="L20" s="6"/>
      <c r="M20" s="6"/>
      <c r="N20" s="6"/>
      <c r="O20" s="6"/>
      <c r="P20" s="12">
        <f t="shared" si="0"/>
        <v>0</v>
      </c>
    </row>
    <row r="21" spans="1:18" ht="20.100000000000001" customHeight="1">
      <c r="A21" s="10">
        <v>17</v>
      </c>
      <c r="B21" s="20" t="s">
        <v>876</v>
      </c>
      <c r="C21" s="16">
        <f>'9. Structures Summary'!K38</f>
        <v>0</v>
      </c>
      <c r="D21" s="6"/>
      <c r="E21" s="6"/>
      <c r="F21" s="6"/>
      <c r="G21" s="6"/>
      <c r="H21" s="6"/>
      <c r="I21" s="6"/>
      <c r="J21" s="6"/>
      <c r="K21" s="6"/>
      <c r="L21" s="6"/>
      <c r="M21" s="6"/>
      <c r="N21" s="6"/>
      <c r="O21" s="6"/>
      <c r="P21" s="12">
        <f t="shared" si="0"/>
        <v>0</v>
      </c>
    </row>
    <row r="22" spans="1:18" ht="20.100000000000001" customHeight="1">
      <c r="A22" s="10">
        <v>18</v>
      </c>
      <c r="B22" s="20" t="s">
        <v>877</v>
      </c>
      <c r="C22" s="16">
        <f>'9. Structures Summary'!L38</f>
        <v>0</v>
      </c>
      <c r="D22" s="6"/>
      <c r="E22" s="6"/>
      <c r="F22" s="6"/>
      <c r="G22" s="6"/>
      <c r="H22" s="6"/>
      <c r="I22" s="6"/>
      <c r="J22" s="6"/>
      <c r="K22" s="6"/>
      <c r="L22" s="6"/>
      <c r="M22" s="6"/>
      <c r="N22" s="6"/>
      <c r="O22" s="6"/>
      <c r="P22" s="12">
        <f t="shared" si="0"/>
        <v>0</v>
      </c>
    </row>
    <row r="23" spans="1:18" ht="20.100000000000001" customHeight="1">
      <c r="A23" s="10">
        <v>19</v>
      </c>
      <c r="B23" s="20" t="s">
        <v>960</v>
      </c>
      <c r="C23" s="16">
        <f>'19. Signing &amp; Marking Analysis '!F30</f>
        <v>0</v>
      </c>
      <c r="D23" s="6"/>
      <c r="E23" s="6"/>
      <c r="F23" s="6"/>
      <c r="G23" s="6"/>
      <c r="H23" s="6"/>
      <c r="I23" s="6"/>
      <c r="J23" s="6"/>
      <c r="K23" s="6"/>
      <c r="L23" s="6"/>
      <c r="M23" s="6"/>
      <c r="N23" s="6"/>
      <c r="O23" s="6"/>
      <c r="P23" s="12">
        <f t="shared" si="0"/>
        <v>0</v>
      </c>
    </row>
    <row r="24" spans="1:18" ht="20.100000000000001" customHeight="1">
      <c r="A24" s="10">
        <v>20</v>
      </c>
      <c r="B24" s="20" t="s">
        <v>961</v>
      </c>
      <c r="C24" s="16">
        <f>IF('20. Signing &amp; Marking Plans'!J31&gt;0,'20. Signing &amp; Marking Plans'!J31,IF('20. Signing &amp; Marking Plans'!I31&gt;0,'20. Signing &amp; Marking Plans'!I31,'20. Signing &amp; Marking Plans'!H31))</f>
        <v>0</v>
      </c>
      <c r="D24" s="6"/>
      <c r="E24" s="6"/>
      <c r="F24" s="6"/>
      <c r="G24" s="6"/>
      <c r="H24" s="6"/>
      <c r="I24" s="6"/>
      <c r="J24" s="6"/>
      <c r="K24" s="6"/>
      <c r="L24" s="6"/>
      <c r="M24" s="6"/>
      <c r="N24" s="6"/>
      <c r="O24" s="6"/>
      <c r="P24" s="12">
        <f t="shared" si="0"/>
        <v>0</v>
      </c>
    </row>
    <row r="25" spans="1:18" ht="20.100000000000001" customHeight="1">
      <c r="A25" s="10">
        <v>21</v>
      </c>
      <c r="B25" s="20" t="s">
        <v>700</v>
      </c>
      <c r="C25" s="16">
        <f>'21. Signalization Analysis'!F32</f>
        <v>0</v>
      </c>
      <c r="D25" s="6"/>
      <c r="E25" s="6"/>
      <c r="F25" s="6"/>
      <c r="G25" s="6"/>
      <c r="H25" s="6"/>
      <c r="I25" s="6"/>
      <c r="J25" s="6"/>
      <c r="K25" s="6"/>
      <c r="L25" s="6"/>
      <c r="M25" s="6"/>
      <c r="N25" s="6"/>
      <c r="O25" s="6"/>
      <c r="P25" s="12">
        <f t="shared" si="0"/>
        <v>0</v>
      </c>
    </row>
    <row r="26" spans="1:18" ht="20.100000000000001" customHeight="1">
      <c r="A26" s="10">
        <v>22</v>
      </c>
      <c r="B26" s="20" t="s">
        <v>701</v>
      </c>
      <c r="C26" s="16">
        <f>IF('22. Signalization Plans'!J34&gt;0,'22. Signalization Plans'!J34,IF('22. Signalization Plans'!I34&gt;0,'22. Signalization Plans'!I34,'22. Signalization Plans'!H34))</f>
        <v>0</v>
      </c>
      <c r="D26" s="6"/>
      <c r="E26" s="6"/>
      <c r="F26" s="6"/>
      <c r="G26" s="6"/>
      <c r="H26" s="6"/>
      <c r="I26" s="6"/>
      <c r="J26" s="6"/>
      <c r="K26" s="6"/>
      <c r="L26" s="6"/>
      <c r="M26" s="6"/>
      <c r="N26" s="6"/>
      <c r="O26" s="6"/>
      <c r="P26" s="12">
        <f t="shared" si="0"/>
        <v>0</v>
      </c>
    </row>
    <row r="27" spans="1:18" ht="20.100000000000001" customHeight="1">
      <c r="A27" s="10">
        <v>23</v>
      </c>
      <c r="B27" s="20" t="s">
        <v>702</v>
      </c>
      <c r="C27" s="16">
        <f>'23. Lighting Analysis'!F30</f>
        <v>0</v>
      </c>
      <c r="D27" s="6"/>
      <c r="E27" s="6"/>
      <c r="F27" s="6"/>
      <c r="G27" s="6"/>
      <c r="H27" s="6"/>
      <c r="I27" s="6"/>
      <c r="J27" s="6"/>
      <c r="K27" s="6"/>
      <c r="L27" s="6"/>
      <c r="M27" s="6"/>
      <c r="N27" s="6"/>
      <c r="O27" s="6"/>
      <c r="P27" s="12">
        <f t="shared" si="0"/>
        <v>0</v>
      </c>
    </row>
    <row r="28" spans="1:18" ht="20.100000000000001" customHeight="1">
      <c r="A28" s="10">
        <v>24</v>
      </c>
      <c r="B28" s="20" t="s">
        <v>703</v>
      </c>
      <c r="C28" s="16">
        <f>IF('24. Lighting Plans'!J29&gt;0,'24. Lighting Plans'!J29,IF('24. Lighting Plans'!I29&gt;0,'24. Lighting Plans'!I29,'24. Lighting Plans'!H29))</f>
        <v>0</v>
      </c>
      <c r="D28" s="6"/>
      <c r="E28" s="6"/>
      <c r="F28" s="6"/>
      <c r="G28" s="6"/>
      <c r="H28" s="6"/>
      <c r="I28" s="6"/>
      <c r="J28" s="6"/>
      <c r="K28" s="6"/>
      <c r="L28" s="6"/>
      <c r="M28" s="6"/>
      <c r="N28" s="6"/>
      <c r="O28" s="6"/>
      <c r="P28" s="12">
        <f t="shared" si="0"/>
        <v>0</v>
      </c>
    </row>
    <row r="29" spans="1:18" ht="20.100000000000001" customHeight="1">
      <c r="A29" s="10">
        <v>25</v>
      </c>
      <c r="B29" s="142" t="s">
        <v>1690</v>
      </c>
      <c r="C29" s="16">
        <f>IF('25. Landscape Analysis'!J45&gt;0,'25. Landscape Analysis'!J45,IF('25. Landscape Analysis'!I45&gt;0,'25. Landscape Analysis'!I45,'25. Landscape Analysis'!H45))</f>
        <v>0</v>
      </c>
      <c r="D29" s="6"/>
      <c r="E29" s="6"/>
      <c r="F29" s="6"/>
      <c r="G29" s="6"/>
      <c r="H29" s="6"/>
      <c r="I29" s="6"/>
      <c r="J29" s="6"/>
      <c r="K29" s="6"/>
      <c r="L29" s="6"/>
      <c r="M29" s="6"/>
      <c r="N29" s="6"/>
      <c r="O29" s="6"/>
      <c r="P29" s="12">
        <f t="shared" si="0"/>
        <v>0</v>
      </c>
    </row>
    <row r="30" spans="1:18" ht="20.100000000000001" customHeight="1">
      <c r="A30" s="10">
        <v>26</v>
      </c>
      <c r="B30" s="142" t="s">
        <v>1691</v>
      </c>
      <c r="C30" s="16">
        <f>IF('26. Landscape Plans'!J27&gt;0,'26. Landscape Plans'!J27,IF('26. Landscape Plans'!I27&gt;0,'26. Landscape Plans'!I27,'26. Landscape Plans'!H27))</f>
        <v>0</v>
      </c>
      <c r="D30" s="6"/>
      <c r="E30" s="6"/>
      <c r="F30" s="6"/>
      <c r="G30" s="6"/>
      <c r="H30" s="6"/>
      <c r="I30" s="6"/>
      <c r="J30" s="6"/>
      <c r="K30" s="6"/>
      <c r="L30" s="6"/>
      <c r="M30" s="6"/>
      <c r="N30" s="6"/>
      <c r="O30" s="6"/>
      <c r="P30" s="12">
        <f t="shared" si="0"/>
        <v>0</v>
      </c>
    </row>
    <row r="31" spans="1:18" ht="20.100000000000001" customHeight="1">
      <c r="A31" s="10">
        <v>27</v>
      </c>
      <c r="B31" s="17" t="s">
        <v>533</v>
      </c>
      <c r="C31" s="67">
        <f>'27. Survey'!H107+'27. Survey'!J107</f>
        <v>0</v>
      </c>
      <c r="D31" s="6"/>
      <c r="E31" s="6"/>
      <c r="F31" s="6"/>
      <c r="G31" s="6"/>
      <c r="H31" s="6"/>
      <c r="I31" s="6"/>
      <c r="J31" s="6"/>
      <c r="K31" s="6"/>
      <c r="L31" s="6"/>
      <c r="M31" s="6"/>
      <c r="N31" s="6"/>
      <c r="O31" s="6"/>
      <c r="P31" s="139">
        <f>ROUND(SUM(C31:O31),0)</f>
        <v>0</v>
      </c>
      <c r="Q31" s="2"/>
      <c r="R31" s="952" t="s">
        <v>400</v>
      </c>
    </row>
    <row r="32" spans="1:18" ht="20.100000000000001" customHeight="1">
      <c r="A32" s="10">
        <v>28</v>
      </c>
      <c r="B32" s="20" t="s">
        <v>354</v>
      </c>
      <c r="C32" s="67">
        <f>'28. Photogrammetry'!L81</f>
        <v>0</v>
      </c>
      <c r="D32" s="6"/>
      <c r="E32" s="6"/>
      <c r="F32" s="6"/>
      <c r="G32" s="6"/>
      <c r="H32" s="6"/>
      <c r="I32" s="6"/>
      <c r="J32" s="6"/>
      <c r="K32" s="6"/>
      <c r="L32" s="6"/>
      <c r="M32" s="6"/>
      <c r="N32" s="6"/>
      <c r="O32" s="6"/>
      <c r="P32" s="12">
        <f t="shared" si="0"/>
        <v>0</v>
      </c>
    </row>
    <row r="33" spans="1:17" ht="20.100000000000001" customHeight="1">
      <c r="A33" s="10">
        <v>29</v>
      </c>
      <c r="B33" s="20" t="s">
        <v>704</v>
      </c>
      <c r="C33" s="67">
        <f>IF('29. Mapping'!J53&gt;0,'29. Mapping'!J53,IF('29. Mapping'!I53&gt;0,'29. Mapping'!I53,'29. Mapping'!H53))</f>
        <v>0</v>
      </c>
      <c r="D33" s="6"/>
      <c r="E33" s="6"/>
      <c r="F33" s="6"/>
      <c r="G33" s="6"/>
      <c r="H33" s="6"/>
      <c r="I33" s="6"/>
      <c r="J33" s="6"/>
      <c r="K33" s="6"/>
      <c r="L33" s="6"/>
      <c r="M33" s="6"/>
      <c r="N33" s="6"/>
      <c r="O33" s="6"/>
      <c r="P33" s="139">
        <f t="shared" si="0"/>
        <v>0</v>
      </c>
    </row>
    <row r="34" spans="1:17" s="136" customFormat="1" ht="20.100000000000001" customHeight="1">
      <c r="A34" s="177">
        <v>30</v>
      </c>
      <c r="B34" s="142" t="s">
        <v>1154</v>
      </c>
      <c r="C34" s="178">
        <f>'30. Terrestrial Mobile LiDAR'!K85</f>
        <v>0</v>
      </c>
      <c r="D34" s="138"/>
      <c r="E34" s="138"/>
      <c r="F34" s="138"/>
      <c r="G34" s="138"/>
      <c r="H34" s="138"/>
      <c r="I34" s="138"/>
      <c r="J34" s="138"/>
      <c r="K34" s="138"/>
      <c r="L34" s="138"/>
      <c r="M34" s="138"/>
      <c r="N34" s="138"/>
      <c r="O34" s="138"/>
      <c r="P34" s="179">
        <f>SUM(C34:O34)</f>
        <v>0</v>
      </c>
    </row>
    <row r="35" spans="1:17" ht="20.100000000000001" customHeight="1">
      <c r="A35" s="10">
        <v>31</v>
      </c>
      <c r="B35" s="20" t="s">
        <v>962</v>
      </c>
      <c r="C35" s="16">
        <f>'31. Architecture Development'!I217</f>
        <v>0</v>
      </c>
      <c r="D35" s="6"/>
      <c r="E35" s="6"/>
      <c r="F35" s="6"/>
      <c r="G35" s="6"/>
      <c r="H35" s="6"/>
      <c r="I35" s="6"/>
      <c r="J35" s="6"/>
      <c r="K35" s="6"/>
      <c r="L35" s="6"/>
      <c r="M35" s="6"/>
      <c r="N35" s="6"/>
      <c r="O35" s="6"/>
      <c r="P35" s="12">
        <f t="shared" si="0"/>
        <v>0</v>
      </c>
      <c r="Q35" s="73"/>
    </row>
    <row r="36" spans="1:17" ht="20.100000000000001" customHeight="1">
      <c r="A36" s="10">
        <v>32</v>
      </c>
      <c r="B36" s="20" t="s">
        <v>963</v>
      </c>
      <c r="C36" s="16">
        <f>'32. Noise Barrier Assessment'!F21</f>
        <v>0</v>
      </c>
      <c r="D36" s="6"/>
      <c r="E36" s="6"/>
      <c r="F36" s="6"/>
      <c r="G36" s="6"/>
      <c r="H36" s="6"/>
      <c r="I36" s="6"/>
      <c r="J36" s="6"/>
      <c r="K36" s="6"/>
      <c r="L36" s="6"/>
      <c r="M36" s="6"/>
      <c r="N36" s="6"/>
      <c r="O36" s="6"/>
      <c r="P36" s="12">
        <f>SUM(C36:O36)</f>
        <v>0</v>
      </c>
      <c r="Q36" s="73"/>
    </row>
    <row r="37" spans="1:17" ht="20.100000000000001" customHeight="1">
      <c r="A37" s="10">
        <v>33</v>
      </c>
      <c r="B37" s="20" t="s">
        <v>964</v>
      </c>
      <c r="C37" s="16">
        <f>'33. ITS Analysis'!F34</f>
        <v>0</v>
      </c>
      <c r="D37" s="6"/>
      <c r="E37" s="6"/>
      <c r="F37" s="6"/>
      <c r="G37" s="6"/>
      <c r="H37" s="6"/>
      <c r="I37" s="6"/>
      <c r="J37" s="6"/>
      <c r="K37" s="6"/>
      <c r="L37" s="6"/>
      <c r="M37" s="6"/>
      <c r="N37" s="6"/>
      <c r="O37" s="6"/>
      <c r="P37" s="12">
        <f>SUM(C37:O37)</f>
        <v>0</v>
      </c>
      <c r="Q37" s="73"/>
    </row>
    <row r="38" spans="1:17" ht="20.100000000000001" customHeight="1">
      <c r="A38" s="10">
        <v>34</v>
      </c>
      <c r="B38" s="20" t="s">
        <v>965</v>
      </c>
      <c r="C38" s="16">
        <f>IF('34. ITS Plans'!J36&gt;0,'34. ITS Plans'!J36,IF('34. ITS Plans'!I36&gt;0,'34. ITS Plans'!I36,'34. ITS Plans'!H36))</f>
        <v>0</v>
      </c>
      <c r="D38" s="6"/>
      <c r="E38" s="6"/>
      <c r="F38" s="6"/>
      <c r="G38" s="6"/>
      <c r="H38" s="6"/>
      <c r="I38" s="6"/>
      <c r="J38" s="6"/>
      <c r="K38" s="6"/>
      <c r="L38" s="6"/>
      <c r="M38" s="6"/>
      <c r="N38" s="6"/>
      <c r="O38" s="6"/>
      <c r="P38" s="12">
        <f>SUM(C38:O38)</f>
        <v>0</v>
      </c>
      <c r="Q38" s="73" t="s">
        <v>460</v>
      </c>
    </row>
    <row r="39" spans="1:17" s="136" customFormat="1" ht="20.100000000000001" customHeight="1">
      <c r="A39" s="177">
        <v>35</v>
      </c>
      <c r="B39" s="142" t="s">
        <v>355</v>
      </c>
      <c r="C39" s="138">
        <f>'35. Geotechnical'!F71</f>
        <v>0</v>
      </c>
      <c r="D39" s="138"/>
      <c r="E39" s="138"/>
      <c r="F39" s="138"/>
      <c r="G39" s="138"/>
      <c r="H39" s="138"/>
      <c r="I39" s="138"/>
      <c r="J39" s="138"/>
      <c r="K39" s="138"/>
      <c r="L39" s="138"/>
      <c r="M39" s="138"/>
      <c r="N39" s="138"/>
      <c r="O39" s="138"/>
      <c r="P39" s="180">
        <f>SUM(C39:O39)</f>
        <v>0</v>
      </c>
    </row>
    <row r="40" spans="1:17" ht="20.100000000000001" customHeight="1">
      <c r="A40" s="2016" t="s">
        <v>213</v>
      </c>
      <c r="B40" s="2017"/>
      <c r="C40" s="255">
        <f t="shared" ref="C40:P40" si="1">SUM(C5:C39)</f>
        <v>0</v>
      </c>
      <c r="D40" s="255">
        <f t="shared" si="1"/>
        <v>0</v>
      </c>
      <c r="E40" s="255">
        <f t="shared" si="1"/>
        <v>0</v>
      </c>
      <c r="F40" s="255">
        <f t="shared" si="1"/>
        <v>0</v>
      </c>
      <c r="G40" s="255">
        <f t="shared" si="1"/>
        <v>0</v>
      </c>
      <c r="H40" s="255">
        <f t="shared" si="1"/>
        <v>0</v>
      </c>
      <c r="I40" s="255">
        <f t="shared" si="1"/>
        <v>0</v>
      </c>
      <c r="J40" s="255">
        <f t="shared" si="1"/>
        <v>0</v>
      </c>
      <c r="K40" s="255">
        <f t="shared" si="1"/>
        <v>0</v>
      </c>
      <c r="L40" s="255">
        <f t="shared" si="1"/>
        <v>0</v>
      </c>
      <c r="M40" s="255">
        <f t="shared" si="1"/>
        <v>0</v>
      </c>
      <c r="N40" s="255">
        <f t="shared" si="1"/>
        <v>0</v>
      </c>
      <c r="O40" s="255">
        <f t="shared" si="1"/>
        <v>0</v>
      </c>
      <c r="P40" s="255">
        <f t="shared" si="1"/>
        <v>0</v>
      </c>
      <c r="Q40" s="72">
        <f>SUM(C40:O40)</f>
        <v>0</v>
      </c>
    </row>
    <row r="41" spans="1:17" ht="20.100000000000001" customHeight="1" thickBot="1">
      <c r="A41" s="68">
        <v>27</v>
      </c>
      <c r="B41" s="69" t="s">
        <v>534</v>
      </c>
      <c r="C41" s="70">
        <f>'27. Survey'!F107</f>
        <v>0</v>
      </c>
      <c r="D41" s="70"/>
      <c r="E41" s="70"/>
      <c r="F41" s="70"/>
      <c r="G41" s="70"/>
      <c r="H41" s="70"/>
      <c r="I41" s="70"/>
      <c r="J41" s="70"/>
      <c r="K41" s="70"/>
      <c r="L41" s="70"/>
      <c r="M41" s="70"/>
      <c r="N41" s="70"/>
      <c r="O41" s="70"/>
      <c r="P41" s="71">
        <f>SUM(C41:O41)</f>
        <v>0</v>
      </c>
    </row>
    <row r="43" spans="1:17">
      <c r="A43" s="47" t="s">
        <v>461</v>
      </c>
      <c r="B43" t="s">
        <v>166</v>
      </c>
    </row>
    <row r="44" spans="1:17">
      <c r="B44" t="s">
        <v>476</v>
      </c>
    </row>
    <row r="45" spans="1:17">
      <c r="B45" t="s">
        <v>438</v>
      </c>
    </row>
  </sheetData>
  <mergeCells count="4">
    <mergeCell ref="L1:P1"/>
    <mergeCell ref="A40:B40"/>
    <mergeCell ref="N2:P2"/>
    <mergeCell ref="C3:P3"/>
  </mergeCells>
  <phoneticPr fontId="0" type="noConversion"/>
  <printOptions horizontalCentered="1"/>
  <pageMargins left="0.5" right="0.5" top="0.75" bottom="0.59" header="0.5" footer="0.33"/>
  <pageSetup scale="65" orientation="landscape" r:id="rId1"/>
  <headerFooter alignWithMargins="0">
    <oddHeader>&amp;C&amp;"Arial,Bold"&amp;12&amp;UProject Staff Hour Summary</oddHeader>
    <oddFooter>&amp;L&amp;F
&amp;A&amp;CPage &amp;P of &amp;N&amp;R&amp;D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M97"/>
  <sheetViews>
    <sheetView showGridLines="0" zoomScaleNormal="100" zoomScaleSheetLayoutView="100" zoomScalePageLayoutView="85" workbookViewId="0"/>
  </sheetViews>
  <sheetFormatPr defaultColWidth="9.109375" defaultRowHeight="13.2"/>
  <cols>
    <col min="1" max="1" width="6.33203125" style="587" customWidth="1"/>
    <col min="2" max="2" width="40.6640625" style="4" customWidth="1"/>
    <col min="3" max="3" width="12.6640625" style="393" customWidth="1"/>
    <col min="4" max="11" width="12.6640625" style="4" customWidth="1"/>
    <col min="12" max="12" width="40.6640625" style="341" customWidth="1"/>
    <col min="13" max="13" width="12.6640625" style="4" customWidth="1"/>
    <col min="14" max="14" width="11.44140625" style="4" customWidth="1"/>
    <col min="15" max="16384" width="9.109375" style="4"/>
  </cols>
  <sheetData>
    <row r="1" spans="1:13" s="422" customFormat="1" ht="20.100000000000001" customHeight="1">
      <c r="A1" s="362" t="s">
        <v>592</v>
      </c>
      <c r="M1" s="897" t="str">
        <f>'Project Information'!$B$3</f>
        <v>Enter project name &amp; description</v>
      </c>
    </row>
    <row r="2" spans="1:13" s="422" customFormat="1" ht="20.100000000000001" customHeight="1">
      <c r="M2" s="897" t="str">
        <f>'Project Information'!$B$1</f>
        <v>999999-1-32-01</v>
      </c>
    </row>
    <row r="3" spans="1:13" s="225" customFormat="1" ht="14.4" thickBot="1">
      <c r="A3" s="395"/>
      <c r="B3" s="270"/>
    </row>
    <row r="4" spans="1:13" s="225" customFormat="1" ht="28.5" customHeight="1" thickBot="1">
      <c r="A4" s="2086" t="s">
        <v>1396</v>
      </c>
      <c r="B4" s="2087"/>
      <c r="C4" s="2088" t="s">
        <v>1397</v>
      </c>
      <c r="D4" s="2088"/>
      <c r="E4" s="2088"/>
      <c r="F4" s="2088"/>
      <c r="G4" s="2088"/>
      <c r="H4" s="2088"/>
      <c r="I4" s="2088"/>
      <c r="J4" s="2339" t="s">
        <v>1398</v>
      </c>
      <c r="K4" s="2714"/>
      <c r="L4" s="2714"/>
      <c r="M4" s="2469"/>
    </row>
    <row r="5" spans="1:13" s="225" customFormat="1" ht="28.5" customHeight="1">
      <c r="A5" s="2619" t="s">
        <v>1400</v>
      </c>
      <c r="B5" s="2620"/>
      <c r="C5" s="2617"/>
      <c r="D5" s="2617"/>
      <c r="E5" s="2617"/>
      <c r="F5" s="2617"/>
      <c r="G5" s="2617"/>
      <c r="H5" s="2617"/>
      <c r="I5" s="2617"/>
      <c r="J5" s="2342"/>
      <c r="K5" s="2718"/>
      <c r="L5" s="2718"/>
      <c r="M5" s="2470"/>
    </row>
    <row r="6" spans="1:13" s="225" customFormat="1" ht="28.5" customHeight="1" thickBot="1">
      <c r="A6" s="2083" t="s">
        <v>1399</v>
      </c>
      <c r="B6" s="2084"/>
      <c r="C6" s="2085"/>
      <c r="D6" s="2085"/>
      <c r="E6" s="2085"/>
      <c r="F6" s="2085"/>
      <c r="G6" s="2085"/>
      <c r="H6" s="2085"/>
      <c r="I6" s="2085"/>
      <c r="J6" s="2329"/>
      <c r="K6" s="2717"/>
      <c r="L6" s="2717"/>
      <c r="M6" s="2468"/>
    </row>
    <row r="7" spans="1:13" s="225" customFormat="1" ht="15.6">
      <c r="A7" s="898" t="s">
        <v>1430</v>
      </c>
      <c r="B7" s="270"/>
    </row>
    <row r="8" spans="1:13" s="225" customFormat="1" ht="15" customHeight="1" thickBot="1">
      <c r="A8" s="898"/>
      <c r="B8" s="270"/>
    </row>
    <row r="9" spans="1:13" ht="24.9" customHeight="1">
      <c r="A9" s="2715" t="s">
        <v>79</v>
      </c>
      <c r="B9" s="2683" t="s">
        <v>190</v>
      </c>
      <c r="C9" s="2683" t="s">
        <v>87</v>
      </c>
      <c r="D9" s="2683" t="s">
        <v>45</v>
      </c>
      <c r="E9" s="2683" t="s">
        <v>1021</v>
      </c>
      <c r="F9" s="2683" t="s">
        <v>514</v>
      </c>
      <c r="G9" s="2683"/>
      <c r="H9" s="2683"/>
      <c r="I9" s="2683"/>
      <c r="J9" s="2683"/>
      <c r="K9" s="2683" t="s">
        <v>910</v>
      </c>
      <c r="L9" s="2683" t="s">
        <v>164</v>
      </c>
      <c r="M9" s="2711"/>
    </row>
    <row r="10" spans="1:13" ht="46.8">
      <c r="A10" s="2716"/>
      <c r="B10" s="2712"/>
      <c r="C10" s="2712"/>
      <c r="D10" s="2712"/>
      <c r="E10" s="2712"/>
      <c r="F10" s="834" t="s">
        <v>911</v>
      </c>
      <c r="G10" s="834" t="s">
        <v>1121</v>
      </c>
      <c r="H10" s="834" t="s">
        <v>1122</v>
      </c>
      <c r="I10" s="834" t="s">
        <v>1123</v>
      </c>
      <c r="J10" s="834" t="s">
        <v>1124</v>
      </c>
      <c r="K10" s="2712"/>
      <c r="L10" s="2712"/>
      <c r="M10" s="2713"/>
    </row>
    <row r="11" spans="1:13" ht="24.9" customHeight="1">
      <c r="A11" s="813">
        <v>30.1</v>
      </c>
      <c r="B11" s="2729" t="s">
        <v>1125</v>
      </c>
      <c r="C11" s="2730"/>
      <c r="D11" s="830"/>
      <c r="E11" s="830"/>
      <c r="F11" s="830"/>
      <c r="G11" s="830"/>
      <c r="H11" s="830"/>
      <c r="I11" s="830"/>
      <c r="J11" s="830"/>
      <c r="K11" s="830"/>
      <c r="L11" s="830"/>
      <c r="M11" s="831"/>
    </row>
    <row r="12" spans="1:13" ht="24.9" customHeight="1">
      <c r="A12" s="2728"/>
      <c r="B12" s="814"/>
      <c r="C12" s="448" t="s">
        <v>1126</v>
      </c>
      <c r="D12" s="988">
        <v>0</v>
      </c>
      <c r="E12" s="989">
        <v>0</v>
      </c>
      <c r="F12" s="815">
        <f>D12*E12</f>
        <v>0</v>
      </c>
      <c r="G12" s="764"/>
      <c r="H12" s="764"/>
      <c r="I12" s="764"/>
      <c r="J12" s="764"/>
      <c r="K12" s="764">
        <f>SUM(F12:J12)</f>
        <v>0</v>
      </c>
      <c r="L12" s="2681" t="s">
        <v>1127</v>
      </c>
      <c r="M12" s="2682"/>
    </row>
    <row r="13" spans="1:13" ht="24.9" customHeight="1">
      <c r="A13" s="2693"/>
      <c r="B13" s="822"/>
      <c r="C13" s="816" t="s">
        <v>1126</v>
      </c>
      <c r="D13" s="817">
        <f>D12</f>
        <v>0</v>
      </c>
      <c r="E13" s="989">
        <v>0</v>
      </c>
      <c r="F13" s="361"/>
      <c r="G13" s="815">
        <f>D13*E13</f>
        <v>0</v>
      </c>
      <c r="H13" s="764"/>
      <c r="I13" s="764"/>
      <c r="J13" s="764"/>
      <c r="K13" s="764">
        <f>SUM(F13:J13)</f>
        <v>0</v>
      </c>
      <c r="L13" s="2681" t="s">
        <v>1128</v>
      </c>
      <c r="M13" s="2682"/>
    </row>
    <row r="14" spans="1:13" ht="24.9" customHeight="1">
      <c r="A14" s="2693"/>
      <c r="B14" s="835"/>
      <c r="C14" s="816" t="s">
        <v>1126</v>
      </c>
      <c r="D14" s="817">
        <f>D12</f>
        <v>0</v>
      </c>
      <c r="E14" s="989">
        <v>0</v>
      </c>
      <c r="F14" s="361"/>
      <c r="G14" s="542"/>
      <c r="H14" s="815">
        <f>D14*E14</f>
        <v>0</v>
      </c>
      <c r="I14" s="542"/>
      <c r="J14" s="542"/>
      <c r="K14" s="764">
        <f>SUM(F14:J14)</f>
        <v>0</v>
      </c>
      <c r="L14" s="2681" t="s">
        <v>1129</v>
      </c>
      <c r="M14" s="2682"/>
    </row>
    <row r="15" spans="1:13" ht="24.9" customHeight="1">
      <c r="A15" s="818">
        <v>30.2</v>
      </c>
      <c r="B15" s="2729" t="s">
        <v>1130</v>
      </c>
      <c r="C15" s="2723"/>
      <c r="D15" s="830"/>
      <c r="E15" s="830"/>
      <c r="F15" s="830"/>
      <c r="G15" s="830"/>
      <c r="H15" s="830"/>
      <c r="I15" s="830"/>
      <c r="J15" s="830"/>
      <c r="K15" s="830"/>
      <c r="L15" s="830"/>
      <c r="M15" s="831"/>
    </row>
    <row r="16" spans="1:13" ht="24.9" customHeight="1">
      <c r="A16" s="2721"/>
      <c r="B16" s="821">
        <f>B12</f>
        <v>0</v>
      </c>
      <c r="C16" s="448" t="s">
        <v>429</v>
      </c>
      <c r="D16" s="990">
        <v>0</v>
      </c>
      <c r="E16" s="989">
        <v>0</v>
      </c>
      <c r="F16" s="815">
        <f>D16*E16</f>
        <v>0</v>
      </c>
      <c r="G16" s="764"/>
      <c r="H16" s="764"/>
      <c r="I16" s="764"/>
      <c r="J16" s="764"/>
      <c r="K16" s="764">
        <f t="shared" ref="K16:K28" si="0">SUM(F16:J16)</f>
        <v>0</v>
      </c>
      <c r="L16" s="2681" t="s">
        <v>1127</v>
      </c>
      <c r="M16" s="2682"/>
    </row>
    <row r="17" spans="1:13" ht="24.9" customHeight="1">
      <c r="A17" s="2721"/>
      <c r="B17" s="822"/>
      <c r="C17" s="816" t="s">
        <v>429</v>
      </c>
      <c r="D17" s="819">
        <f>D16</f>
        <v>0</v>
      </c>
      <c r="E17" s="989">
        <v>0</v>
      </c>
      <c r="F17" s="361"/>
      <c r="G17" s="820">
        <f>D17*E17</f>
        <v>0</v>
      </c>
      <c r="H17" s="764"/>
      <c r="I17" s="764"/>
      <c r="J17" s="764"/>
      <c r="K17" s="764">
        <f t="shared" si="0"/>
        <v>0</v>
      </c>
      <c r="L17" s="2681" t="s">
        <v>1128</v>
      </c>
      <c r="M17" s="2682"/>
    </row>
    <row r="18" spans="1:13" ht="24.9" customHeight="1">
      <c r="A18" s="2721"/>
      <c r="B18" s="822"/>
      <c r="C18" s="816" t="s">
        <v>429</v>
      </c>
      <c r="D18" s="819">
        <f>D16</f>
        <v>0</v>
      </c>
      <c r="E18" s="989">
        <v>0</v>
      </c>
      <c r="F18" s="361"/>
      <c r="G18" s="764"/>
      <c r="H18" s="820">
        <f>D18*E18</f>
        <v>0</v>
      </c>
      <c r="I18" s="764"/>
      <c r="J18" s="764"/>
      <c r="K18" s="764">
        <f t="shared" si="0"/>
        <v>0</v>
      </c>
      <c r="L18" s="2681" t="s">
        <v>1129</v>
      </c>
      <c r="M18" s="2682"/>
    </row>
    <row r="19" spans="1:13" ht="24.9" customHeight="1">
      <c r="A19" s="818">
        <v>30.3</v>
      </c>
      <c r="B19" s="2722" t="s">
        <v>1131</v>
      </c>
      <c r="C19" s="2723"/>
      <c r="D19" s="830"/>
      <c r="E19" s="830"/>
      <c r="F19" s="830"/>
      <c r="G19" s="830"/>
      <c r="H19" s="830"/>
      <c r="I19" s="830"/>
      <c r="J19" s="830"/>
      <c r="K19" s="830"/>
      <c r="L19" s="830"/>
      <c r="M19" s="831"/>
    </row>
    <row r="20" spans="1:13" ht="24.9" customHeight="1">
      <c r="A20" s="2721"/>
      <c r="B20" s="821">
        <f>B12</f>
        <v>0</v>
      </c>
      <c r="C20" s="448" t="s">
        <v>1132</v>
      </c>
      <c r="D20" s="990">
        <v>1</v>
      </c>
      <c r="E20" s="991">
        <v>0</v>
      </c>
      <c r="F20" s="361"/>
      <c r="G20" s="764"/>
      <c r="H20" s="764"/>
      <c r="I20" s="820">
        <f>D20*E20</f>
        <v>0</v>
      </c>
      <c r="J20" s="764"/>
      <c r="K20" s="764">
        <f t="shared" si="0"/>
        <v>0</v>
      </c>
      <c r="L20" s="2681" t="s">
        <v>1133</v>
      </c>
      <c r="M20" s="2682"/>
    </row>
    <row r="21" spans="1:13" ht="24.9" customHeight="1">
      <c r="A21" s="2721"/>
      <c r="B21" s="822"/>
      <c r="C21" s="448" t="s">
        <v>1132</v>
      </c>
      <c r="D21" s="990">
        <v>2</v>
      </c>
      <c r="E21" s="991">
        <v>0</v>
      </c>
      <c r="F21" s="361"/>
      <c r="G21" s="542"/>
      <c r="H21" s="542"/>
      <c r="I21" s="542"/>
      <c r="J21" s="820">
        <f>D21*E21</f>
        <v>0</v>
      </c>
      <c r="K21" s="764">
        <f t="shared" si="0"/>
        <v>0</v>
      </c>
      <c r="L21" s="2681" t="s">
        <v>1134</v>
      </c>
      <c r="M21" s="2682"/>
    </row>
    <row r="22" spans="1:13" ht="24.9" customHeight="1">
      <c r="A22" s="818">
        <v>30.4</v>
      </c>
      <c r="B22" s="2722" t="s">
        <v>1135</v>
      </c>
      <c r="C22" s="2723"/>
      <c r="D22" s="830"/>
      <c r="E22" s="830"/>
      <c r="F22" s="830"/>
      <c r="G22" s="830"/>
      <c r="H22" s="830"/>
      <c r="I22" s="830"/>
      <c r="J22" s="830"/>
      <c r="K22" s="830"/>
      <c r="L22" s="830"/>
      <c r="M22" s="831"/>
    </row>
    <row r="23" spans="1:13" ht="24.9" customHeight="1">
      <c r="A23" s="2721"/>
      <c r="B23" s="821">
        <f>B12</f>
        <v>0</v>
      </c>
      <c r="C23" s="823" t="s">
        <v>1126</v>
      </c>
      <c r="D23" s="817">
        <f>D12</f>
        <v>0</v>
      </c>
      <c r="E23" s="989">
        <v>0</v>
      </c>
      <c r="F23" s="361"/>
      <c r="G23" s="764"/>
      <c r="H23" s="764"/>
      <c r="I23" s="820">
        <f>D23*E23</f>
        <v>0</v>
      </c>
      <c r="J23" s="764"/>
      <c r="K23" s="764">
        <f t="shared" si="0"/>
        <v>0</v>
      </c>
      <c r="L23" s="2726" t="s">
        <v>1136</v>
      </c>
      <c r="M23" s="2727"/>
    </row>
    <row r="24" spans="1:13" ht="24.9" customHeight="1">
      <c r="A24" s="2721"/>
      <c r="B24" s="822"/>
      <c r="C24" s="823" t="s">
        <v>1126</v>
      </c>
      <c r="D24" s="817">
        <f>D12</f>
        <v>0</v>
      </c>
      <c r="E24" s="989">
        <v>0</v>
      </c>
      <c r="F24" s="2724" t="s">
        <v>1137</v>
      </c>
      <c r="G24" s="2725"/>
      <c r="H24" s="2725"/>
      <c r="I24" s="817">
        <f>D21</f>
        <v>2</v>
      </c>
      <c r="J24" s="820">
        <f>D24*E24</f>
        <v>0</v>
      </c>
      <c r="K24" s="764">
        <f>I24*J24</f>
        <v>0</v>
      </c>
      <c r="L24" s="2726" t="s">
        <v>1138</v>
      </c>
      <c r="M24" s="2727"/>
    </row>
    <row r="25" spans="1:13" ht="24.9" customHeight="1">
      <c r="A25" s="818">
        <v>30.5</v>
      </c>
      <c r="B25" s="2722" t="s">
        <v>1139</v>
      </c>
      <c r="C25" s="2723"/>
      <c r="D25" s="830"/>
      <c r="E25" s="830"/>
      <c r="F25" s="830"/>
      <c r="G25" s="830"/>
      <c r="H25" s="830"/>
      <c r="I25" s="830"/>
      <c r="J25" s="830"/>
      <c r="K25" s="830"/>
      <c r="L25" s="830"/>
      <c r="M25" s="831"/>
    </row>
    <row r="26" spans="1:13" ht="24.9" customHeight="1">
      <c r="A26" s="2721"/>
      <c r="B26" s="821">
        <f>B12</f>
        <v>0</v>
      </c>
      <c r="C26" s="823" t="s">
        <v>1126</v>
      </c>
      <c r="D26" s="817">
        <f>D12</f>
        <v>0</v>
      </c>
      <c r="E26" s="989">
        <v>0</v>
      </c>
      <c r="F26" s="815">
        <f>D26*E26</f>
        <v>0</v>
      </c>
      <c r="G26" s="542"/>
      <c r="H26" s="542"/>
      <c r="I26" s="542"/>
      <c r="J26" s="542"/>
      <c r="K26" s="764">
        <f>SUM(F26:J26)</f>
        <v>0</v>
      </c>
      <c r="L26" s="2681" t="s">
        <v>1127</v>
      </c>
      <c r="M26" s="2682"/>
    </row>
    <row r="27" spans="1:13" ht="24.9" customHeight="1">
      <c r="A27" s="2721"/>
      <c r="B27" s="822"/>
      <c r="C27" s="816" t="s">
        <v>1126</v>
      </c>
      <c r="D27" s="817">
        <f>D12</f>
        <v>0</v>
      </c>
      <c r="E27" s="989">
        <v>0</v>
      </c>
      <c r="F27" s="361"/>
      <c r="G27" s="820">
        <f>D27*E27</f>
        <v>0</v>
      </c>
      <c r="H27" s="542"/>
      <c r="I27" s="542"/>
      <c r="J27" s="542"/>
      <c r="K27" s="764">
        <f t="shared" si="0"/>
        <v>0</v>
      </c>
      <c r="L27" s="2681" t="s">
        <v>1128</v>
      </c>
      <c r="M27" s="2682"/>
    </row>
    <row r="28" spans="1:13" ht="24.9" customHeight="1">
      <c r="A28" s="2721"/>
      <c r="B28" s="822"/>
      <c r="C28" s="816" t="s">
        <v>1126</v>
      </c>
      <c r="D28" s="817">
        <f>D12</f>
        <v>0</v>
      </c>
      <c r="E28" s="989">
        <v>0</v>
      </c>
      <c r="F28" s="361"/>
      <c r="G28" s="542"/>
      <c r="H28" s="824"/>
      <c r="I28" s="820">
        <f>D28*E28</f>
        <v>0</v>
      </c>
      <c r="J28" s="542"/>
      <c r="K28" s="764">
        <f t="shared" si="0"/>
        <v>0</v>
      </c>
      <c r="L28" s="2681" t="s">
        <v>1123</v>
      </c>
      <c r="M28" s="2682"/>
    </row>
    <row r="29" spans="1:13" ht="24.9" customHeight="1">
      <c r="A29" s="818">
        <v>30.6</v>
      </c>
      <c r="B29" s="2722" t="s">
        <v>1140</v>
      </c>
      <c r="C29" s="2723"/>
      <c r="D29" s="830"/>
      <c r="E29" s="830"/>
      <c r="F29" s="830"/>
      <c r="G29" s="830"/>
      <c r="H29" s="830"/>
      <c r="I29" s="830"/>
      <c r="J29" s="830"/>
      <c r="K29" s="830"/>
      <c r="L29" s="830"/>
      <c r="M29" s="831"/>
    </row>
    <row r="30" spans="1:13" ht="24.9" customHeight="1">
      <c r="A30" s="2721"/>
      <c r="B30" s="821">
        <f>B16</f>
        <v>0</v>
      </c>
      <c r="C30" s="823" t="s">
        <v>1126</v>
      </c>
      <c r="D30" s="817">
        <f>D12</f>
        <v>0</v>
      </c>
      <c r="E30" s="989">
        <v>0</v>
      </c>
      <c r="F30" s="815">
        <f>D30*E30</f>
        <v>0</v>
      </c>
      <c r="G30" s="542"/>
      <c r="H30" s="542"/>
      <c r="I30" s="542"/>
      <c r="J30" s="542"/>
      <c r="K30" s="764">
        <f>SUM(F30:J30)</f>
        <v>0</v>
      </c>
      <c r="L30" s="2681" t="s">
        <v>1127</v>
      </c>
      <c r="M30" s="2682"/>
    </row>
    <row r="31" spans="1:13" ht="24.9" customHeight="1">
      <c r="A31" s="2721"/>
      <c r="B31" s="822"/>
      <c r="C31" s="816" t="s">
        <v>1126</v>
      </c>
      <c r="D31" s="817">
        <f>D12</f>
        <v>0</v>
      </c>
      <c r="E31" s="989">
        <v>0</v>
      </c>
      <c r="F31" s="361"/>
      <c r="G31" s="820">
        <f>D31*E31</f>
        <v>0</v>
      </c>
      <c r="H31" s="542"/>
      <c r="I31" s="542"/>
      <c r="J31" s="542"/>
      <c r="K31" s="764">
        <f>SUM(F31:J31)</f>
        <v>0</v>
      </c>
      <c r="L31" s="2681" t="s">
        <v>1128</v>
      </c>
      <c r="M31" s="2682"/>
    </row>
    <row r="32" spans="1:13" ht="24.9" customHeight="1">
      <c r="A32" s="2721"/>
      <c r="B32" s="822"/>
      <c r="C32" s="816" t="s">
        <v>1126</v>
      </c>
      <c r="D32" s="817">
        <f>D12</f>
        <v>0</v>
      </c>
      <c r="E32" s="989">
        <v>0</v>
      </c>
      <c r="F32" s="361"/>
      <c r="G32" s="542"/>
      <c r="H32" s="820">
        <f>D32*E32</f>
        <v>0</v>
      </c>
      <c r="I32" s="542"/>
      <c r="J32" s="542"/>
      <c r="K32" s="764">
        <f>SUM(F32:J32)</f>
        <v>0</v>
      </c>
      <c r="L32" s="2681" t="s">
        <v>1129</v>
      </c>
      <c r="M32" s="2682"/>
    </row>
    <row r="33" spans="1:13" ht="24.9" customHeight="1">
      <c r="A33" s="818">
        <v>30.7</v>
      </c>
      <c r="B33" s="2722" t="s">
        <v>1141</v>
      </c>
      <c r="C33" s="2723"/>
      <c r="D33" s="830"/>
      <c r="E33" s="830"/>
      <c r="F33" s="830"/>
      <c r="G33" s="830"/>
      <c r="H33" s="830"/>
      <c r="I33" s="830"/>
      <c r="J33" s="830"/>
      <c r="K33" s="830"/>
      <c r="L33" s="830"/>
      <c r="M33" s="831"/>
    </row>
    <row r="34" spans="1:13" ht="24.9" customHeight="1">
      <c r="A34" s="2692"/>
      <c r="B34" s="821">
        <f>B12</f>
        <v>0</v>
      </c>
      <c r="C34" s="823" t="s">
        <v>1126</v>
      </c>
      <c r="D34" s="817">
        <f>D12</f>
        <v>0</v>
      </c>
      <c r="E34" s="989">
        <v>0</v>
      </c>
      <c r="F34" s="815">
        <f>D34*E34</f>
        <v>0</v>
      </c>
      <c r="G34" s="542"/>
      <c r="H34" s="542"/>
      <c r="I34" s="542"/>
      <c r="J34" s="542"/>
      <c r="K34" s="764">
        <f>SUM(F34:J34)</f>
        <v>0</v>
      </c>
      <c r="L34" s="2681" t="s">
        <v>1127</v>
      </c>
      <c r="M34" s="2682"/>
    </row>
    <row r="35" spans="1:13" ht="24.9" customHeight="1">
      <c r="A35" s="2693"/>
      <c r="B35" s="822"/>
      <c r="C35" s="816" t="s">
        <v>1126</v>
      </c>
      <c r="D35" s="817">
        <f>D12</f>
        <v>0</v>
      </c>
      <c r="E35" s="989">
        <v>0</v>
      </c>
      <c r="F35" s="361"/>
      <c r="G35" s="820">
        <f>D35*E35</f>
        <v>0</v>
      </c>
      <c r="H35" s="542"/>
      <c r="I35" s="542"/>
      <c r="J35" s="542"/>
      <c r="K35" s="764">
        <f>SUM(F35:J35)</f>
        <v>0</v>
      </c>
      <c r="L35" s="2681" t="s">
        <v>1128</v>
      </c>
      <c r="M35" s="2682"/>
    </row>
    <row r="36" spans="1:13" ht="24.9" customHeight="1">
      <c r="A36" s="2693"/>
      <c r="B36" s="822"/>
      <c r="C36" s="816" t="s">
        <v>1126</v>
      </c>
      <c r="D36" s="817">
        <f>D12</f>
        <v>0</v>
      </c>
      <c r="E36" s="989">
        <v>0</v>
      </c>
      <c r="F36" s="361"/>
      <c r="G36" s="542"/>
      <c r="H36" s="820">
        <f>D36*E36</f>
        <v>0</v>
      </c>
      <c r="I36" s="542"/>
      <c r="J36" s="542"/>
      <c r="K36" s="764">
        <f>SUM(F36:J36)</f>
        <v>0</v>
      </c>
      <c r="L36" s="2681" t="s">
        <v>1129</v>
      </c>
      <c r="M36" s="2682"/>
    </row>
    <row r="37" spans="1:13" ht="24.9" customHeight="1">
      <c r="A37" s="818">
        <v>30.8</v>
      </c>
      <c r="B37" s="2722" t="s">
        <v>1142</v>
      </c>
      <c r="C37" s="2723"/>
      <c r="D37" s="830"/>
      <c r="E37" s="830"/>
      <c r="F37" s="830"/>
      <c r="G37" s="830"/>
      <c r="H37" s="830"/>
      <c r="I37" s="830"/>
      <c r="J37" s="830"/>
      <c r="K37" s="830"/>
      <c r="L37" s="830"/>
      <c r="M37" s="831"/>
    </row>
    <row r="38" spans="1:13" ht="27.6">
      <c r="A38" s="2721"/>
      <c r="B38" s="821">
        <f>B12</f>
        <v>0</v>
      </c>
      <c r="C38" s="448" t="s">
        <v>1143</v>
      </c>
      <c r="D38" s="988">
        <v>0</v>
      </c>
      <c r="E38" s="989">
        <v>0</v>
      </c>
      <c r="F38" s="820">
        <f>D38*E38</f>
        <v>0</v>
      </c>
      <c r="G38" s="542"/>
      <c r="H38" s="542"/>
      <c r="I38" s="542"/>
      <c r="J38" s="542"/>
      <c r="K38" s="764">
        <f>SUM(F38:J38)</f>
        <v>0</v>
      </c>
      <c r="L38" s="2681" t="s">
        <v>1127</v>
      </c>
      <c r="M38" s="2682"/>
    </row>
    <row r="39" spans="1:13" ht="27.6">
      <c r="A39" s="2721"/>
      <c r="B39" s="822"/>
      <c r="C39" s="816" t="s">
        <v>1143</v>
      </c>
      <c r="D39" s="817">
        <f>D38</f>
        <v>0</v>
      </c>
      <c r="E39" s="989">
        <v>0</v>
      </c>
      <c r="F39" s="361"/>
      <c r="G39" s="820">
        <f>D39*E39</f>
        <v>0</v>
      </c>
      <c r="H39" s="542"/>
      <c r="I39" s="542"/>
      <c r="J39" s="542"/>
      <c r="K39" s="764">
        <f>SUM(F39:J39)</f>
        <v>0</v>
      </c>
      <c r="L39" s="2681" t="s">
        <v>1128</v>
      </c>
      <c r="M39" s="2682"/>
    </row>
    <row r="40" spans="1:13" ht="27.6">
      <c r="A40" s="2721"/>
      <c r="B40" s="822"/>
      <c r="C40" s="816" t="s">
        <v>1143</v>
      </c>
      <c r="D40" s="817">
        <f>D38</f>
        <v>0</v>
      </c>
      <c r="E40" s="989">
        <v>0</v>
      </c>
      <c r="F40" s="361"/>
      <c r="G40" s="542"/>
      <c r="H40" s="820">
        <f>D40*E40</f>
        <v>0</v>
      </c>
      <c r="I40" s="542"/>
      <c r="J40" s="542"/>
      <c r="K40" s="764">
        <f>SUM(F40:J40)</f>
        <v>0</v>
      </c>
      <c r="L40" s="2681" t="s">
        <v>1129</v>
      </c>
      <c r="M40" s="2682"/>
    </row>
    <row r="41" spans="1:13" ht="24.9" customHeight="1">
      <c r="A41" s="818">
        <v>30.9</v>
      </c>
      <c r="B41" s="2719" t="s">
        <v>1144</v>
      </c>
      <c r="C41" s="2720"/>
      <c r="D41" s="830"/>
      <c r="E41" s="830"/>
      <c r="F41" s="830"/>
      <c r="G41" s="830"/>
      <c r="H41" s="830"/>
      <c r="I41" s="830"/>
      <c r="J41" s="830"/>
      <c r="K41" s="830"/>
      <c r="L41" s="830"/>
      <c r="M41" s="831"/>
    </row>
    <row r="42" spans="1:13" ht="27.6">
      <c r="A42" s="2692"/>
      <c r="B42" s="821">
        <f>B12</f>
        <v>0</v>
      </c>
      <c r="C42" s="448" t="s">
        <v>1143</v>
      </c>
      <c r="D42" s="988">
        <v>0</v>
      </c>
      <c r="E42" s="989">
        <v>0</v>
      </c>
      <c r="F42" s="815">
        <f>D42*E42</f>
        <v>0</v>
      </c>
      <c r="G42" s="542"/>
      <c r="H42" s="542"/>
      <c r="I42" s="542"/>
      <c r="J42" s="542"/>
      <c r="K42" s="764">
        <f>SUM(F42:J42)</f>
        <v>0</v>
      </c>
      <c r="L42" s="2681" t="s">
        <v>1127</v>
      </c>
      <c r="M42" s="2682"/>
    </row>
    <row r="43" spans="1:13" ht="27.6">
      <c r="A43" s="2692"/>
      <c r="B43" s="822"/>
      <c r="C43" s="816" t="s">
        <v>1143</v>
      </c>
      <c r="D43" s="817">
        <f>D42</f>
        <v>0</v>
      </c>
      <c r="E43" s="989">
        <v>0</v>
      </c>
      <c r="F43" s="361"/>
      <c r="G43" s="820">
        <f>D43*E43</f>
        <v>0</v>
      </c>
      <c r="H43" s="542"/>
      <c r="I43" s="542"/>
      <c r="J43" s="542"/>
      <c r="K43" s="764">
        <f>SUM(F43:J43)</f>
        <v>0</v>
      </c>
      <c r="L43" s="2681" t="s">
        <v>1128</v>
      </c>
      <c r="M43" s="2682"/>
    </row>
    <row r="44" spans="1:13" ht="27.6">
      <c r="A44" s="2692"/>
      <c r="B44" s="822"/>
      <c r="C44" s="816" t="s">
        <v>1143</v>
      </c>
      <c r="D44" s="817">
        <f>D42</f>
        <v>0</v>
      </c>
      <c r="E44" s="989">
        <v>0</v>
      </c>
      <c r="F44" s="361"/>
      <c r="G44" s="542"/>
      <c r="H44" s="820">
        <f>D44*E44</f>
        <v>0</v>
      </c>
      <c r="I44" s="542"/>
      <c r="J44" s="542"/>
      <c r="K44" s="764">
        <f>SUM(F44:J44)</f>
        <v>0</v>
      </c>
      <c r="L44" s="2681" t="s">
        <v>1129</v>
      </c>
      <c r="M44" s="2682"/>
    </row>
    <row r="45" spans="1:13" ht="24.9" customHeight="1">
      <c r="A45" s="825">
        <v>30.1</v>
      </c>
      <c r="B45" s="2719" t="s">
        <v>1145</v>
      </c>
      <c r="C45" s="2720"/>
      <c r="D45" s="830"/>
      <c r="E45" s="830"/>
      <c r="F45" s="830"/>
      <c r="G45" s="830"/>
      <c r="H45" s="830"/>
      <c r="I45" s="830"/>
      <c r="J45" s="830"/>
      <c r="K45" s="830"/>
      <c r="L45" s="830"/>
      <c r="M45" s="831"/>
    </row>
    <row r="46" spans="1:13" ht="27.6">
      <c r="A46" s="2692"/>
      <c r="B46" s="821">
        <f>B12</f>
        <v>0</v>
      </c>
      <c r="C46" s="448" t="s">
        <v>1143</v>
      </c>
      <c r="D46" s="988">
        <v>0</v>
      </c>
      <c r="E46" s="989">
        <v>0</v>
      </c>
      <c r="F46" s="815">
        <f>D46*E46</f>
        <v>0</v>
      </c>
      <c r="G46" s="542"/>
      <c r="H46" s="542"/>
      <c r="I46" s="542"/>
      <c r="J46" s="542"/>
      <c r="K46" s="764">
        <f>SUM(F46:J46)</f>
        <v>0</v>
      </c>
      <c r="L46" s="2681" t="s">
        <v>1127</v>
      </c>
      <c r="M46" s="2682"/>
    </row>
    <row r="47" spans="1:13" ht="27.6">
      <c r="A47" s="2692"/>
      <c r="B47" s="822"/>
      <c r="C47" s="816" t="s">
        <v>1143</v>
      </c>
      <c r="D47" s="817">
        <f>D46</f>
        <v>0</v>
      </c>
      <c r="E47" s="989">
        <v>0</v>
      </c>
      <c r="F47" s="361"/>
      <c r="G47" s="820">
        <f>D47*E47</f>
        <v>0</v>
      </c>
      <c r="H47" s="542"/>
      <c r="I47" s="542"/>
      <c r="J47" s="542"/>
      <c r="K47" s="764">
        <f>SUM(F47:J47)</f>
        <v>0</v>
      </c>
      <c r="L47" s="2681" t="s">
        <v>1128</v>
      </c>
      <c r="M47" s="2682"/>
    </row>
    <row r="48" spans="1:13" ht="27.6">
      <c r="A48" s="2692"/>
      <c r="B48" s="822"/>
      <c r="C48" s="816" t="s">
        <v>1143</v>
      </c>
      <c r="D48" s="817">
        <f>D46</f>
        <v>0</v>
      </c>
      <c r="E48" s="989">
        <v>0</v>
      </c>
      <c r="F48" s="361"/>
      <c r="G48" s="542"/>
      <c r="H48" s="820">
        <f>D48*E48</f>
        <v>0</v>
      </c>
      <c r="I48" s="542"/>
      <c r="J48" s="542"/>
      <c r="K48" s="764">
        <f>SUM(F48:J48)</f>
        <v>0</v>
      </c>
      <c r="L48" s="2681" t="s">
        <v>1129</v>
      </c>
      <c r="M48" s="2682"/>
    </row>
    <row r="49" spans="1:13" ht="24.9" customHeight="1">
      <c r="A49" s="825">
        <v>30.11</v>
      </c>
      <c r="B49" s="2719" t="s">
        <v>1146</v>
      </c>
      <c r="C49" s="2720"/>
      <c r="D49" s="830"/>
      <c r="E49" s="830"/>
      <c r="F49" s="830"/>
      <c r="G49" s="830"/>
      <c r="H49" s="830"/>
      <c r="I49" s="830"/>
      <c r="J49" s="830"/>
      <c r="K49" s="830"/>
      <c r="L49" s="830"/>
      <c r="M49" s="831"/>
    </row>
    <row r="50" spans="1:13" ht="27.6">
      <c r="A50" s="2692"/>
      <c r="B50" s="821">
        <f>B12</f>
        <v>0</v>
      </c>
      <c r="C50" s="448" t="s">
        <v>1143</v>
      </c>
      <c r="D50" s="988">
        <v>0</v>
      </c>
      <c r="E50" s="989">
        <v>0</v>
      </c>
      <c r="F50" s="815">
        <f>D50*E50</f>
        <v>0</v>
      </c>
      <c r="G50" s="542"/>
      <c r="H50" s="542"/>
      <c r="I50" s="542"/>
      <c r="J50" s="542"/>
      <c r="K50" s="764">
        <f>SUM(F50:J50)</f>
        <v>0</v>
      </c>
      <c r="L50" s="2681" t="s">
        <v>1127</v>
      </c>
      <c r="M50" s="2682"/>
    </row>
    <row r="51" spans="1:13" ht="27.6">
      <c r="A51" s="2692"/>
      <c r="B51" s="822"/>
      <c r="C51" s="816" t="s">
        <v>1143</v>
      </c>
      <c r="D51" s="817">
        <f>D50</f>
        <v>0</v>
      </c>
      <c r="E51" s="989">
        <v>0</v>
      </c>
      <c r="F51" s="361"/>
      <c r="G51" s="820">
        <f>D51*E51</f>
        <v>0</v>
      </c>
      <c r="H51" s="542"/>
      <c r="I51" s="542"/>
      <c r="J51" s="542"/>
      <c r="K51" s="764">
        <f>SUM(F51:J51)</f>
        <v>0</v>
      </c>
      <c r="L51" s="2681" t="s">
        <v>1128</v>
      </c>
      <c r="M51" s="2682"/>
    </row>
    <row r="52" spans="1:13" ht="27.6">
      <c r="A52" s="2692"/>
      <c r="B52" s="822"/>
      <c r="C52" s="816" t="s">
        <v>1143</v>
      </c>
      <c r="D52" s="817">
        <f>D50</f>
        <v>0</v>
      </c>
      <c r="E52" s="989">
        <v>0</v>
      </c>
      <c r="F52" s="361"/>
      <c r="G52" s="542"/>
      <c r="H52" s="820">
        <f>D52*E52</f>
        <v>0</v>
      </c>
      <c r="I52" s="542"/>
      <c r="J52" s="542"/>
      <c r="K52" s="764">
        <f>SUM(F52:J52)</f>
        <v>0</v>
      </c>
      <c r="L52" s="2681" t="s">
        <v>1129</v>
      </c>
      <c r="M52" s="2682"/>
    </row>
    <row r="53" spans="1:13" ht="24.9" customHeight="1">
      <c r="A53" s="825">
        <v>30.12</v>
      </c>
      <c r="B53" s="2719" t="s">
        <v>1147</v>
      </c>
      <c r="C53" s="2720"/>
      <c r="D53" s="830"/>
      <c r="E53" s="830"/>
      <c r="F53" s="830"/>
      <c r="G53" s="830"/>
      <c r="H53" s="830"/>
      <c r="I53" s="830"/>
      <c r="J53" s="830"/>
      <c r="K53" s="830"/>
      <c r="L53" s="830"/>
      <c r="M53" s="831"/>
    </row>
    <row r="54" spans="1:13" ht="27.6">
      <c r="A54" s="2692"/>
      <c r="B54" s="821">
        <f>B12</f>
        <v>0</v>
      </c>
      <c r="C54" s="448" t="s">
        <v>1143</v>
      </c>
      <c r="D54" s="988">
        <v>0</v>
      </c>
      <c r="E54" s="989">
        <v>0</v>
      </c>
      <c r="F54" s="815">
        <f>D54*E54</f>
        <v>0</v>
      </c>
      <c r="G54" s="542"/>
      <c r="H54" s="542"/>
      <c r="I54" s="542"/>
      <c r="J54" s="542"/>
      <c r="K54" s="764">
        <f>SUM(F54:J54)</f>
        <v>0</v>
      </c>
      <c r="L54" s="2681" t="s">
        <v>1127</v>
      </c>
      <c r="M54" s="2682"/>
    </row>
    <row r="55" spans="1:13" ht="27.6">
      <c r="A55" s="2692"/>
      <c r="B55" s="822"/>
      <c r="C55" s="816" t="s">
        <v>1143</v>
      </c>
      <c r="D55" s="817">
        <f>D54</f>
        <v>0</v>
      </c>
      <c r="E55" s="989">
        <v>0</v>
      </c>
      <c r="F55" s="361"/>
      <c r="G55" s="820">
        <f>D55*E55</f>
        <v>0</v>
      </c>
      <c r="H55" s="542"/>
      <c r="I55" s="542"/>
      <c r="J55" s="542"/>
      <c r="K55" s="764">
        <f>SUM(F55:J55)</f>
        <v>0</v>
      </c>
      <c r="L55" s="2681" t="s">
        <v>1128</v>
      </c>
      <c r="M55" s="2682"/>
    </row>
    <row r="56" spans="1:13" ht="27.6">
      <c r="A56" s="2692"/>
      <c r="B56" s="822"/>
      <c r="C56" s="816" t="s">
        <v>1143</v>
      </c>
      <c r="D56" s="817">
        <f>D54</f>
        <v>0</v>
      </c>
      <c r="E56" s="989">
        <v>0</v>
      </c>
      <c r="F56" s="361"/>
      <c r="G56" s="542"/>
      <c r="H56" s="820">
        <f>D56*E56</f>
        <v>0</v>
      </c>
      <c r="I56" s="542"/>
      <c r="J56" s="542"/>
      <c r="K56" s="764">
        <f>SUM(F56:J56)</f>
        <v>0</v>
      </c>
      <c r="L56" s="2681" t="s">
        <v>1129</v>
      </c>
      <c r="M56" s="2682"/>
    </row>
    <row r="57" spans="1:13" ht="24.9" customHeight="1">
      <c r="A57" s="825">
        <v>30.13</v>
      </c>
      <c r="B57" s="2719" t="s">
        <v>425</v>
      </c>
      <c r="C57" s="2720"/>
      <c r="D57" s="830"/>
      <c r="E57" s="830"/>
      <c r="F57" s="830"/>
      <c r="G57" s="830"/>
      <c r="H57" s="830"/>
      <c r="I57" s="830"/>
      <c r="J57" s="830"/>
      <c r="K57" s="830"/>
      <c r="L57" s="830"/>
      <c r="M57" s="831"/>
    </row>
    <row r="58" spans="1:13" ht="27.6">
      <c r="A58" s="2692"/>
      <c r="B58" s="821">
        <f>B12</f>
        <v>0</v>
      </c>
      <c r="C58" s="448" t="s">
        <v>1143</v>
      </c>
      <c r="D58" s="988">
        <v>0</v>
      </c>
      <c r="E58" s="989">
        <v>0</v>
      </c>
      <c r="F58" s="815">
        <f>D58*E58</f>
        <v>0</v>
      </c>
      <c r="G58" s="542"/>
      <c r="H58" s="542"/>
      <c r="I58" s="542"/>
      <c r="J58" s="542"/>
      <c r="K58" s="764">
        <f>SUM(F58:J58)</f>
        <v>0</v>
      </c>
      <c r="L58" s="2681" t="s">
        <v>1127</v>
      </c>
      <c r="M58" s="2682"/>
    </row>
    <row r="59" spans="1:13" ht="27.6">
      <c r="A59" s="2693"/>
      <c r="B59" s="822"/>
      <c r="C59" s="816" t="s">
        <v>1143</v>
      </c>
      <c r="D59" s="817">
        <f>D58</f>
        <v>0</v>
      </c>
      <c r="E59" s="989">
        <v>0</v>
      </c>
      <c r="F59" s="361"/>
      <c r="G59" s="820">
        <f>D59*E59</f>
        <v>0</v>
      </c>
      <c r="H59" s="542"/>
      <c r="I59" s="542"/>
      <c r="J59" s="542"/>
      <c r="K59" s="764">
        <f>SUM(F59:J59)</f>
        <v>0</v>
      </c>
      <c r="L59" s="2681" t="s">
        <v>1128</v>
      </c>
      <c r="M59" s="2682"/>
    </row>
    <row r="60" spans="1:13" ht="27.6">
      <c r="A60" s="2693"/>
      <c r="B60" s="822"/>
      <c r="C60" s="816" t="s">
        <v>1143</v>
      </c>
      <c r="D60" s="817">
        <f>D58</f>
        <v>0</v>
      </c>
      <c r="E60" s="989">
        <v>0</v>
      </c>
      <c r="F60" s="361"/>
      <c r="G60" s="542"/>
      <c r="H60" s="820">
        <f>D60*E60</f>
        <v>0</v>
      </c>
      <c r="I60" s="542"/>
      <c r="J60" s="542"/>
      <c r="K60" s="764">
        <f>SUM(F60:J60)</f>
        <v>0</v>
      </c>
      <c r="L60" s="2681" t="s">
        <v>1129</v>
      </c>
      <c r="M60" s="2682"/>
    </row>
    <row r="61" spans="1:13" ht="24.9" customHeight="1">
      <c r="A61" s="825">
        <v>30.14</v>
      </c>
      <c r="B61" s="2686" t="s">
        <v>669</v>
      </c>
      <c r="C61" s="2686"/>
      <c r="D61" s="2686"/>
      <c r="E61" s="2686"/>
      <c r="F61" s="2686"/>
      <c r="G61" s="2686"/>
      <c r="H61" s="2686"/>
      <c r="I61" s="2686"/>
      <c r="J61" s="2686"/>
      <c r="K61" s="2686"/>
      <c r="L61" s="2686"/>
      <c r="M61" s="2687"/>
    </row>
    <row r="62" spans="1:13" ht="24.9" customHeight="1">
      <c r="A62" s="2692"/>
      <c r="B62" s="555" t="s">
        <v>1148</v>
      </c>
      <c r="C62" s="448" t="s">
        <v>85</v>
      </c>
      <c r="D62" s="962">
        <v>0</v>
      </c>
      <c r="E62" s="962">
        <v>0</v>
      </c>
      <c r="F62" s="826">
        <f>D62*E62</f>
        <v>0</v>
      </c>
      <c r="G62" s="542"/>
      <c r="H62" s="542"/>
      <c r="I62" s="542"/>
      <c r="J62" s="542"/>
      <c r="K62" s="764">
        <f>SUM(F62:J62)</f>
        <v>0</v>
      </c>
      <c r="L62" s="2681" t="s">
        <v>1127</v>
      </c>
      <c r="M62" s="2682"/>
    </row>
    <row r="63" spans="1:13" ht="24.9" customHeight="1">
      <c r="A63" s="2692"/>
      <c r="B63" s="555"/>
      <c r="C63" s="448" t="s">
        <v>85</v>
      </c>
      <c r="D63" s="962">
        <v>0</v>
      </c>
      <c r="E63" s="962">
        <v>0</v>
      </c>
      <c r="F63" s="542"/>
      <c r="G63" s="826">
        <f>D63*E63</f>
        <v>0</v>
      </c>
      <c r="H63" s="542"/>
      <c r="I63" s="542"/>
      <c r="J63" s="542"/>
      <c r="K63" s="764">
        <f>SUM(F63:J63)</f>
        <v>0</v>
      </c>
      <c r="L63" s="2681" t="s">
        <v>1128</v>
      </c>
      <c r="M63" s="2682"/>
    </row>
    <row r="64" spans="1:13" ht="24.9" customHeight="1">
      <c r="A64" s="2692"/>
      <c r="B64" s="555"/>
      <c r="C64" s="448" t="s">
        <v>85</v>
      </c>
      <c r="D64" s="962">
        <v>0</v>
      </c>
      <c r="E64" s="962">
        <v>0</v>
      </c>
      <c r="F64" s="542"/>
      <c r="G64" s="542"/>
      <c r="H64" s="826">
        <f>D64*E64</f>
        <v>0</v>
      </c>
      <c r="I64" s="542"/>
      <c r="J64" s="542"/>
      <c r="K64" s="764">
        <f>SUM(F64:J64)</f>
        <v>0</v>
      </c>
      <c r="L64" s="2681" t="s">
        <v>1149</v>
      </c>
      <c r="M64" s="2682"/>
    </row>
    <row r="65" spans="1:13" ht="24.9" customHeight="1">
      <c r="A65" s="2692"/>
      <c r="B65" s="555"/>
      <c r="C65" s="448" t="s">
        <v>85</v>
      </c>
      <c r="D65" s="962">
        <v>0</v>
      </c>
      <c r="E65" s="962">
        <v>0</v>
      </c>
      <c r="F65" s="542"/>
      <c r="G65" s="542"/>
      <c r="H65" s="542"/>
      <c r="I65" s="826">
        <f>D65*E65</f>
        <v>0</v>
      </c>
      <c r="J65" s="542"/>
      <c r="K65" s="764">
        <f>SUM(F65:J65)</f>
        <v>0</v>
      </c>
      <c r="L65" s="2681" t="s">
        <v>1133</v>
      </c>
      <c r="M65" s="2682"/>
    </row>
    <row r="66" spans="1:13" ht="24.9" customHeight="1">
      <c r="A66" s="2692"/>
      <c r="B66" s="555"/>
      <c r="C66" s="448" t="s">
        <v>85</v>
      </c>
      <c r="D66" s="962">
        <v>0</v>
      </c>
      <c r="E66" s="962">
        <v>0</v>
      </c>
      <c r="F66" s="542"/>
      <c r="G66" s="542"/>
      <c r="H66" s="542"/>
      <c r="I66" s="542"/>
      <c r="J66" s="826">
        <f>D66*E66</f>
        <v>0</v>
      </c>
      <c r="K66" s="764">
        <f>SUM(F66:J66)</f>
        <v>0</v>
      </c>
      <c r="L66" s="2681" t="s">
        <v>1134</v>
      </c>
      <c r="M66" s="2682"/>
    </row>
    <row r="67" spans="1:13" ht="20.100000000000001" customHeight="1">
      <c r="A67" s="2688"/>
      <c r="B67" s="2689"/>
      <c r="C67" s="836"/>
      <c r="D67" s="2690" t="s">
        <v>1422</v>
      </c>
      <c r="E67" s="2690"/>
      <c r="F67" s="2690"/>
      <c r="G67" s="2690"/>
      <c r="H67" s="2690"/>
      <c r="I67" s="2691"/>
      <c r="J67" s="2691"/>
      <c r="K67" s="832">
        <f>SUM(K12:K14,K16:K18,K20:K21,K23:K24,K26:K28,K30:K32,K34:K36,K38:K40,K42:K44,K46:K48,K50:K52,K54:K56,K58:K60,K62:K66)</f>
        <v>0</v>
      </c>
      <c r="L67" s="2684"/>
      <c r="M67" s="2685"/>
    </row>
    <row r="68" spans="1:13" ht="24.9" customHeight="1">
      <c r="A68" s="825">
        <v>30.15</v>
      </c>
      <c r="B68" s="2686" t="s">
        <v>133</v>
      </c>
      <c r="C68" s="2686"/>
      <c r="D68" s="2686"/>
      <c r="E68" s="2686"/>
      <c r="F68" s="2686"/>
      <c r="G68" s="2686"/>
      <c r="H68" s="2686"/>
      <c r="I68" s="2686"/>
      <c r="J68" s="2686"/>
      <c r="K68" s="2686"/>
      <c r="L68" s="2686"/>
      <c r="M68" s="2687"/>
    </row>
    <row r="69" spans="1:13" ht="24.9" customHeight="1">
      <c r="A69" s="2692"/>
      <c r="B69" s="555"/>
      <c r="C69" s="448" t="s">
        <v>85</v>
      </c>
      <c r="D69" s="962">
        <v>0</v>
      </c>
      <c r="E69" s="555"/>
      <c r="F69" s="992">
        <v>0</v>
      </c>
      <c r="G69" s="555"/>
      <c r="H69" s="555"/>
      <c r="I69" s="555"/>
      <c r="J69" s="555"/>
      <c r="K69" s="764">
        <f>D69*F69</f>
        <v>0</v>
      </c>
      <c r="L69" s="2681"/>
      <c r="M69" s="2682"/>
    </row>
    <row r="70" spans="1:13" ht="24.9" customHeight="1">
      <c r="A70" s="2692"/>
      <c r="C70" s="448" t="s">
        <v>85</v>
      </c>
      <c r="D70" s="962">
        <v>0</v>
      </c>
      <c r="E70" s="555"/>
      <c r="F70" s="555"/>
      <c r="G70" s="992">
        <v>0</v>
      </c>
      <c r="H70" s="555"/>
      <c r="I70" s="555"/>
      <c r="J70" s="555"/>
      <c r="K70" s="764">
        <f>D70*G70</f>
        <v>0</v>
      </c>
      <c r="L70" s="2681"/>
      <c r="M70" s="2682"/>
    </row>
    <row r="71" spans="1:13" ht="24.9" customHeight="1">
      <c r="A71" s="2693"/>
      <c r="B71" s="555"/>
      <c r="C71" s="448"/>
      <c r="D71" s="542"/>
      <c r="E71" s="555"/>
      <c r="F71" s="555"/>
      <c r="G71" s="555"/>
      <c r="H71" s="555"/>
      <c r="I71" s="555"/>
      <c r="J71" s="555"/>
      <c r="K71" s="764"/>
      <c r="L71" s="2681"/>
      <c r="M71" s="2682"/>
    </row>
    <row r="72" spans="1:13" ht="24.9" customHeight="1">
      <c r="A72" s="825">
        <v>30.16</v>
      </c>
      <c r="B72" s="2686" t="s">
        <v>82</v>
      </c>
      <c r="C72" s="2686"/>
      <c r="D72" s="2686"/>
      <c r="E72" s="2686"/>
      <c r="F72" s="2686"/>
      <c r="G72" s="2686"/>
      <c r="H72" s="2686"/>
      <c r="I72" s="2686"/>
      <c r="J72" s="2686"/>
      <c r="K72" s="2686"/>
      <c r="L72" s="2686"/>
      <c r="M72" s="2687"/>
    </row>
    <row r="73" spans="1:13" ht="24.9" customHeight="1">
      <c r="A73" s="828"/>
      <c r="B73" s="555"/>
      <c r="C73" s="448" t="s">
        <v>85</v>
      </c>
      <c r="D73" s="221"/>
      <c r="E73" s="555"/>
      <c r="F73" s="827"/>
      <c r="G73" s="555"/>
      <c r="H73" s="555"/>
      <c r="I73" s="555"/>
      <c r="J73" s="555"/>
      <c r="K73" s="764">
        <f>G94</f>
        <v>0</v>
      </c>
      <c r="L73" s="2694" t="s">
        <v>1419</v>
      </c>
      <c r="M73" s="2695"/>
    </row>
    <row r="74" spans="1:13" ht="24.9" customHeight="1">
      <c r="A74" s="828"/>
      <c r="B74" s="555"/>
      <c r="C74" s="448"/>
      <c r="D74" s="542"/>
      <c r="E74" s="555"/>
      <c r="F74" s="555"/>
      <c r="G74" s="555"/>
      <c r="H74" s="555"/>
      <c r="I74" s="555"/>
      <c r="J74" s="555"/>
      <c r="K74" s="764"/>
      <c r="L74" s="2681"/>
      <c r="M74" s="2682"/>
    </row>
    <row r="75" spans="1:13" ht="24.9" customHeight="1">
      <c r="A75" s="825">
        <v>30.17</v>
      </c>
      <c r="B75" s="2686" t="s">
        <v>1150</v>
      </c>
      <c r="C75" s="2686"/>
      <c r="D75" s="2686"/>
      <c r="E75" s="2686"/>
      <c r="F75" s="2686"/>
      <c r="G75" s="2686"/>
      <c r="H75" s="2686"/>
      <c r="I75" s="2686"/>
      <c r="J75" s="2686"/>
      <c r="K75" s="2686"/>
      <c r="L75" s="2686"/>
      <c r="M75" s="2687"/>
    </row>
    <row r="76" spans="1:13" ht="24.9" customHeight="1">
      <c r="A76" s="2692"/>
      <c r="B76" s="555"/>
      <c r="C76" s="448" t="s">
        <v>85</v>
      </c>
      <c r="D76" s="965">
        <v>0</v>
      </c>
      <c r="E76" s="555"/>
      <c r="F76" s="555"/>
      <c r="G76" s="555"/>
      <c r="H76" s="555"/>
      <c r="I76" s="555"/>
      <c r="J76" s="555"/>
      <c r="K76" s="837">
        <f>ROUND(D76*K67,0)</f>
        <v>0</v>
      </c>
      <c r="L76" s="2681"/>
      <c r="M76" s="2682"/>
    </row>
    <row r="77" spans="1:13" ht="24.9" customHeight="1">
      <c r="A77" s="2692"/>
      <c r="B77" s="555"/>
      <c r="C77" s="448"/>
      <c r="D77" s="542"/>
      <c r="E77" s="555"/>
      <c r="F77" s="555"/>
      <c r="G77" s="555"/>
      <c r="H77" s="555"/>
      <c r="I77" s="555"/>
      <c r="J77" s="555"/>
      <c r="K77" s="829"/>
      <c r="L77" s="2681"/>
      <c r="M77" s="2682"/>
    </row>
    <row r="78" spans="1:13" ht="24.9" customHeight="1">
      <c r="A78" s="825">
        <v>30.18</v>
      </c>
      <c r="B78" s="2686" t="s">
        <v>169</v>
      </c>
      <c r="C78" s="2686"/>
      <c r="D78" s="2686"/>
      <c r="E78" s="2686"/>
      <c r="F78" s="2686"/>
      <c r="G78" s="2686"/>
      <c r="H78" s="2686"/>
      <c r="I78" s="2686"/>
      <c r="J78" s="2686"/>
      <c r="K78" s="2686"/>
      <c r="L78" s="2686"/>
      <c r="M78" s="2687"/>
    </row>
    <row r="79" spans="1:13" ht="24.9" customHeight="1">
      <c r="A79" s="2692"/>
      <c r="B79" s="555"/>
      <c r="C79" s="448" t="s">
        <v>85</v>
      </c>
      <c r="D79" s="965">
        <v>0</v>
      </c>
      <c r="E79" s="555"/>
      <c r="F79" s="555"/>
      <c r="G79" s="555"/>
      <c r="H79" s="555"/>
      <c r="I79" s="555"/>
      <c r="J79" s="555"/>
      <c r="K79" s="837">
        <f>ROUND(D79*K67,0)</f>
        <v>0</v>
      </c>
      <c r="L79" s="2681"/>
      <c r="M79" s="2682"/>
    </row>
    <row r="80" spans="1:13" ht="24.9" customHeight="1">
      <c r="A80" s="2692"/>
      <c r="B80" s="555"/>
      <c r="C80" s="448"/>
      <c r="D80" s="542"/>
      <c r="E80" s="555"/>
      <c r="F80" s="555"/>
      <c r="G80" s="555"/>
      <c r="H80" s="555"/>
      <c r="I80" s="555"/>
      <c r="J80" s="555"/>
      <c r="K80" s="829"/>
      <c r="L80" s="2681"/>
      <c r="M80" s="2682"/>
    </row>
    <row r="81" spans="1:13" ht="20.100000000000001" customHeight="1">
      <c r="A81" s="2688"/>
      <c r="B81" s="2689"/>
      <c r="C81" s="836"/>
      <c r="D81" s="2690" t="s">
        <v>1420</v>
      </c>
      <c r="E81" s="2690"/>
      <c r="F81" s="2690"/>
      <c r="G81" s="2690"/>
      <c r="H81" s="2690"/>
      <c r="I81" s="2691"/>
      <c r="J81" s="2691"/>
      <c r="K81" s="832">
        <f>SUM(K69,K70,K73,K76,K79)</f>
        <v>0</v>
      </c>
      <c r="L81" s="2684"/>
      <c r="M81" s="2685"/>
    </row>
    <row r="82" spans="1:13" ht="24.75" customHeight="1">
      <c r="A82" s="825">
        <v>30.19</v>
      </c>
      <c r="B82" s="2686" t="s">
        <v>78</v>
      </c>
      <c r="C82" s="2686"/>
      <c r="D82" s="2686"/>
      <c r="E82" s="2686"/>
      <c r="F82" s="2686"/>
      <c r="G82" s="2686"/>
      <c r="H82" s="2686"/>
      <c r="I82" s="2686"/>
      <c r="J82" s="2686"/>
      <c r="K82" s="2686"/>
      <c r="L82" s="2686"/>
      <c r="M82" s="2687"/>
    </row>
    <row r="83" spans="1:13" ht="24.9" customHeight="1">
      <c r="A83" s="2692"/>
      <c r="B83" s="555"/>
      <c r="C83" s="448" t="s">
        <v>85</v>
      </c>
      <c r="D83" s="965">
        <v>0</v>
      </c>
      <c r="E83" s="555"/>
      <c r="F83" s="555"/>
      <c r="G83" s="555"/>
      <c r="H83" s="555"/>
      <c r="I83" s="555"/>
      <c r="J83" s="555"/>
      <c r="K83" s="837">
        <f>ROUND(D83*K67,0)</f>
        <v>0</v>
      </c>
      <c r="L83" s="2681"/>
      <c r="M83" s="2682"/>
    </row>
    <row r="84" spans="1:13" ht="24.9" customHeight="1">
      <c r="A84" s="2693"/>
      <c r="B84" s="555"/>
      <c r="C84" s="448"/>
      <c r="D84" s="542"/>
      <c r="E84" s="555"/>
      <c r="F84" s="555"/>
      <c r="G84" s="555"/>
      <c r="H84" s="555"/>
      <c r="I84" s="555"/>
      <c r="J84" s="555"/>
      <c r="K84" s="829"/>
      <c r="L84" s="2681"/>
      <c r="M84" s="2682"/>
    </row>
    <row r="85" spans="1:13" ht="20.100000000000001" customHeight="1" thickBot="1">
      <c r="A85" s="2698" t="s">
        <v>1421</v>
      </c>
      <c r="B85" s="2699"/>
      <c r="C85" s="2699"/>
      <c r="D85" s="2699"/>
      <c r="E85" s="2699"/>
      <c r="F85" s="2699"/>
      <c r="G85" s="2699"/>
      <c r="H85" s="2699"/>
      <c r="I85" s="2699"/>
      <c r="J85" s="2699"/>
      <c r="K85" s="833">
        <f>SUM(K67,K81,K83)</f>
        <v>0</v>
      </c>
      <c r="L85" s="2701"/>
      <c r="M85" s="2702"/>
    </row>
    <row r="86" spans="1:13" ht="13.8">
      <c r="A86" s="585"/>
      <c r="B86" s="2700" t="s">
        <v>1151</v>
      </c>
      <c r="C86" s="2700"/>
      <c r="D86" s="2700"/>
      <c r="E86" s="2700"/>
      <c r="F86" s="2700"/>
      <c r="G86" s="2700"/>
      <c r="H86" s="2700"/>
      <c r="I86" s="2700"/>
      <c r="J86" s="2700"/>
      <c r="K86" s="2700"/>
      <c r="L86" s="2700"/>
    </row>
    <row r="87" spans="1:13" ht="14.4" thickBot="1">
      <c r="A87" s="585"/>
      <c r="B87" s="157"/>
      <c r="C87" s="586"/>
      <c r="D87" s="157"/>
      <c r="E87" s="157"/>
      <c r="F87" s="157"/>
      <c r="G87" s="157"/>
      <c r="H87" s="157"/>
      <c r="I87" s="157"/>
      <c r="J87" s="157"/>
      <c r="K87" s="157"/>
      <c r="L87" s="158"/>
    </row>
    <row r="88" spans="1:13" s="268" customFormat="1" ht="36.75" customHeight="1" thickBot="1">
      <c r="A88" s="2389" t="s">
        <v>82</v>
      </c>
      <c r="B88" s="2088"/>
      <c r="C88" s="2088"/>
      <c r="D88" s="279" t="s">
        <v>87</v>
      </c>
      <c r="E88" s="279" t="s">
        <v>101</v>
      </c>
      <c r="F88" s="279" t="s">
        <v>706</v>
      </c>
      <c r="G88" s="279" t="s">
        <v>102</v>
      </c>
      <c r="H88" s="2414" t="s">
        <v>164</v>
      </c>
      <c r="I88" s="2415"/>
      <c r="J88" s="2415"/>
      <c r="K88" s="2416"/>
      <c r="L88" s="279" t="s">
        <v>575</v>
      </c>
      <c r="M88" s="280" t="s">
        <v>576</v>
      </c>
    </row>
    <row r="89" spans="1:13" s="268" customFormat="1" ht="24.9" customHeight="1">
      <c r="A89" s="2696" t="s">
        <v>1152</v>
      </c>
      <c r="B89" s="2696"/>
      <c r="C89" s="2697"/>
      <c r="D89" s="340" t="s">
        <v>141</v>
      </c>
      <c r="E89" s="964">
        <v>0</v>
      </c>
      <c r="F89" s="964">
        <v>0</v>
      </c>
      <c r="G89" s="324">
        <f>F89*E89</f>
        <v>0</v>
      </c>
      <c r="H89" s="2640"/>
      <c r="I89" s="2703"/>
      <c r="J89" s="2703"/>
      <c r="K89" s="2704"/>
      <c r="L89" s="996"/>
      <c r="M89" s="977">
        <v>0</v>
      </c>
    </row>
    <row r="90" spans="1:13" s="268" customFormat="1" ht="24.9" customHeight="1">
      <c r="A90" s="2707" t="s">
        <v>231</v>
      </c>
      <c r="B90" s="2707"/>
      <c r="C90" s="2708"/>
      <c r="D90" s="220" t="s">
        <v>141</v>
      </c>
      <c r="E90" s="962">
        <v>0</v>
      </c>
      <c r="F90" s="962">
        <v>0</v>
      </c>
      <c r="G90" s="219">
        <f>F90*E90</f>
        <v>0</v>
      </c>
      <c r="H90" s="2637"/>
      <c r="I90" s="2709"/>
      <c r="J90" s="2709"/>
      <c r="K90" s="2710"/>
      <c r="L90" s="997"/>
      <c r="M90" s="978">
        <v>0</v>
      </c>
    </row>
    <row r="91" spans="1:13" s="268" customFormat="1" ht="20.100000000000001" customHeight="1" thickBot="1">
      <c r="A91" s="2632" t="s">
        <v>238</v>
      </c>
      <c r="B91" s="2633"/>
      <c r="C91" s="2633"/>
      <c r="D91" s="613"/>
      <c r="E91" s="613"/>
      <c r="F91" s="613"/>
      <c r="G91" s="614">
        <f>SUM(G89:G90)</f>
        <v>0</v>
      </c>
      <c r="H91" s="2706" t="s">
        <v>1415</v>
      </c>
      <c r="I91" s="2706"/>
      <c r="J91" s="2706"/>
      <c r="K91" s="2706"/>
      <c r="L91" s="2706"/>
      <c r="M91" s="689">
        <f>SUM(M89:M90)</f>
        <v>0</v>
      </c>
    </row>
    <row r="92" spans="1:13" s="268" customFormat="1" ht="24.9" customHeight="1" thickTop="1">
      <c r="A92" s="2073" t="s">
        <v>861</v>
      </c>
      <c r="B92" s="2074"/>
      <c r="C92" s="2074"/>
      <c r="D92" s="340" t="s">
        <v>141</v>
      </c>
      <c r="E92" s="964">
        <v>0</v>
      </c>
      <c r="F92" s="964">
        <v>0</v>
      </c>
      <c r="G92" s="324">
        <f>F92*E92</f>
        <v>0</v>
      </c>
      <c r="H92" s="2627" t="s">
        <v>1418</v>
      </c>
      <c r="I92" s="2628"/>
      <c r="J92" s="2628"/>
      <c r="K92" s="2628"/>
      <c r="L92" s="2629"/>
      <c r="M92" s="293" t="s">
        <v>1116</v>
      </c>
    </row>
    <row r="93" spans="1:13" s="268" customFormat="1" ht="24.9" customHeight="1" thickBot="1">
      <c r="A93" s="2596" t="s">
        <v>155</v>
      </c>
      <c r="B93" s="2597"/>
      <c r="C93" s="2597"/>
      <c r="D93" s="343" t="s">
        <v>141</v>
      </c>
      <c r="E93" s="966">
        <v>0</v>
      </c>
      <c r="F93" s="966">
        <v>0</v>
      </c>
      <c r="G93" s="328">
        <f>F93*E93</f>
        <v>0</v>
      </c>
      <c r="H93" s="2603" t="s">
        <v>1418</v>
      </c>
      <c r="I93" s="2603"/>
      <c r="J93" s="2603"/>
      <c r="K93" s="2603"/>
      <c r="L93" s="2603"/>
      <c r="M93" s="294" t="s">
        <v>1116</v>
      </c>
    </row>
    <row r="94" spans="1:13" s="288" customFormat="1" ht="20.100000000000001" customHeight="1" thickTop="1" thickBot="1">
      <c r="A94" s="2630" t="s">
        <v>156</v>
      </c>
      <c r="B94" s="2631"/>
      <c r="C94" s="2631"/>
      <c r="D94" s="540"/>
      <c r="E94" s="540"/>
      <c r="F94" s="540"/>
      <c r="G94" s="608">
        <f>SUM(G91:G93)</f>
        <v>0</v>
      </c>
      <c r="H94" s="2705" t="s">
        <v>1416</v>
      </c>
      <c r="I94" s="2705"/>
      <c r="J94" s="2705"/>
      <c r="K94" s="2705"/>
      <c r="L94" s="2705"/>
      <c r="M94" s="332">
        <f>M91</f>
        <v>0</v>
      </c>
    </row>
    <row r="95" spans="1:13" s="268" customFormat="1" ht="15.6">
      <c r="A95" s="289"/>
      <c r="D95" s="290"/>
      <c r="E95" s="290"/>
      <c r="F95" s="290"/>
      <c r="G95" s="346" t="s">
        <v>1153</v>
      </c>
      <c r="L95" s="389" t="s">
        <v>1405</v>
      </c>
    </row>
    <row r="97" spans="1:1" s="3" customFormat="1" ht="13.8">
      <c r="A97" s="617" t="s">
        <v>1417</v>
      </c>
    </row>
  </sheetData>
  <mergeCells count="131">
    <mergeCell ref="B19:C19"/>
    <mergeCell ref="A20:A21"/>
    <mergeCell ref="B22:C22"/>
    <mergeCell ref="L20:M20"/>
    <mergeCell ref="L21:M21"/>
    <mergeCell ref="A12:A14"/>
    <mergeCell ref="B15:C15"/>
    <mergeCell ref="A16:A18"/>
    <mergeCell ref="B11:C11"/>
    <mergeCell ref="L12:M12"/>
    <mergeCell ref="L13:M13"/>
    <mergeCell ref="L14:M14"/>
    <mergeCell ref="L16:M16"/>
    <mergeCell ref="L17:M17"/>
    <mergeCell ref="L18:M18"/>
    <mergeCell ref="B29:C29"/>
    <mergeCell ref="A30:A32"/>
    <mergeCell ref="B33:C33"/>
    <mergeCell ref="L30:M30"/>
    <mergeCell ref="L31:M31"/>
    <mergeCell ref="L32:M32"/>
    <mergeCell ref="A23:A24"/>
    <mergeCell ref="F24:H24"/>
    <mergeCell ref="B25:C25"/>
    <mergeCell ref="A26:A28"/>
    <mergeCell ref="L23:M23"/>
    <mergeCell ref="L24:M24"/>
    <mergeCell ref="L26:M26"/>
    <mergeCell ref="L27:M27"/>
    <mergeCell ref="L28:M28"/>
    <mergeCell ref="A38:A40"/>
    <mergeCell ref="B41:C41"/>
    <mergeCell ref="A42:A44"/>
    <mergeCell ref="A34:A36"/>
    <mergeCell ref="B37:C37"/>
    <mergeCell ref="L34:M34"/>
    <mergeCell ref="L35:M35"/>
    <mergeCell ref="L36:M36"/>
    <mergeCell ref="L38:M38"/>
    <mergeCell ref="L39:M39"/>
    <mergeCell ref="L40:M40"/>
    <mergeCell ref="L42:M42"/>
    <mergeCell ref="L43:M43"/>
    <mergeCell ref="L44:M44"/>
    <mergeCell ref="B57:C57"/>
    <mergeCell ref="A58:A60"/>
    <mergeCell ref="A62:A66"/>
    <mergeCell ref="A50:A52"/>
    <mergeCell ref="B53:C53"/>
    <mergeCell ref="A54:A56"/>
    <mergeCell ref="B45:C45"/>
    <mergeCell ref="A46:A48"/>
    <mergeCell ref="B49:C49"/>
    <mergeCell ref="A4:B4"/>
    <mergeCell ref="C4:I4"/>
    <mergeCell ref="A5:B5"/>
    <mergeCell ref="C5:I5"/>
    <mergeCell ref="A6:B6"/>
    <mergeCell ref="C6:I6"/>
    <mergeCell ref="L9:M10"/>
    <mergeCell ref="J4:M4"/>
    <mergeCell ref="A9:A10"/>
    <mergeCell ref="E9:E10"/>
    <mergeCell ref="D9:D10"/>
    <mergeCell ref="C9:C10"/>
    <mergeCell ref="B9:B10"/>
    <mergeCell ref="K9:K10"/>
    <mergeCell ref="J6:M6"/>
    <mergeCell ref="J5:M5"/>
    <mergeCell ref="H94:L94"/>
    <mergeCell ref="H93:L93"/>
    <mergeCell ref="H92:L92"/>
    <mergeCell ref="H91:L91"/>
    <mergeCell ref="A94:C94"/>
    <mergeCell ref="A93:C93"/>
    <mergeCell ref="A92:C92"/>
    <mergeCell ref="A91:C91"/>
    <mergeCell ref="A90:C90"/>
    <mergeCell ref="H90:K90"/>
    <mergeCell ref="L77:M77"/>
    <mergeCell ref="B78:M78"/>
    <mergeCell ref="L79:M79"/>
    <mergeCell ref="L80:M80"/>
    <mergeCell ref="L81:M81"/>
    <mergeCell ref="B82:M82"/>
    <mergeCell ref="L83:M83"/>
    <mergeCell ref="A89:C89"/>
    <mergeCell ref="A88:C88"/>
    <mergeCell ref="A83:A84"/>
    <mergeCell ref="A85:J85"/>
    <mergeCell ref="B86:L86"/>
    <mergeCell ref="A79:A80"/>
    <mergeCell ref="A81:B81"/>
    <mergeCell ref="D81:J81"/>
    <mergeCell ref="A76:A77"/>
    <mergeCell ref="L85:M85"/>
    <mergeCell ref="H88:K88"/>
    <mergeCell ref="H89:K89"/>
    <mergeCell ref="L63:M63"/>
    <mergeCell ref="L64:M64"/>
    <mergeCell ref="L65:M65"/>
    <mergeCell ref="L66:M66"/>
    <mergeCell ref="B72:M72"/>
    <mergeCell ref="L73:M73"/>
    <mergeCell ref="L74:M74"/>
    <mergeCell ref="B75:M75"/>
    <mergeCell ref="L76:M76"/>
    <mergeCell ref="L46:M46"/>
    <mergeCell ref="L47:M47"/>
    <mergeCell ref="L84:M84"/>
    <mergeCell ref="F9:J9"/>
    <mergeCell ref="L48:M48"/>
    <mergeCell ref="L50:M50"/>
    <mergeCell ref="L51:M51"/>
    <mergeCell ref="L52:M52"/>
    <mergeCell ref="L54:M54"/>
    <mergeCell ref="L67:M67"/>
    <mergeCell ref="B68:M68"/>
    <mergeCell ref="L69:M69"/>
    <mergeCell ref="L70:M70"/>
    <mergeCell ref="L71:M71"/>
    <mergeCell ref="A67:B67"/>
    <mergeCell ref="D67:J67"/>
    <mergeCell ref="A69:A71"/>
    <mergeCell ref="L55:M55"/>
    <mergeCell ref="L56:M56"/>
    <mergeCell ref="L58:M58"/>
    <mergeCell ref="L59:M59"/>
    <mergeCell ref="L60:M60"/>
    <mergeCell ref="B61:M61"/>
    <mergeCell ref="L62:M62"/>
  </mergeCells>
  <dataValidations disablePrompts="1" count="1">
    <dataValidation type="list" allowBlank="1" showInputMessage="1" showErrorMessage="1" promptTitle="Select From Pull Down" prompt="Choose Range Category" sqref="C16 B12" xr:uid="{00000000-0002-0000-3000-000000000000}">
      <formula1>"2-Lane Roadway,Multi-Lane / Interstate,Urban"</formula1>
    </dataValidation>
  </dataValidations>
  <printOptions horizontalCentered="1"/>
  <pageMargins left="0.5" right="0.5" top="1" bottom="1" header="0.5" footer="0.34"/>
  <pageSetup scale="26" fitToHeight="3" orientation="landscape" r:id="rId1"/>
  <headerFooter alignWithMargins="0">
    <oddHeader>&amp;C&amp;"Arial,Bold"&amp;14&amp;U&amp;A</oddHeader>
    <oddFooter>&amp;L&amp;F
&amp;A&amp;CPage &amp;P of &amp;N&amp;R&amp;D</oddFooter>
  </headerFooter>
  <rowBreaks count="1" manualBreakCount="1">
    <brk id="67"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N55"/>
  <sheetViews>
    <sheetView showGridLines="0" zoomScaleNormal="100" zoomScaleSheetLayoutView="100" workbookViewId="0"/>
  </sheetViews>
  <sheetFormatPr defaultColWidth="9.109375" defaultRowHeight="13.2"/>
  <cols>
    <col min="1" max="1" width="118.33203125" style="574" customWidth="1"/>
    <col min="2" max="2" width="20.5546875" style="566" customWidth="1"/>
    <col min="3" max="16384" width="9.109375" style="566"/>
  </cols>
  <sheetData>
    <row r="1" spans="1:14" s="600" customFormat="1" ht="20.100000000000001" customHeight="1">
      <c r="A1" s="607" t="s">
        <v>1333</v>
      </c>
    </row>
    <row r="2" spans="1:14" s="600" customFormat="1" ht="20.100000000000001" customHeight="1">
      <c r="A2" s="601"/>
      <c r="N2" s="600" t="s">
        <v>400</v>
      </c>
    </row>
    <row r="3" spans="1:14" ht="54" customHeight="1">
      <c r="A3" s="574" t="s">
        <v>1334</v>
      </c>
    </row>
    <row r="5" spans="1:14">
      <c r="A5" s="574" t="s">
        <v>1335</v>
      </c>
    </row>
    <row r="6" spans="1:14">
      <c r="A6" s="570" t="s">
        <v>1336</v>
      </c>
    </row>
    <row r="7" spans="1:14">
      <c r="A7" s="570" t="s">
        <v>1337</v>
      </c>
      <c r="C7" s="570"/>
    </row>
    <row r="8" spans="1:14">
      <c r="A8" s="570" t="s">
        <v>1338</v>
      </c>
      <c r="C8" s="573"/>
    </row>
    <row r="9" spans="1:14">
      <c r="A9" s="570" t="s">
        <v>1339</v>
      </c>
    </row>
    <row r="10" spans="1:14">
      <c r="A10" s="570" t="s">
        <v>1340</v>
      </c>
    </row>
    <row r="11" spans="1:14">
      <c r="A11" s="570" t="s">
        <v>1341</v>
      </c>
    </row>
    <row r="13" spans="1:14">
      <c r="A13" s="574" t="s">
        <v>1342</v>
      </c>
    </row>
    <row r="14" spans="1:14">
      <c r="A14" s="570" t="s">
        <v>1338</v>
      </c>
    </row>
    <row r="15" spans="1:14">
      <c r="A15" s="570" t="s">
        <v>1343</v>
      </c>
    </row>
    <row r="16" spans="1:14">
      <c r="A16" s="570" t="s">
        <v>1344</v>
      </c>
    </row>
    <row r="17" spans="1:1">
      <c r="A17" s="570" t="s">
        <v>1345</v>
      </c>
    </row>
    <row r="18" spans="1:1">
      <c r="A18" s="570" t="s">
        <v>1346</v>
      </c>
    </row>
    <row r="19" spans="1:1">
      <c r="A19" s="570" t="s">
        <v>1347</v>
      </c>
    </row>
    <row r="20" spans="1:1">
      <c r="A20" s="570" t="s">
        <v>1348</v>
      </c>
    </row>
    <row r="21" spans="1:1">
      <c r="A21" s="570" t="s">
        <v>1349</v>
      </c>
    </row>
    <row r="23" spans="1:1" ht="39.6">
      <c r="A23" s="574" t="s">
        <v>1350</v>
      </c>
    </row>
    <row r="25" spans="1:1" ht="26.4">
      <c r="A25" s="574" t="s">
        <v>1351</v>
      </c>
    </row>
    <row r="26" spans="1:1" ht="12.75" customHeight="1">
      <c r="A26" s="573" t="s">
        <v>1352</v>
      </c>
    </row>
    <row r="27" spans="1:1">
      <c r="A27" s="573" t="s">
        <v>1353</v>
      </c>
    </row>
    <row r="28" spans="1:1">
      <c r="A28" s="573" t="s">
        <v>1354</v>
      </c>
    </row>
    <row r="29" spans="1:1">
      <c r="A29" s="573" t="s">
        <v>1355</v>
      </c>
    </row>
    <row r="30" spans="1:1">
      <c r="A30" s="573" t="s">
        <v>1356</v>
      </c>
    </row>
    <row r="31" spans="1:1">
      <c r="A31" s="584" t="s">
        <v>1357</v>
      </c>
    </row>
    <row r="32" spans="1:1">
      <c r="A32" s="573" t="s">
        <v>1358</v>
      </c>
    </row>
    <row r="33" spans="1:1">
      <c r="A33" s="573" t="s">
        <v>1359</v>
      </c>
    </row>
    <row r="34" spans="1:1">
      <c r="A34" s="584" t="s">
        <v>1360</v>
      </c>
    </row>
    <row r="35" spans="1:1">
      <c r="A35" s="584" t="s">
        <v>1361</v>
      </c>
    </row>
    <row r="37" spans="1:1">
      <c r="A37" s="574" t="s">
        <v>1362</v>
      </c>
    </row>
    <row r="39" spans="1:1">
      <c r="A39" s="570" t="s">
        <v>1363</v>
      </c>
    </row>
    <row r="40" spans="1:1">
      <c r="A40" s="584" t="s">
        <v>1364</v>
      </c>
    </row>
    <row r="41" spans="1:1">
      <c r="A41" s="573" t="s">
        <v>1365</v>
      </c>
    </row>
    <row r="42" spans="1:1">
      <c r="A42" s="570" t="s">
        <v>1366</v>
      </c>
    </row>
    <row r="43" spans="1:1" ht="26.4">
      <c r="A43" s="584" t="s">
        <v>1367</v>
      </c>
    </row>
    <row r="44" spans="1:1">
      <c r="A44" s="573"/>
    </row>
    <row r="45" spans="1:1">
      <c r="A45" s="910" t="s">
        <v>1850</v>
      </c>
    </row>
    <row r="46" spans="1:1">
      <c r="A46" s="1095" t="s">
        <v>1851</v>
      </c>
    </row>
    <row r="47" spans="1:1">
      <c r="A47" s="1095"/>
    </row>
    <row r="48" spans="1:1">
      <c r="A48" s="910" t="s">
        <v>1874</v>
      </c>
    </row>
    <row r="49" spans="1:1">
      <c r="A49" s="1095" t="s">
        <v>1368</v>
      </c>
    </row>
    <row r="50" spans="1:1">
      <c r="A50" s="1039"/>
    </row>
    <row r="51" spans="1:1">
      <c r="A51" s="910" t="s">
        <v>1875</v>
      </c>
    </row>
    <row r="52" spans="1:1">
      <c r="A52" s="1095" t="s">
        <v>1369</v>
      </c>
    </row>
    <row r="53" spans="1:1">
      <c r="A53" s="170"/>
    </row>
    <row r="54" spans="1:1">
      <c r="A54" s="910" t="s">
        <v>1876</v>
      </c>
    </row>
    <row r="55" spans="1:1">
      <c r="A55" s="1095" t="s">
        <v>1370</v>
      </c>
    </row>
  </sheetData>
  <pageMargins left="0.5" right="0.5" top="1" bottom="1" header="0.5" footer="0.34"/>
  <pageSetup orientation="landscape" r:id="rId1"/>
  <headerFooter alignWithMargins="0">
    <oddHeader>&amp;C&amp;"Arial,Bold"&amp;14&amp;U&amp;A</oddHeader>
    <oddFooter>&amp;L&amp;F
&amp;A&amp;CPage &amp;P of &amp;N&amp;R&amp;D</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pageSetUpPr autoPageBreaks="0" fitToPage="1"/>
  </sheetPr>
  <dimension ref="A1:M232"/>
  <sheetViews>
    <sheetView showGridLines="0" showRuler="0" zoomScale="85" zoomScaleNormal="85" zoomScaleSheetLayoutView="100" workbookViewId="0"/>
  </sheetViews>
  <sheetFormatPr defaultColWidth="9.109375" defaultRowHeight="13.2"/>
  <cols>
    <col min="1" max="1" width="10" style="4" customWidth="1"/>
    <col min="2" max="2" width="40.6640625" style="4" customWidth="1"/>
    <col min="3" max="3" width="16" style="4" customWidth="1"/>
    <col min="4" max="4" width="12.6640625" style="4" customWidth="1"/>
    <col min="5" max="5" width="13.33203125" style="4" customWidth="1"/>
    <col min="6" max="7" width="12.6640625" style="4" customWidth="1"/>
    <col min="8" max="8" width="12.6640625" style="583" customWidth="1"/>
    <col min="9" max="10" width="12.6640625" style="4" customWidth="1"/>
    <col min="11" max="11" width="52.44140625" style="4" customWidth="1"/>
    <col min="12" max="12" width="23.109375" style="4" customWidth="1"/>
    <col min="13" max="13" width="12.6640625" style="4" customWidth="1"/>
    <col min="14" max="14" width="8.109375" style="4" customWidth="1"/>
    <col min="15" max="15" width="9.5546875" style="4" customWidth="1"/>
    <col min="16" max="16" width="7.44140625" style="4" customWidth="1"/>
    <col min="17" max="16384" width="9.109375" style="4"/>
  </cols>
  <sheetData>
    <row r="1" spans="1:13" s="422" customFormat="1" ht="20.100000000000001" customHeight="1">
      <c r="A1" s="362" t="s">
        <v>592</v>
      </c>
      <c r="M1" s="897" t="str">
        <f>'Project Information'!$B$3</f>
        <v>Enter project name &amp; description</v>
      </c>
    </row>
    <row r="2" spans="1:13" s="422" customFormat="1" ht="20.100000000000001" customHeight="1">
      <c r="A2" s="423"/>
      <c r="M2" s="897" t="str">
        <f>'Project Information'!$B$1</f>
        <v>999999-1-32-01</v>
      </c>
    </row>
    <row r="3" spans="1:13" s="225" customFormat="1" ht="14.4" thickBot="1">
      <c r="A3" s="395"/>
      <c r="B3" s="270"/>
      <c r="C3" s="270"/>
    </row>
    <row r="4" spans="1:13" s="225" customFormat="1" ht="28.5" customHeight="1" thickBot="1">
      <c r="A4" s="2086" t="s">
        <v>1396</v>
      </c>
      <c r="B4" s="2087"/>
      <c r="C4" s="2087"/>
      <c r="D4" s="2088" t="s">
        <v>1397</v>
      </c>
      <c r="E4" s="2088"/>
      <c r="F4" s="2088"/>
      <c r="G4" s="2088"/>
      <c r="H4" s="2088"/>
      <c r="I4" s="2088"/>
      <c r="J4" s="2088" t="s">
        <v>1398</v>
      </c>
      <c r="K4" s="2088"/>
      <c r="L4" s="2088"/>
      <c r="M4" s="2448"/>
    </row>
    <row r="5" spans="1:13" s="225" customFormat="1" ht="28.5" customHeight="1">
      <c r="A5" s="2089" t="s">
        <v>1400</v>
      </c>
      <c r="B5" s="2090"/>
      <c r="C5" s="2090"/>
      <c r="D5" s="2091"/>
      <c r="E5" s="2091"/>
      <c r="F5" s="2091"/>
      <c r="G5" s="2091"/>
      <c r="H5" s="2091"/>
      <c r="I5" s="2091"/>
      <c r="J5" s="2091"/>
      <c r="K5" s="2091"/>
      <c r="L5" s="2091"/>
      <c r="M5" s="2447"/>
    </row>
    <row r="6" spans="1:13" s="225" customFormat="1" ht="28.5" customHeight="1" thickBot="1">
      <c r="A6" s="2083" t="s">
        <v>1399</v>
      </c>
      <c r="B6" s="2084"/>
      <c r="C6" s="2084"/>
      <c r="D6" s="2085"/>
      <c r="E6" s="2085"/>
      <c r="F6" s="2085"/>
      <c r="G6" s="2085"/>
      <c r="H6" s="2085"/>
      <c r="I6" s="2085"/>
      <c r="J6" s="2085"/>
      <c r="K6" s="2085"/>
      <c r="L6" s="2085"/>
      <c r="M6" s="2446"/>
    </row>
    <row r="7" spans="1:13" s="225" customFormat="1" ht="15.6">
      <c r="A7" s="898" t="s">
        <v>1430</v>
      </c>
      <c r="B7" s="270"/>
    </row>
    <row r="8" spans="1:13" s="225" customFormat="1" ht="15" customHeight="1" thickBot="1">
      <c r="A8" s="898"/>
      <c r="B8" s="270"/>
    </row>
    <row r="9" spans="1:13" ht="48" customHeight="1">
      <c r="A9" s="318" t="s">
        <v>79</v>
      </c>
      <c r="B9" s="335" t="s">
        <v>190</v>
      </c>
      <c r="C9" s="335"/>
      <c r="D9" s="266" t="s">
        <v>1431</v>
      </c>
      <c r="E9" s="266" t="s">
        <v>87</v>
      </c>
      <c r="F9" s="266" t="s">
        <v>101</v>
      </c>
      <c r="G9" s="266" t="s">
        <v>706</v>
      </c>
      <c r="H9" s="266" t="s">
        <v>165</v>
      </c>
      <c r="I9" s="266" t="s">
        <v>102</v>
      </c>
      <c r="J9" s="2378" t="s">
        <v>164</v>
      </c>
      <c r="K9" s="2752"/>
      <c r="L9" s="2752"/>
      <c r="M9" s="2753"/>
    </row>
    <row r="10" spans="1:13" ht="20.100000000000001" customHeight="1">
      <c r="A10" s="497"/>
      <c r="B10" s="453" t="s">
        <v>216</v>
      </c>
      <c r="C10" s="498"/>
      <c r="D10" s="498"/>
      <c r="E10" s="498"/>
      <c r="F10" s="498"/>
      <c r="G10" s="498"/>
      <c r="H10" s="498"/>
      <c r="I10" s="498"/>
      <c r="J10" s="2750"/>
      <c r="K10" s="2750"/>
      <c r="L10" s="2750"/>
      <c r="M10" s="2751"/>
    </row>
    <row r="11" spans="1:13" ht="30" customHeight="1">
      <c r="A11" s="838">
        <v>31.1</v>
      </c>
      <c r="B11" s="2744" t="s">
        <v>1537</v>
      </c>
      <c r="C11" s="2744"/>
      <c r="D11" s="840"/>
      <c r="E11" s="840" t="s">
        <v>1070</v>
      </c>
      <c r="F11" s="962">
        <v>0</v>
      </c>
      <c r="G11" s="962">
        <v>0</v>
      </c>
      <c r="H11" s="219">
        <f t="shared" ref="H11:H37" si="0">F11</f>
        <v>0</v>
      </c>
      <c r="I11" s="222">
        <f>ROUND(F11*G11,0)</f>
        <v>0</v>
      </c>
      <c r="J11" s="2745"/>
      <c r="K11" s="2745"/>
      <c r="L11" s="2745"/>
      <c r="M11" s="2746"/>
    </row>
    <row r="12" spans="1:13" ht="30" customHeight="1">
      <c r="A12" s="272">
        <f>A11+0.1</f>
        <v>31.200000000000003</v>
      </c>
      <c r="B12" s="2461" t="s">
        <v>172</v>
      </c>
      <c r="C12" s="2461"/>
      <c r="D12" s="336"/>
      <c r="E12" s="220" t="s">
        <v>100</v>
      </c>
      <c r="F12" s="962">
        <v>0</v>
      </c>
      <c r="G12" s="962">
        <v>0</v>
      </c>
      <c r="H12" s="219">
        <f>F12</f>
        <v>0</v>
      </c>
      <c r="I12" s="222">
        <f>ROUND(F12*G12,0)</f>
        <v>0</v>
      </c>
      <c r="J12" s="2745"/>
      <c r="K12" s="2745"/>
      <c r="L12" s="2745"/>
      <c r="M12" s="2746"/>
    </row>
    <row r="13" spans="1:13" ht="30" customHeight="1">
      <c r="A13" s="272">
        <f t="shared" ref="A13:A19" si="1">A12+0.1</f>
        <v>31.300000000000004</v>
      </c>
      <c r="B13" s="2064" t="s">
        <v>371</v>
      </c>
      <c r="C13" s="2064"/>
      <c r="D13" s="464"/>
      <c r="E13" s="220" t="s">
        <v>100</v>
      </c>
      <c r="F13" s="962">
        <v>0</v>
      </c>
      <c r="G13" s="962">
        <v>0</v>
      </c>
      <c r="H13" s="219">
        <f t="shared" si="0"/>
        <v>0</v>
      </c>
      <c r="I13" s="222">
        <f t="shared" ref="I13:I41" si="2">ROUND(F13*G13,0)</f>
        <v>0</v>
      </c>
      <c r="J13" s="2745"/>
      <c r="K13" s="2745"/>
      <c r="L13" s="2745"/>
      <c r="M13" s="2746"/>
    </row>
    <row r="14" spans="1:13" ht="30" customHeight="1">
      <c r="A14" s="272">
        <f t="shared" si="1"/>
        <v>31.400000000000006</v>
      </c>
      <c r="B14" s="2461" t="s">
        <v>1720</v>
      </c>
      <c r="C14" s="2461"/>
      <c r="D14" s="336"/>
      <c r="E14" s="220" t="s">
        <v>100</v>
      </c>
      <c r="F14" s="962">
        <v>0</v>
      </c>
      <c r="G14" s="962">
        <v>0</v>
      </c>
      <c r="H14" s="219">
        <f t="shared" si="0"/>
        <v>0</v>
      </c>
      <c r="I14" s="222">
        <f t="shared" si="2"/>
        <v>0</v>
      </c>
      <c r="J14" s="2745"/>
      <c r="K14" s="2745"/>
      <c r="L14" s="2745"/>
      <c r="M14" s="2746"/>
    </row>
    <row r="15" spans="1:13" ht="30" customHeight="1">
      <c r="A15" s="272">
        <f t="shared" si="1"/>
        <v>31.500000000000007</v>
      </c>
      <c r="B15" s="2461" t="s">
        <v>1721</v>
      </c>
      <c r="C15" s="2461"/>
      <c r="D15" s="336"/>
      <c r="E15" s="220" t="s">
        <v>100</v>
      </c>
      <c r="F15" s="962">
        <v>0</v>
      </c>
      <c r="G15" s="962">
        <v>0</v>
      </c>
      <c r="H15" s="219">
        <f t="shared" si="0"/>
        <v>0</v>
      </c>
      <c r="I15" s="222">
        <f t="shared" si="2"/>
        <v>0</v>
      </c>
      <c r="J15" s="2745"/>
      <c r="K15" s="2745"/>
      <c r="L15" s="2745"/>
      <c r="M15" s="2746"/>
    </row>
    <row r="16" spans="1:13" ht="30" customHeight="1">
      <c r="A16" s="272">
        <f t="shared" si="1"/>
        <v>31.600000000000009</v>
      </c>
      <c r="B16" s="2461" t="s">
        <v>1722</v>
      </c>
      <c r="C16" s="2461"/>
      <c r="D16" s="336"/>
      <c r="E16" s="220" t="s">
        <v>100</v>
      </c>
      <c r="F16" s="962">
        <v>0</v>
      </c>
      <c r="G16" s="962">
        <v>0</v>
      </c>
      <c r="H16" s="219">
        <f t="shared" si="0"/>
        <v>0</v>
      </c>
      <c r="I16" s="222">
        <f t="shared" si="2"/>
        <v>0</v>
      </c>
      <c r="J16" s="2745"/>
      <c r="K16" s="2745"/>
      <c r="L16" s="2745"/>
      <c r="M16" s="2746"/>
    </row>
    <row r="17" spans="1:13" ht="30" customHeight="1">
      <c r="A17" s="272">
        <f t="shared" si="1"/>
        <v>31.70000000000001</v>
      </c>
      <c r="B17" s="2461" t="s">
        <v>1723</v>
      </c>
      <c r="C17" s="2461"/>
      <c r="D17" s="336"/>
      <c r="E17" s="220" t="s">
        <v>100</v>
      </c>
      <c r="F17" s="962">
        <v>0</v>
      </c>
      <c r="G17" s="962">
        <v>0</v>
      </c>
      <c r="H17" s="219">
        <f t="shared" si="0"/>
        <v>0</v>
      </c>
      <c r="I17" s="222">
        <f t="shared" si="2"/>
        <v>0</v>
      </c>
      <c r="J17" s="2745"/>
      <c r="K17" s="2745"/>
      <c r="L17" s="2745"/>
      <c r="M17" s="2746"/>
    </row>
    <row r="18" spans="1:13" ht="30" customHeight="1">
      <c r="A18" s="272">
        <f t="shared" si="1"/>
        <v>31.800000000000011</v>
      </c>
      <c r="B18" s="2461" t="s">
        <v>1724</v>
      </c>
      <c r="C18" s="2461"/>
      <c r="D18" s="336"/>
      <c r="E18" s="220" t="s">
        <v>100</v>
      </c>
      <c r="F18" s="962">
        <v>0</v>
      </c>
      <c r="G18" s="962">
        <v>0</v>
      </c>
      <c r="H18" s="219">
        <f t="shared" si="0"/>
        <v>0</v>
      </c>
      <c r="I18" s="222">
        <f t="shared" si="2"/>
        <v>0</v>
      </c>
      <c r="J18" s="2745"/>
      <c r="K18" s="2745"/>
      <c r="L18" s="2745"/>
      <c r="M18" s="2746"/>
    </row>
    <row r="19" spans="1:13" ht="30" customHeight="1">
      <c r="A19" s="272">
        <f t="shared" si="1"/>
        <v>31.900000000000013</v>
      </c>
      <c r="B19" s="2461" t="s">
        <v>1725</v>
      </c>
      <c r="C19" s="2461"/>
      <c r="D19" s="336"/>
      <c r="E19" s="220" t="s">
        <v>100</v>
      </c>
      <c r="F19" s="962">
        <v>0</v>
      </c>
      <c r="G19" s="962">
        <v>0</v>
      </c>
      <c r="H19" s="219">
        <f t="shared" si="0"/>
        <v>0</v>
      </c>
      <c r="I19" s="222">
        <f t="shared" si="2"/>
        <v>0</v>
      </c>
      <c r="J19" s="2745"/>
      <c r="K19" s="2745"/>
      <c r="L19" s="2745"/>
      <c r="M19" s="2746"/>
    </row>
    <row r="20" spans="1:13" ht="30" customHeight="1">
      <c r="A20" s="276">
        <v>31.1</v>
      </c>
      <c r="B20" s="2461" t="s">
        <v>173</v>
      </c>
      <c r="C20" s="2461"/>
      <c r="D20" s="336"/>
      <c r="E20" s="220" t="s">
        <v>100</v>
      </c>
      <c r="F20" s="962">
        <v>0</v>
      </c>
      <c r="G20" s="962">
        <v>0</v>
      </c>
      <c r="H20" s="219">
        <f t="shared" si="0"/>
        <v>0</v>
      </c>
      <c r="I20" s="222">
        <f t="shared" si="2"/>
        <v>0</v>
      </c>
      <c r="J20" s="2745"/>
      <c r="K20" s="2745"/>
      <c r="L20" s="2745"/>
      <c r="M20" s="2746"/>
    </row>
    <row r="21" spans="1:13" ht="30" customHeight="1">
      <c r="A21" s="276">
        <f>A20+0.01</f>
        <v>31.110000000000003</v>
      </c>
      <c r="B21" s="2461" t="s">
        <v>1726</v>
      </c>
      <c r="C21" s="2461"/>
      <c r="D21" s="336"/>
      <c r="E21" s="220" t="s">
        <v>100</v>
      </c>
      <c r="F21" s="962">
        <v>0</v>
      </c>
      <c r="G21" s="962">
        <v>0</v>
      </c>
      <c r="H21" s="219">
        <f t="shared" si="0"/>
        <v>0</v>
      </c>
      <c r="I21" s="222">
        <f t="shared" si="2"/>
        <v>0</v>
      </c>
      <c r="J21" s="2745"/>
      <c r="K21" s="2745"/>
      <c r="L21" s="2745"/>
      <c r="M21" s="2746"/>
    </row>
    <row r="22" spans="1:13" ht="30" customHeight="1">
      <c r="A22" s="276">
        <f t="shared" ref="A22:A42" si="3">A21+0.01</f>
        <v>31.120000000000005</v>
      </c>
      <c r="B22" s="2461" t="s">
        <v>1727</v>
      </c>
      <c r="C22" s="2461"/>
      <c r="D22" s="336"/>
      <c r="E22" s="220" t="s">
        <v>100</v>
      </c>
      <c r="F22" s="962">
        <v>0</v>
      </c>
      <c r="G22" s="962">
        <v>0</v>
      </c>
      <c r="H22" s="219">
        <f t="shared" si="0"/>
        <v>0</v>
      </c>
      <c r="I22" s="222">
        <f t="shared" si="2"/>
        <v>0</v>
      </c>
      <c r="J22" s="2745"/>
      <c r="K22" s="2745"/>
      <c r="L22" s="2745"/>
      <c r="M22" s="2746"/>
    </row>
    <row r="23" spans="1:13" ht="30" customHeight="1">
      <c r="A23" s="276">
        <f t="shared" si="3"/>
        <v>31.130000000000006</v>
      </c>
      <c r="B23" s="2461" t="s">
        <v>1728</v>
      </c>
      <c r="C23" s="2461"/>
      <c r="D23" s="336"/>
      <c r="E23" s="220" t="s">
        <v>100</v>
      </c>
      <c r="F23" s="962">
        <v>0</v>
      </c>
      <c r="G23" s="962">
        <v>0</v>
      </c>
      <c r="H23" s="219">
        <f t="shared" si="0"/>
        <v>0</v>
      </c>
      <c r="I23" s="222">
        <f t="shared" si="2"/>
        <v>0</v>
      </c>
      <c r="J23" s="2745"/>
      <c r="K23" s="2745"/>
      <c r="L23" s="2745"/>
      <c r="M23" s="2746"/>
    </row>
    <row r="24" spans="1:13" ht="30" customHeight="1">
      <c r="A24" s="276">
        <f t="shared" si="3"/>
        <v>31.140000000000008</v>
      </c>
      <c r="B24" s="2461" t="s">
        <v>1729</v>
      </c>
      <c r="C24" s="2461"/>
      <c r="D24" s="336"/>
      <c r="E24" s="220" t="s">
        <v>100</v>
      </c>
      <c r="F24" s="962">
        <v>0</v>
      </c>
      <c r="G24" s="962">
        <v>0</v>
      </c>
      <c r="H24" s="219">
        <f t="shared" si="0"/>
        <v>0</v>
      </c>
      <c r="I24" s="222">
        <f t="shared" si="2"/>
        <v>0</v>
      </c>
      <c r="J24" s="2745"/>
      <c r="K24" s="2745"/>
      <c r="L24" s="2745"/>
      <c r="M24" s="2746"/>
    </row>
    <row r="25" spans="1:13" ht="30" customHeight="1">
      <c r="A25" s="276">
        <f t="shared" si="3"/>
        <v>31.150000000000009</v>
      </c>
      <c r="B25" s="2743" t="s">
        <v>1071</v>
      </c>
      <c r="C25" s="2743"/>
      <c r="D25" s="336"/>
      <c r="E25" s="220" t="s">
        <v>100</v>
      </c>
      <c r="F25" s="962">
        <v>0</v>
      </c>
      <c r="G25" s="962">
        <v>0</v>
      </c>
      <c r="H25" s="219">
        <f>F25</f>
        <v>0</v>
      </c>
      <c r="I25" s="222">
        <f>ROUND(F25*G25,0)</f>
        <v>0</v>
      </c>
      <c r="J25" s="2745"/>
      <c r="K25" s="2745"/>
      <c r="L25" s="2745"/>
      <c r="M25" s="2746"/>
    </row>
    <row r="26" spans="1:13" ht="30" customHeight="1">
      <c r="A26" s="276">
        <f t="shared" si="3"/>
        <v>31.160000000000011</v>
      </c>
      <c r="B26" s="2461" t="s">
        <v>1730</v>
      </c>
      <c r="C26" s="2461"/>
      <c r="D26" s="336"/>
      <c r="E26" s="220" t="s">
        <v>100</v>
      </c>
      <c r="F26" s="962">
        <v>0</v>
      </c>
      <c r="G26" s="962">
        <v>0</v>
      </c>
      <c r="H26" s="219">
        <f t="shared" si="0"/>
        <v>0</v>
      </c>
      <c r="I26" s="222">
        <f t="shared" si="2"/>
        <v>0</v>
      </c>
      <c r="J26" s="2745"/>
      <c r="K26" s="2745"/>
      <c r="L26" s="2745"/>
      <c r="M26" s="2746"/>
    </row>
    <row r="27" spans="1:13" ht="30" customHeight="1">
      <c r="A27" s="276">
        <f t="shared" si="3"/>
        <v>31.170000000000012</v>
      </c>
      <c r="B27" s="2744" t="s">
        <v>1183</v>
      </c>
      <c r="C27" s="2744"/>
      <c r="D27" s="336"/>
      <c r="E27" s="220" t="s">
        <v>100</v>
      </c>
      <c r="F27" s="962">
        <v>0</v>
      </c>
      <c r="G27" s="962">
        <v>0</v>
      </c>
      <c r="H27" s="219">
        <f t="shared" si="0"/>
        <v>0</v>
      </c>
      <c r="I27" s="222">
        <f t="shared" si="2"/>
        <v>0</v>
      </c>
      <c r="J27" s="2745"/>
      <c r="K27" s="2745"/>
      <c r="L27" s="2745"/>
      <c r="M27" s="2746"/>
    </row>
    <row r="28" spans="1:13" ht="30" customHeight="1">
      <c r="A28" s="276">
        <f t="shared" si="3"/>
        <v>31.180000000000014</v>
      </c>
      <c r="B28" s="2744" t="s">
        <v>1184</v>
      </c>
      <c r="C28" s="2744"/>
      <c r="D28" s="336"/>
      <c r="E28" s="220" t="s">
        <v>100</v>
      </c>
      <c r="F28" s="962">
        <v>0</v>
      </c>
      <c r="G28" s="962">
        <v>0</v>
      </c>
      <c r="H28" s="219">
        <f t="shared" si="0"/>
        <v>0</v>
      </c>
      <c r="I28" s="222">
        <f t="shared" si="2"/>
        <v>0</v>
      </c>
      <c r="J28" s="2745"/>
      <c r="K28" s="2745"/>
      <c r="L28" s="2745"/>
      <c r="M28" s="2746"/>
    </row>
    <row r="29" spans="1:13" ht="30" customHeight="1">
      <c r="A29" s="276">
        <f t="shared" si="3"/>
        <v>31.190000000000015</v>
      </c>
      <c r="B29" s="2743" t="s">
        <v>1731</v>
      </c>
      <c r="C29" s="2743"/>
      <c r="D29" s="336"/>
      <c r="E29" s="220" t="s">
        <v>100</v>
      </c>
      <c r="F29" s="962">
        <v>0</v>
      </c>
      <c r="G29" s="962">
        <v>0</v>
      </c>
      <c r="H29" s="219">
        <f t="shared" si="0"/>
        <v>0</v>
      </c>
      <c r="I29" s="222">
        <f t="shared" si="2"/>
        <v>0</v>
      </c>
      <c r="J29" s="2745"/>
      <c r="K29" s="2745"/>
      <c r="L29" s="2745"/>
      <c r="M29" s="2746"/>
    </row>
    <row r="30" spans="1:13" ht="30" customHeight="1">
      <c r="A30" s="276">
        <f t="shared" si="3"/>
        <v>31.200000000000017</v>
      </c>
      <c r="B30" s="2461" t="s">
        <v>1732</v>
      </c>
      <c r="C30" s="2461"/>
      <c r="D30" s="336"/>
      <c r="E30" s="220" t="s">
        <v>100</v>
      </c>
      <c r="F30" s="962">
        <v>0</v>
      </c>
      <c r="G30" s="962">
        <v>0</v>
      </c>
      <c r="H30" s="219">
        <f t="shared" si="0"/>
        <v>0</v>
      </c>
      <c r="I30" s="222">
        <f t="shared" si="2"/>
        <v>0</v>
      </c>
      <c r="J30" s="2745"/>
      <c r="K30" s="2745"/>
      <c r="L30" s="2745"/>
      <c r="M30" s="2746"/>
    </row>
    <row r="31" spans="1:13" ht="30" customHeight="1">
      <c r="A31" s="276">
        <f t="shared" si="3"/>
        <v>31.210000000000019</v>
      </c>
      <c r="B31" s="2461" t="s">
        <v>1733</v>
      </c>
      <c r="C31" s="2461"/>
      <c r="D31" s="336"/>
      <c r="E31" s="220" t="s">
        <v>100</v>
      </c>
      <c r="F31" s="962">
        <v>0</v>
      </c>
      <c r="G31" s="962">
        <v>0</v>
      </c>
      <c r="H31" s="219">
        <f t="shared" si="0"/>
        <v>0</v>
      </c>
      <c r="I31" s="222">
        <f t="shared" si="2"/>
        <v>0</v>
      </c>
      <c r="J31" s="2745"/>
      <c r="K31" s="2745"/>
      <c r="L31" s="2745"/>
      <c r="M31" s="2746"/>
    </row>
    <row r="32" spans="1:13" ht="30" customHeight="1">
      <c r="A32" s="276">
        <f t="shared" si="3"/>
        <v>31.22000000000002</v>
      </c>
      <c r="B32" s="2461" t="s">
        <v>1734</v>
      </c>
      <c r="C32" s="2461"/>
      <c r="D32" s="336"/>
      <c r="E32" s="220" t="s">
        <v>100</v>
      </c>
      <c r="F32" s="962">
        <v>0</v>
      </c>
      <c r="G32" s="962">
        <v>0</v>
      </c>
      <c r="H32" s="219">
        <f t="shared" si="0"/>
        <v>0</v>
      </c>
      <c r="I32" s="222">
        <f t="shared" si="2"/>
        <v>0</v>
      </c>
      <c r="J32" s="2745"/>
      <c r="K32" s="2745"/>
      <c r="L32" s="2745"/>
      <c r="M32" s="2746"/>
    </row>
    <row r="33" spans="1:13" ht="30" customHeight="1">
      <c r="A33" s="276">
        <f>A32+0.01</f>
        <v>31.230000000000022</v>
      </c>
      <c r="B33" s="2461" t="s">
        <v>1735</v>
      </c>
      <c r="C33" s="2461"/>
      <c r="D33" s="336"/>
      <c r="E33" s="220" t="s">
        <v>100</v>
      </c>
      <c r="F33" s="962">
        <v>0</v>
      </c>
      <c r="G33" s="962">
        <v>0</v>
      </c>
      <c r="H33" s="219">
        <f t="shared" si="0"/>
        <v>0</v>
      </c>
      <c r="I33" s="222">
        <f t="shared" si="2"/>
        <v>0</v>
      </c>
      <c r="J33" s="2745"/>
      <c r="K33" s="2745"/>
      <c r="L33" s="2745"/>
      <c r="M33" s="2746"/>
    </row>
    <row r="34" spans="1:13" ht="30" customHeight="1">
      <c r="A34" s="276">
        <f t="shared" si="3"/>
        <v>31.240000000000023</v>
      </c>
      <c r="B34" s="2461" t="s">
        <v>174</v>
      </c>
      <c r="C34" s="2461"/>
      <c r="D34" s="336"/>
      <c r="E34" s="220" t="s">
        <v>100</v>
      </c>
      <c r="F34" s="962">
        <v>0</v>
      </c>
      <c r="G34" s="962">
        <v>0</v>
      </c>
      <c r="H34" s="219">
        <f t="shared" si="0"/>
        <v>0</v>
      </c>
      <c r="I34" s="222">
        <f t="shared" si="2"/>
        <v>0</v>
      </c>
      <c r="J34" s="2745"/>
      <c r="K34" s="2745"/>
      <c r="L34" s="2745"/>
      <c r="M34" s="2746"/>
    </row>
    <row r="35" spans="1:13" ht="30" customHeight="1">
      <c r="A35" s="276">
        <f t="shared" si="3"/>
        <v>31.250000000000025</v>
      </c>
      <c r="B35" s="2461" t="s">
        <v>1736</v>
      </c>
      <c r="C35" s="2461"/>
      <c r="D35" s="336"/>
      <c r="E35" s="220" t="s">
        <v>100</v>
      </c>
      <c r="F35" s="962">
        <v>0</v>
      </c>
      <c r="G35" s="962">
        <v>0</v>
      </c>
      <c r="H35" s="219">
        <f t="shared" si="0"/>
        <v>0</v>
      </c>
      <c r="I35" s="222">
        <f t="shared" si="2"/>
        <v>0</v>
      </c>
      <c r="J35" s="2745"/>
      <c r="K35" s="2745"/>
      <c r="L35" s="2745"/>
      <c r="M35" s="2746"/>
    </row>
    <row r="36" spans="1:13" ht="30" customHeight="1">
      <c r="A36" s="276">
        <f t="shared" si="3"/>
        <v>31.260000000000026</v>
      </c>
      <c r="B36" s="2461" t="s">
        <v>898</v>
      </c>
      <c r="C36" s="2461"/>
      <c r="D36" s="336"/>
      <c r="E36" s="220" t="s">
        <v>100</v>
      </c>
      <c r="F36" s="962">
        <v>0</v>
      </c>
      <c r="G36" s="962">
        <v>0</v>
      </c>
      <c r="H36" s="219">
        <f t="shared" si="0"/>
        <v>0</v>
      </c>
      <c r="I36" s="222">
        <f t="shared" si="2"/>
        <v>0</v>
      </c>
      <c r="J36" s="2745"/>
      <c r="K36" s="2745"/>
      <c r="L36" s="2745"/>
      <c r="M36" s="2746"/>
    </row>
    <row r="37" spans="1:13" ht="30" customHeight="1">
      <c r="A37" s="276">
        <f t="shared" si="3"/>
        <v>31.270000000000028</v>
      </c>
      <c r="B37" s="2461" t="s">
        <v>167</v>
      </c>
      <c r="C37" s="2461"/>
      <c r="D37" s="336"/>
      <c r="E37" s="220" t="s">
        <v>100</v>
      </c>
      <c r="F37" s="962">
        <v>0</v>
      </c>
      <c r="G37" s="962">
        <v>0</v>
      </c>
      <c r="H37" s="219">
        <f t="shared" si="0"/>
        <v>0</v>
      </c>
      <c r="I37" s="222">
        <f t="shared" si="2"/>
        <v>0</v>
      </c>
      <c r="J37" s="2745"/>
      <c r="K37" s="2745"/>
      <c r="L37" s="2745"/>
      <c r="M37" s="2746"/>
    </row>
    <row r="38" spans="1:13" ht="30" customHeight="1">
      <c r="A38" s="276">
        <f t="shared" si="3"/>
        <v>31.28000000000003</v>
      </c>
      <c r="B38" s="2461" t="s">
        <v>175</v>
      </c>
      <c r="C38" s="2461"/>
      <c r="D38" s="336"/>
      <c r="E38" s="220" t="s">
        <v>85</v>
      </c>
      <c r="F38" s="962">
        <v>0</v>
      </c>
      <c r="G38" s="962">
        <v>0</v>
      </c>
      <c r="H38" s="220"/>
      <c r="I38" s="222">
        <f t="shared" si="2"/>
        <v>0</v>
      </c>
      <c r="J38" s="2745"/>
      <c r="K38" s="2745"/>
      <c r="L38" s="2745"/>
      <c r="M38" s="2746"/>
    </row>
    <row r="39" spans="1:13" ht="30" customHeight="1">
      <c r="A39" s="276">
        <f t="shared" si="3"/>
        <v>31.290000000000031</v>
      </c>
      <c r="B39" s="2461" t="s">
        <v>372</v>
      </c>
      <c r="C39" s="2461"/>
      <c r="D39" s="336"/>
      <c r="E39" s="220" t="s">
        <v>85</v>
      </c>
      <c r="F39" s="962">
        <v>0</v>
      </c>
      <c r="G39" s="962">
        <v>0</v>
      </c>
      <c r="H39" s="220"/>
      <c r="I39" s="222">
        <f>ROUND(F39*G39,0)</f>
        <v>0</v>
      </c>
      <c r="J39" s="2745"/>
      <c r="K39" s="2745"/>
      <c r="L39" s="2745"/>
      <c r="M39" s="2746"/>
    </row>
    <row r="40" spans="1:13" ht="30" customHeight="1">
      <c r="A40" s="276">
        <f t="shared" si="3"/>
        <v>31.300000000000033</v>
      </c>
      <c r="B40" s="2461" t="s">
        <v>168</v>
      </c>
      <c r="C40" s="2461"/>
      <c r="D40" s="336"/>
      <c r="E40" s="220" t="s">
        <v>85</v>
      </c>
      <c r="F40" s="962">
        <v>0</v>
      </c>
      <c r="G40" s="962">
        <v>0</v>
      </c>
      <c r="H40" s="220"/>
      <c r="I40" s="222">
        <f t="shared" si="2"/>
        <v>0</v>
      </c>
      <c r="J40" s="2745"/>
      <c r="K40" s="2745"/>
      <c r="L40" s="2745"/>
      <c r="M40" s="2746"/>
    </row>
    <row r="41" spans="1:13" ht="30" customHeight="1">
      <c r="A41" s="276">
        <f t="shared" si="3"/>
        <v>31.310000000000034</v>
      </c>
      <c r="B41" s="2461" t="s">
        <v>189</v>
      </c>
      <c r="C41" s="2461"/>
      <c r="D41" s="336"/>
      <c r="E41" s="220" t="s">
        <v>85</v>
      </c>
      <c r="F41" s="962">
        <v>0</v>
      </c>
      <c r="G41" s="962">
        <v>0</v>
      </c>
      <c r="H41" s="220"/>
      <c r="I41" s="222">
        <f t="shared" si="2"/>
        <v>0</v>
      </c>
      <c r="J41" s="2745"/>
      <c r="K41" s="2745"/>
      <c r="L41" s="2745"/>
      <c r="M41" s="2746"/>
    </row>
    <row r="42" spans="1:13" ht="30" customHeight="1">
      <c r="A42" s="276">
        <f t="shared" si="3"/>
        <v>31.320000000000036</v>
      </c>
      <c r="B42" s="2064" t="s">
        <v>1638</v>
      </c>
      <c r="C42" s="2064"/>
      <c r="D42" s="336"/>
      <c r="E42" s="220" t="s">
        <v>85</v>
      </c>
      <c r="F42" s="962">
        <v>0</v>
      </c>
      <c r="G42" s="962">
        <v>0</v>
      </c>
      <c r="H42" s="220"/>
      <c r="I42" s="222">
        <f>ROUND(F42*G42,0)</f>
        <v>0</v>
      </c>
      <c r="J42" s="2745"/>
      <c r="K42" s="2745"/>
      <c r="L42" s="2745"/>
      <c r="M42" s="2746"/>
    </row>
    <row r="43" spans="1:13" ht="20.100000000000001" customHeight="1">
      <c r="A43" s="2776" t="s">
        <v>297</v>
      </c>
      <c r="B43" s="2777"/>
      <c r="C43" s="2777"/>
      <c r="D43" s="2777"/>
      <c r="E43" s="2777"/>
      <c r="F43" s="2777"/>
      <c r="G43" s="2778"/>
      <c r="H43" s="539">
        <f>SUM(H11:H42)</f>
        <v>0</v>
      </c>
      <c r="I43" s="247">
        <f>SUM(I11:I42)</f>
        <v>0</v>
      </c>
      <c r="J43" s="2754"/>
      <c r="K43" s="2754"/>
      <c r="L43" s="2754"/>
      <c r="M43" s="2755"/>
    </row>
    <row r="44" spans="1:13" ht="30" customHeight="1" thickBot="1">
      <c r="A44" s="841">
        <f>A42+0.01</f>
        <v>31.330000000000037</v>
      </c>
      <c r="B44" s="2734" t="s">
        <v>133</v>
      </c>
      <c r="C44" s="2735"/>
      <c r="D44" s="842"/>
      <c r="E44" s="812" t="s">
        <v>85</v>
      </c>
      <c r="F44" s="812">
        <v>1</v>
      </c>
      <c r="G44" s="963">
        <v>0</v>
      </c>
      <c r="H44" s="523"/>
      <c r="I44" s="224">
        <f>ROUND(F44*G44,0)</f>
        <v>0</v>
      </c>
      <c r="J44" s="2756"/>
      <c r="K44" s="2756"/>
      <c r="L44" s="2756"/>
      <c r="M44" s="2757"/>
    </row>
    <row r="45" spans="1:13" ht="30" customHeight="1">
      <c r="A45" s="843">
        <f>A44+0.01</f>
        <v>31.340000000000039</v>
      </c>
      <c r="B45" s="2787" t="s">
        <v>707</v>
      </c>
      <c r="C45" s="2788"/>
      <c r="D45" s="844"/>
      <c r="E45" s="610"/>
      <c r="F45" s="610"/>
      <c r="G45" s="611"/>
      <c r="H45" s="610"/>
      <c r="I45" s="845"/>
      <c r="J45" s="2758" t="s">
        <v>395</v>
      </c>
      <c r="K45" s="2758"/>
      <c r="L45" s="2758"/>
      <c r="M45" s="2759"/>
    </row>
    <row r="46" spans="1:13" ht="30" customHeight="1">
      <c r="A46" s="276" t="s">
        <v>1072</v>
      </c>
      <c r="B46" s="2786" t="s">
        <v>841</v>
      </c>
      <c r="C46" s="2553"/>
      <c r="D46" s="336"/>
      <c r="E46" s="220" t="s">
        <v>141</v>
      </c>
      <c r="F46" s="962">
        <v>0</v>
      </c>
      <c r="G46" s="962">
        <v>0</v>
      </c>
      <c r="H46" s="336"/>
      <c r="I46" s="219">
        <f t="shared" ref="I46:I51" si="4">G46*F46</f>
        <v>0</v>
      </c>
      <c r="J46" s="2745"/>
      <c r="K46" s="2745"/>
      <c r="L46" s="2745"/>
      <c r="M46" s="2746"/>
    </row>
    <row r="47" spans="1:13" ht="30" customHeight="1">
      <c r="A47" s="276" t="s">
        <v>1073</v>
      </c>
      <c r="B47" s="2092" t="s">
        <v>842</v>
      </c>
      <c r="C47" s="2094"/>
      <c r="D47" s="336"/>
      <c r="E47" s="220" t="s">
        <v>141</v>
      </c>
      <c r="F47" s="962">
        <v>0</v>
      </c>
      <c r="G47" s="962">
        <v>0</v>
      </c>
      <c r="H47" s="336"/>
      <c r="I47" s="219">
        <f t="shared" si="4"/>
        <v>0</v>
      </c>
      <c r="J47" s="2745"/>
      <c r="K47" s="2745"/>
      <c r="L47" s="2745"/>
      <c r="M47" s="2746"/>
    </row>
    <row r="48" spans="1:13" ht="30" customHeight="1">
      <c r="A48" s="276" t="s">
        <v>1074</v>
      </c>
      <c r="B48" s="2092" t="s">
        <v>843</v>
      </c>
      <c r="C48" s="2094"/>
      <c r="D48" s="336"/>
      <c r="E48" s="220" t="s">
        <v>141</v>
      </c>
      <c r="F48" s="962">
        <v>0</v>
      </c>
      <c r="G48" s="962">
        <v>0</v>
      </c>
      <c r="H48" s="336"/>
      <c r="I48" s="219">
        <f t="shared" si="4"/>
        <v>0</v>
      </c>
      <c r="J48" s="2745"/>
      <c r="K48" s="2745"/>
      <c r="L48" s="2745"/>
      <c r="M48" s="2746"/>
    </row>
    <row r="49" spans="1:13" ht="30" customHeight="1">
      <c r="A49" s="276" t="s">
        <v>1075</v>
      </c>
      <c r="B49" s="2786" t="s">
        <v>231</v>
      </c>
      <c r="C49" s="2553"/>
      <c r="D49" s="336"/>
      <c r="E49" s="220" t="s">
        <v>141</v>
      </c>
      <c r="F49" s="962">
        <v>0</v>
      </c>
      <c r="G49" s="962">
        <v>0</v>
      </c>
      <c r="H49" s="336"/>
      <c r="I49" s="219">
        <f t="shared" si="4"/>
        <v>0</v>
      </c>
      <c r="J49" s="2745"/>
      <c r="K49" s="2745"/>
      <c r="L49" s="2745"/>
      <c r="M49" s="2746"/>
    </row>
    <row r="50" spans="1:13" ht="30" customHeight="1">
      <c r="A50" s="276" t="s">
        <v>1076</v>
      </c>
      <c r="B50" s="2786" t="s">
        <v>154</v>
      </c>
      <c r="C50" s="2553"/>
      <c r="D50" s="336"/>
      <c r="E50" s="220" t="s">
        <v>141</v>
      </c>
      <c r="F50" s="962">
        <v>0</v>
      </c>
      <c r="G50" s="962">
        <v>0</v>
      </c>
      <c r="H50" s="336"/>
      <c r="I50" s="219">
        <f t="shared" si="4"/>
        <v>0</v>
      </c>
      <c r="J50" s="2745"/>
      <c r="K50" s="2745"/>
      <c r="L50" s="2745"/>
      <c r="M50" s="2746"/>
    </row>
    <row r="51" spans="1:13" ht="30" customHeight="1">
      <c r="A51" s="276" t="s">
        <v>1077</v>
      </c>
      <c r="B51" s="2786" t="s">
        <v>155</v>
      </c>
      <c r="C51" s="2553"/>
      <c r="D51" s="336"/>
      <c r="E51" s="220" t="s">
        <v>141</v>
      </c>
      <c r="F51" s="962">
        <v>0</v>
      </c>
      <c r="G51" s="962">
        <v>0</v>
      </c>
      <c r="H51" s="336"/>
      <c r="I51" s="219">
        <f t="shared" si="4"/>
        <v>0</v>
      </c>
      <c r="J51" s="2745"/>
      <c r="K51" s="2745"/>
      <c r="L51" s="2745"/>
      <c r="M51" s="2746"/>
    </row>
    <row r="52" spans="1:13" ht="30" customHeight="1" thickBot="1">
      <c r="A52" s="846" t="s">
        <v>1078</v>
      </c>
      <c r="B52" s="2784" t="s">
        <v>238</v>
      </c>
      <c r="C52" s="2785"/>
      <c r="D52" s="848"/>
      <c r="E52" s="849"/>
      <c r="F52" s="849"/>
      <c r="G52" s="850"/>
      <c r="H52" s="849"/>
      <c r="I52" s="868">
        <f>SUM(I46:I51)</f>
        <v>0</v>
      </c>
      <c r="J52" s="2760"/>
      <c r="K52" s="2760"/>
      <c r="L52" s="2760"/>
      <c r="M52" s="2761"/>
    </row>
    <row r="53" spans="1:13" ht="30" customHeight="1">
      <c r="A53" s="851">
        <v>31.35</v>
      </c>
      <c r="B53" s="2782" t="s">
        <v>307</v>
      </c>
      <c r="C53" s="2783"/>
      <c r="D53" s="544"/>
      <c r="E53" s="340" t="s">
        <v>85</v>
      </c>
      <c r="F53" s="340" t="s">
        <v>878</v>
      </c>
      <c r="G53" s="987">
        <v>0</v>
      </c>
      <c r="H53" s="340"/>
      <c r="I53" s="538">
        <f>ROUND(G53*$I$43,0)</f>
        <v>0</v>
      </c>
      <c r="J53" s="2762"/>
      <c r="K53" s="2762"/>
      <c r="L53" s="2762"/>
      <c r="M53" s="2763"/>
    </row>
    <row r="54" spans="1:13" ht="30" customHeight="1">
      <c r="A54" s="276">
        <v>31.36</v>
      </c>
      <c r="B54" s="2665" t="s">
        <v>92</v>
      </c>
      <c r="C54" s="2781"/>
      <c r="D54" s="605"/>
      <c r="E54" s="542" t="s">
        <v>85</v>
      </c>
      <c r="F54" s="542" t="s">
        <v>878</v>
      </c>
      <c r="G54" s="965">
        <v>0</v>
      </c>
      <c r="H54" s="220"/>
      <c r="I54" s="222">
        <f>ROUND(G54*$I$43,0)</f>
        <v>0</v>
      </c>
      <c r="J54" s="2745"/>
      <c r="K54" s="2745"/>
      <c r="L54" s="2745"/>
      <c r="M54" s="2746"/>
    </row>
    <row r="55" spans="1:13" ht="30" customHeight="1">
      <c r="A55" s="276">
        <v>31.37</v>
      </c>
      <c r="B55" s="2092" t="s">
        <v>169</v>
      </c>
      <c r="C55" s="2094"/>
      <c r="D55" s="302"/>
      <c r="E55" s="220" t="s">
        <v>85</v>
      </c>
      <c r="F55" s="220" t="s">
        <v>878</v>
      </c>
      <c r="G55" s="965">
        <v>0</v>
      </c>
      <c r="H55" s="220"/>
      <c r="I55" s="222">
        <f>ROUND(G55*$I$43,0)</f>
        <v>0</v>
      </c>
      <c r="J55" s="2745"/>
      <c r="K55" s="2745"/>
      <c r="L55" s="2745"/>
      <c r="M55" s="2746"/>
    </row>
    <row r="56" spans="1:13" ht="20.100000000000001" customHeight="1">
      <c r="A56" s="2779" t="s">
        <v>176</v>
      </c>
      <c r="B56" s="2780"/>
      <c r="C56" s="2780"/>
      <c r="D56" s="2780"/>
      <c r="E56" s="2780"/>
      <c r="F56" s="2780"/>
      <c r="G56" s="2780"/>
      <c r="H56" s="539">
        <f>$H$43</f>
        <v>0</v>
      </c>
      <c r="I56" s="247">
        <f>I55+I54+I53+I52+I44+I43</f>
        <v>0</v>
      </c>
      <c r="J56" s="2754"/>
      <c r="K56" s="2754"/>
      <c r="L56" s="2754"/>
      <c r="M56" s="2755"/>
    </row>
    <row r="57" spans="1:13" ht="20.100000000000001" customHeight="1">
      <c r="A57" s="497"/>
      <c r="B57" s="453" t="s">
        <v>217</v>
      </c>
      <c r="C57" s="498"/>
      <c r="D57" s="498"/>
      <c r="E57" s="498"/>
      <c r="F57" s="498"/>
      <c r="G57" s="498"/>
      <c r="H57" s="498"/>
      <c r="I57" s="498"/>
      <c r="J57" s="2754"/>
      <c r="K57" s="2754"/>
      <c r="L57" s="2754"/>
      <c r="M57" s="2755"/>
    </row>
    <row r="58" spans="1:13" s="580" customFormat="1" ht="30" customHeight="1">
      <c r="A58" s="506">
        <v>31.38</v>
      </c>
      <c r="B58" s="464" t="s">
        <v>371</v>
      </c>
      <c r="C58" s="464"/>
      <c r="D58" s="464"/>
      <c r="E58" s="273" t="s">
        <v>100</v>
      </c>
      <c r="F58" s="962">
        <v>0</v>
      </c>
      <c r="G58" s="962">
        <v>0</v>
      </c>
      <c r="H58" s="315">
        <f>F58</f>
        <v>0</v>
      </c>
      <c r="I58" s="371">
        <f t="shared" ref="I58:I81" si="5">ROUND(F58*G58,0)</f>
        <v>0</v>
      </c>
      <c r="J58" s="2745"/>
      <c r="K58" s="2745"/>
      <c r="L58" s="2745"/>
      <c r="M58" s="2746"/>
    </row>
    <row r="59" spans="1:13" ht="30" customHeight="1">
      <c r="A59" s="276">
        <f>A58+0.01</f>
        <v>31.39</v>
      </c>
      <c r="B59" s="336" t="s">
        <v>1737</v>
      </c>
      <c r="C59" s="336"/>
      <c r="D59" s="336"/>
      <c r="E59" s="220" t="s">
        <v>100</v>
      </c>
      <c r="F59" s="962">
        <v>0</v>
      </c>
      <c r="G59" s="962">
        <v>0</v>
      </c>
      <c r="H59" s="315">
        <f t="shared" ref="H59:H79" si="6">F59</f>
        <v>0</v>
      </c>
      <c r="I59" s="222">
        <f t="shared" si="5"/>
        <v>0</v>
      </c>
      <c r="J59" s="2745"/>
      <c r="K59" s="2745"/>
      <c r="L59" s="2745"/>
      <c r="M59" s="2746"/>
    </row>
    <row r="60" spans="1:13" ht="30" customHeight="1">
      <c r="A60" s="276">
        <f t="shared" ref="A60:A82" si="7">A59+0.01</f>
        <v>31.400000000000002</v>
      </c>
      <c r="B60" s="336" t="s">
        <v>1738</v>
      </c>
      <c r="C60" s="336"/>
      <c r="D60" s="336"/>
      <c r="E60" s="220" t="s">
        <v>100</v>
      </c>
      <c r="F60" s="962">
        <v>0</v>
      </c>
      <c r="G60" s="962">
        <v>0</v>
      </c>
      <c r="H60" s="315">
        <f t="shared" si="6"/>
        <v>0</v>
      </c>
      <c r="I60" s="222">
        <f t="shared" si="5"/>
        <v>0</v>
      </c>
      <c r="J60" s="2745"/>
      <c r="K60" s="2745"/>
      <c r="L60" s="2745"/>
      <c r="M60" s="2746"/>
    </row>
    <row r="61" spans="1:13" ht="30" customHeight="1">
      <c r="A61" s="276">
        <f t="shared" si="7"/>
        <v>31.410000000000004</v>
      </c>
      <c r="B61" s="336" t="s">
        <v>1739</v>
      </c>
      <c r="C61" s="336"/>
      <c r="D61" s="336"/>
      <c r="E61" s="220" t="s">
        <v>100</v>
      </c>
      <c r="F61" s="962">
        <v>0</v>
      </c>
      <c r="G61" s="962">
        <v>0</v>
      </c>
      <c r="H61" s="315">
        <f t="shared" si="6"/>
        <v>0</v>
      </c>
      <c r="I61" s="222">
        <f t="shared" si="5"/>
        <v>0</v>
      </c>
      <c r="J61" s="2745"/>
      <c r="K61" s="2745"/>
      <c r="L61" s="2745"/>
      <c r="M61" s="2746"/>
    </row>
    <row r="62" spans="1:13" ht="30" customHeight="1">
      <c r="A62" s="276">
        <f t="shared" si="7"/>
        <v>31.420000000000005</v>
      </c>
      <c r="B62" s="336" t="s">
        <v>1740</v>
      </c>
      <c r="C62" s="336"/>
      <c r="D62" s="336"/>
      <c r="E62" s="220" t="s">
        <v>100</v>
      </c>
      <c r="F62" s="962">
        <v>0</v>
      </c>
      <c r="G62" s="962">
        <v>0</v>
      </c>
      <c r="H62" s="315">
        <f t="shared" si="6"/>
        <v>0</v>
      </c>
      <c r="I62" s="222">
        <f t="shared" si="5"/>
        <v>0</v>
      </c>
      <c r="J62" s="2745"/>
      <c r="K62" s="2745"/>
      <c r="L62" s="2745"/>
      <c r="M62" s="2746"/>
    </row>
    <row r="63" spans="1:13" ht="30" customHeight="1">
      <c r="A63" s="276">
        <f t="shared" si="7"/>
        <v>31.430000000000007</v>
      </c>
      <c r="B63" s="336" t="s">
        <v>1741</v>
      </c>
      <c r="C63" s="336"/>
      <c r="D63" s="336"/>
      <c r="E63" s="220" t="s">
        <v>100</v>
      </c>
      <c r="F63" s="962">
        <v>0</v>
      </c>
      <c r="G63" s="962">
        <v>0</v>
      </c>
      <c r="H63" s="315">
        <f t="shared" si="6"/>
        <v>0</v>
      </c>
      <c r="I63" s="222">
        <f t="shared" si="5"/>
        <v>0</v>
      </c>
      <c r="J63" s="2745"/>
      <c r="K63" s="2745"/>
      <c r="L63" s="2745"/>
      <c r="M63" s="2746"/>
    </row>
    <row r="64" spans="1:13" ht="30" customHeight="1">
      <c r="A64" s="276">
        <f t="shared" si="7"/>
        <v>31.440000000000008</v>
      </c>
      <c r="B64" s="336" t="s">
        <v>1742</v>
      </c>
      <c r="C64" s="336"/>
      <c r="D64" s="336"/>
      <c r="E64" s="220" t="s">
        <v>100</v>
      </c>
      <c r="F64" s="962">
        <v>0</v>
      </c>
      <c r="G64" s="962">
        <v>0</v>
      </c>
      <c r="H64" s="315">
        <f t="shared" si="6"/>
        <v>0</v>
      </c>
      <c r="I64" s="222">
        <f t="shared" si="5"/>
        <v>0</v>
      </c>
      <c r="J64" s="2745"/>
      <c r="K64" s="2745"/>
      <c r="L64" s="2745"/>
      <c r="M64" s="2746"/>
    </row>
    <row r="65" spans="1:13" ht="30" customHeight="1">
      <c r="A65" s="276">
        <f t="shared" si="7"/>
        <v>31.45000000000001</v>
      </c>
      <c r="B65" s="336" t="s">
        <v>1743</v>
      </c>
      <c r="C65" s="336"/>
      <c r="D65" s="336"/>
      <c r="E65" s="220" t="s">
        <v>100</v>
      </c>
      <c r="F65" s="962">
        <v>0</v>
      </c>
      <c r="G65" s="962">
        <v>0</v>
      </c>
      <c r="H65" s="315">
        <f t="shared" si="6"/>
        <v>0</v>
      </c>
      <c r="I65" s="222">
        <f t="shared" si="5"/>
        <v>0</v>
      </c>
      <c r="J65" s="2745"/>
      <c r="K65" s="2745"/>
      <c r="L65" s="2745"/>
      <c r="M65" s="2746"/>
    </row>
    <row r="66" spans="1:13" ht="30" customHeight="1">
      <c r="A66" s="276">
        <f t="shared" si="7"/>
        <v>31.460000000000012</v>
      </c>
      <c r="B66" s="336" t="s">
        <v>1744</v>
      </c>
      <c r="C66" s="336"/>
      <c r="D66" s="336"/>
      <c r="E66" s="220" t="s">
        <v>100</v>
      </c>
      <c r="F66" s="962">
        <v>0</v>
      </c>
      <c r="G66" s="962">
        <v>0</v>
      </c>
      <c r="H66" s="315">
        <f t="shared" si="6"/>
        <v>0</v>
      </c>
      <c r="I66" s="222">
        <f t="shared" si="5"/>
        <v>0</v>
      </c>
      <c r="J66" s="2745"/>
      <c r="K66" s="2745"/>
      <c r="L66" s="2745"/>
      <c r="M66" s="2746"/>
    </row>
    <row r="67" spans="1:13" ht="30" customHeight="1">
      <c r="A67" s="276">
        <f t="shared" si="7"/>
        <v>31.470000000000013</v>
      </c>
      <c r="B67" s="336" t="s">
        <v>1745</v>
      </c>
      <c r="C67" s="336"/>
      <c r="D67" s="336"/>
      <c r="E67" s="220" t="s">
        <v>100</v>
      </c>
      <c r="F67" s="962">
        <v>0</v>
      </c>
      <c r="G67" s="962">
        <v>0</v>
      </c>
      <c r="H67" s="315">
        <f t="shared" si="6"/>
        <v>0</v>
      </c>
      <c r="I67" s="222">
        <f t="shared" si="5"/>
        <v>0</v>
      </c>
      <c r="J67" s="2745"/>
      <c r="K67" s="2745"/>
      <c r="L67" s="2745"/>
      <c r="M67" s="2746"/>
    </row>
    <row r="68" spans="1:13" ht="30" customHeight="1">
      <c r="A68" s="276">
        <f t="shared" si="7"/>
        <v>31.480000000000015</v>
      </c>
      <c r="B68" s="336" t="s">
        <v>1746</v>
      </c>
      <c r="C68" s="336"/>
      <c r="D68" s="336"/>
      <c r="E68" s="220" t="s">
        <v>100</v>
      </c>
      <c r="F68" s="962">
        <v>0</v>
      </c>
      <c r="G68" s="962">
        <v>0</v>
      </c>
      <c r="H68" s="315">
        <f t="shared" si="6"/>
        <v>0</v>
      </c>
      <c r="I68" s="222">
        <f t="shared" si="5"/>
        <v>0</v>
      </c>
      <c r="J68" s="2745"/>
      <c r="K68" s="2745"/>
      <c r="L68" s="2745"/>
      <c r="M68" s="2746"/>
    </row>
    <row r="69" spans="1:13" ht="30" customHeight="1">
      <c r="A69" s="276">
        <f t="shared" si="7"/>
        <v>31.490000000000016</v>
      </c>
      <c r="B69" s="336" t="s">
        <v>1747</v>
      </c>
      <c r="C69" s="336"/>
      <c r="D69" s="336"/>
      <c r="E69" s="220" t="s">
        <v>100</v>
      </c>
      <c r="F69" s="962">
        <v>0</v>
      </c>
      <c r="G69" s="962">
        <v>0</v>
      </c>
      <c r="H69" s="315">
        <f t="shared" si="6"/>
        <v>0</v>
      </c>
      <c r="I69" s="222">
        <f t="shared" si="5"/>
        <v>0</v>
      </c>
      <c r="J69" s="2745"/>
      <c r="K69" s="2745"/>
      <c r="L69" s="2745"/>
      <c r="M69" s="2746"/>
    </row>
    <row r="70" spans="1:13" ht="30" customHeight="1">
      <c r="A70" s="276">
        <f t="shared" si="7"/>
        <v>31.500000000000018</v>
      </c>
      <c r="B70" s="336" t="s">
        <v>1748</v>
      </c>
      <c r="C70" s="336"/>
      <c r="D70" s="336"/>
      <c r="E70" s="220" t="s">
        <v>100</v>
      </c>
      <c r="F70" s="962">
        <v>0</v>
      </c>
      <c r="G70" s="962">
        <v>0</v>
      </c>
      <c r="H70" s="315">
        <f t="shared" si="6"/>
        <v>0</v>
      </c>
      <c r="I70" s="222">
        <f t="shared" si="5"/>
        <v>0</v>
      </c>
      <c r="J70" s="2745"/>
      <c r="K70" s="2745"/>
      <c r="L70" s="2745"/>
      <c r="M70" s="2746"/>
    </row>
    <row r="71" spans="1:13" ht="30" customHeight="1">
      <c r="A71" s="276">
        <f t="shared" si="7"/>
        <v>31.510000000000019</v>
      </c>
      <c r="B71" s="336" t="s">
        <v>1749</v>
      </c>
      <c r="C71" s="336"/>
      <c r="D71" s="336"/>
      <c r="E71" s="220" t="s">
        <v>100</v>
      </c>
      <c r="F71" s="962">
        <v>0</v>
      </c>
      <c r="G71" s="962">
        <v>0</v>
      </c>
      <c r="H71" s="315">
        <f t="shared" si="6"/>
        <v>0</v>
      </c>
      <c r="I71" s="222">
        <f t="shared" si="5"/>
        <v>0</v>
      </c>
      <c r="J71" s="2745"/>
      <c r="K71" s="2745"/>
      <c r="L71" s="2745"/>
      <c r="M71" s="2746"/>
    </row>
    <row r="72" spans="1:13" ht="30" customHeight="1">
      <c r="A72" s="276">
        <f t="shared" si="7"/>
        <v>31.520000000000021</v>
      </c>
      <c r="B72" s="336" t="s">
        <v>1750</v>
      </c>
      <c r="C72" s="336"/>
      <c r="D72" s="336"/>
      <c r="E72" s="220" t="s">
        <v>100</v>
      </c>
      <c r="F72" s="962">
        <v>0</v>
      </c>
      <c r="G72" s="962">
        <v>0</v>
      </c>
      <c r="H72" s="315">
        <f t="shared" si="6"/>
        <v>0</v>
      </c>
      <c r="I72" s="222">
        <f t="shared" si="5"/>
        <v>0</v>
      </c>
      <c r="J72" s="2745"/>
      <c r="K72" s="2745"/>
      <c r="L72" s="2745"/>
      <c r="M72" s="2746"/>
    </row>
    <row r="73" spans="1:13" ht="30" customHeight="1">
      <c r="A73" s="276">
        <f t="shared" si="7"/>
        <v>31.530000000000022</v>
      </c>
      <c r="B73" s="336" t="s">
        <v>173</v>
      </c>
      <c r="C73" s="336"/>
      <c r="D73" s="336"/>
      <c r="E73" s="220" t="s">
        <v>100</v>
      </c>
      <c r="F73" s="962">
        <v>0</v>
      </c>
      <c r="G73" s="962">
        <v>0</v>
      </c>
      <c r="H73" s="315">
        <f t="shared" si="6"/>
        <v>0</v>
      </c>
      <c r="I73" s="222">
        <f t="shared" si="5"/>
        <v>0</v>
      </c>
      <c r="J73" s="2745"/>
      <c r="K73" s="2745"/>
      <c r="L73" s="2745"/>
      <c r="M73" s="2746"/>
    </row>
    <row r="74" spans="1:13" ht="30" customHeight="1">
      <c r="A74" s="276">
        <f t="shared" si="7"/>
        <v>31.540000000000024</v>
      </c>
      <c r="B74" s="336" t="s">
        <v>1751</v>
      </c>
      <c r="C74" s="336"/>
      <c r="D74" s="336"/>
      <c r="E74" s="220" t="s">
        <v>100</v>
      </c>
      <c r="F74" s="962">
        <v>0</v>
      </c>
      <c r="G74" s="962">
        <v>0</v>
      </c>
      <c r="H74" s="315">
        <f t="shared" si="6"/>
        <v>0</v>
      </c>
      <c r="I74" s="222">
        <f t="shared" si="5"/>
        <v>0</v>
      </c>
      <c r="J74" s="2745"/>
      <c r="K74" s="2745"/>
      <c r="L74" s="2745"/>
      <c r="M74" s="2746"/>
    </row>
    <row r="75" spans="1:13" ht="30" customHeight="1">
      <c r="A75" s="276">
        <f t="shared" si="7"/>
        <v>31.550000000000026</v>
      </c>
      <c r="B75" s="336" t="s">
        <v>1752</v>
      </c>
      <c r="C75" s="336"/>
      <c r="D75" s="336"/>
      <c r="E75" s="220" t="s">
        <v>100</v>
      </c>
      <c r="F75" s="962">
        <v>0</v>
      </c>
      <c r="G75" s="962">
        <v>0</v>
      </c>
      <c r="H75" s="315">
        <f t="shared" si="6"/>
        <v>0</v>
      </c>
      <c r="I75" s="222">
        <f t="shared" si="5"/>
        <v>0</v>
      </c>
      <c r="J75" s="2745"/>
      <c r="K75" s="2745"/>
      <c r="L75" s="2745"/>
      <c r="M75" s="2746"/>
    </row>
    <row r="76" spans="1:13" ht="30" customHeight="1">
      <c r="A76" s="276">
        <f t="shared" si="7"/>
        <v>31.560000000000027</v>
      </c>
      <c r="B76" s="336" t="s">
        <v>1753</v>
      </c>
      <c r="C76" s="336"/>
      <c r="D76" s="336"/>
      <c r="E76" s="220" t="s">
        <v>100</v>
      </c>
      <c r="F76" s="962">
        <v>0</v>
      </c>
      <c r="G76" s="962">
        <v>0</v>
      </c>
      <c r="H76" s="315">
        <f t="shared" si="6"/>
        <v>0</v>
      </c>
      <c r="I76" s="222">
        <f t="shared" si="5"/>
        <v>0</v>
      </c>
      <c r="J76" s="2745"/>
      <c r="K76" s="2745"/>
      <c r="L76" s="2745"/>
      <c r="M76" s="2746"/>
    </row>
    <row r="77" spans="1:13" ht="30" customHeight="1">
      <c r="A77" s="276">
        <f t="shared" si="7"/>
        <v>31.570000000000029</v>
      </c>
      <c r="B77" s="336" t="s">
        <v>1754</v>
      </c>
      <c r="C77" s="336"/>
      <c r="D77" s="336"/>
      <c r="E77" s="220" t="s">
        <v>100</v>
      </c>
      <c r="F77" s="962">
        <v>0</v>
      </c>
      <c r="G77" s="962">
        <v>0</v>
      </c>
      <c r="H77" s="315">
        <f t="shared" si="6"/>
        <v>0</v>
      </c>
      <c r="I77" s="222">
        <f t="shared" si="5"/>
        <v>0</v>
      </c>
      <c r="J77" s="2745"/>
      <c r="K77" s="2745"/>
      <c r="L77" s="2745"/>
      <c r="M77" s="2746"/>
    </row>
    <row r="78" spans="1:13" ht="30" customHeight="1">
      <c r="A78" s="276">
        <f t="shared" si="7"/>
        <v>31.58000000000003</v>
      </c>
      <c r="B78" s="336" t="s">
        <v>177</v>
      </c>
      <c r="C78" s="336"/>
      <c r="D78" s="336"/>
      <c r="E78" s="220" t="s">
        <v>100</v>
      </c>
      <c r="F78" s="962">
        <v>0</v>
      </c>
      <c r="G78" s="962">
        <v>0</v>
      </c>
      <c r="H78" s="315">
        <f t="shared" si="6"/>
        <v>0</v>
      </c>
      <c r="I78" s="222">
        <f t="shared" si="5"/>
        <v>0</v>
      </c>
      <c r="J78" s="2745"/>
      <c r="K78" s="2745"/>
      <c r="L78" s="2745"/>
      <c r="M78" s="2746"/>
    </row>
    <row r="79" spans="1:13" ht="30" customHeight="1">
      <c r="A79" s="276">
        <f>A78+0.01</f>
        <v>31.590000000000032</v>
      </c>
      <c r="B79" s="336" t="s">
        <v>167</v>
      </c>
      <c r="C79" s="336"/>
      <c r="D79" s="336"/>
      <c r="E79" s="220" t="s">
        <v>100</v>
      </c>
      <c r="F79" s="962">
        <v>0</v>
      </c>
      <c r="G79" s="962">
        <v>0</v>
      </c>
      <c r="H79" s="315">
        <f t="shared" si="6"/>
        <v>0</v>
      </c>
      <c r="I79" s="222">
        <f t="shared" si="5"/>
        <v>0</v>
      </c>
      <c r="J79" s="2745"/>
      <c r="K79" s="2745"/>
      <c r="L79" s="2745"/>
      <c r="M79" s="2746"/>
    </row>
    <row r="80" spans="1:13" ht="30" customHeight="1">
      <c r="A80" s="276">
        <f t="shared" si="7"/>
        <v>31.600000000000033</v>
      </c>
      <c r="B80" s="336" t="s">
        <v>168</v>
      </c>
      <c r="C80" s="336"/>
      <c r="D80" s="336"/>
      <c r="E80" s="220" t="s">
        <v>85</v>
      </c>
      <c r="F80" s="220">
        <v>1</v>
      </c>
      <c r="G80" s="962">
        <v>0</v>
      </c>
      <c r="H80" s="219"/>
      <c r="I80" s="222">
        <f>ROUND(F80*G80,0)</f>
        <v>0</v>
      </c>
      <c r="J80" s="2745"/>
      <c r="K80" s="2745"/>
      <c r="L80" s="2745"/>
      <c r="M80" s="2746"/>
    </row>
    <row r="81" spans="1:13" ht="30" customHeight="1">
      <c r="A81" s="276">
        <f t="shared" si="7"/>
        <v>31.610000000000035</v>
      </c>
      <c r="B81" s="336" t="s">
        <v>189</v>
      </c>
      <c r="C81" s="336"/>
      <c r="D81" s="336"/>
      <c r="E81" s="220" t="s">
        <v>85</v>
      </c>
      <c r="F81" s="220">
        <v>1</v>
      </c>
      <c r="G81" s="962">
        <v>0</v>
      </c>
      <c r="H81" s="219"/>
      <c r="I81" s="222">
        <f t="shared" si="5"/>
        <v>0</v>
      </c>
      <c r="J81" s="2745"/>
      <c r="K81" s="2745"/>
      <c r="L81" s="2745"/>
      <c r="M81" s="2746"/>
    </row>
    <row r="82" spans="1:13" ht="30" customHeight="1">
      <c r="A82" s="276">
        <f t="shared" si="7"/>
        <v>31.620000000000037</v>
      </c>
      <c r="B82" s="464" t="s">
        <v>1638</v>
      </c>
      <c r="C82" s="336"/>
      <c r="D82" s="336"/>
      <c r="E82" s="220" t="s">
        <v>85</v>
      </c>
      <c r="F82" s="220">
        <v>1</v>
      </c>
      <c r="G82" s="962">
        <v>0</v>
      </c>
      <c r="H82" s="219"/>
      <c r="I82" s="222">
        <f>ROUND(F82*G82,0)</f>
        <v>0</v>
      </c>
      <c r="J82" s="2745"/>
      <c r="K82" s="2745"/>
      <c r="L82" s="2745"/>
      <c r="M82" s="2746"/>
    </row>
    <row r="83" spans="1:13" ht="20.100000000000001" customHeight="1">
      <c r="A83" s="2776" t="s">
        <v>298</v>
      </c>
      <c r="B83" s="2777"/>
      <c r="C83" s="2777"/>
      <c r="D83" s="2777"/>
      <c r="E83" s="2777"/>
      <c r="F83" s="2777"/>
      <c r="G83" s="2778"/>
      <c r="H83" s="539">
        <f>SUM(H58:H82)</f>
        <v>0</v>
      </c>
      <c r="I83" s="247">
        <f>SUM(I58:I82)</f>
        <v>0</v>
      </c>
      <c r="J83" s="2754"/>
      <c r="K83" s="2754"/>
      <c r="L83" s="2754"/>
      <c r="M83" s="2755"/>
    </row>
    <row r="84" spans="1:13" ht="30" customHeight="1" thickBot="1">
      <c r="A84" s="841">
        <v>31.63</v>
      </c>
      <c r="B84" s="842" t="s">
        <v>133</v>
      </c>
      <c r="C84" s="842"/>
      <c r="D84" s="842"/>
      <c r="E84" s="812" t="s">
        <v>85</v>
      </c>
      <c r="F84" s="812">
        <v>1</v>
      </c>
      <c r="G84" s="963">
        <v>0</v>
      </c>
      <c r="H84" s="223"/>
      <c r="I84" s="224">
        <f>ROUND(F84*G84,0)</f>
        <v>0</v>
      </c>
      <c r="J84" s="2756"/>
      <c r="K84" s="2756"/>
      <c r="L84" s="2756"/>
      <c r="M84" s="2757"/>
    </row>
    <row r="85" spans="1:13" ht="30" customHeight="1">
      <c r="A85" s="843">
        <v>31.64</v>
      </c>
      <c r="B85" s="844" t="s">
        <v>707</v>
      </c>
      <c r="C85" s="844"/>
      <c r="D85" s="844"/>
      <c r="E85" s="610"/>
      <c r="F85" s="610"/>
      <c r="G85" s="611"/>
      <c r="H85" s="612"/>
      <c r="I85" s="869"/>
      <c r="J85" s="2758" t="s">
        <v>395</v>
      </c>
      <c r="K85" s="2758"/>
      <c r="L85" s="2758"/>
      <c r="M85" s="2759"/>
    </row>
    <row r="86" spans="1:13" ht="30" customHeight="1">
      <c r="A86" s="276" t="s">
        <v>1079</v>
      </c>
      <c r="B86" s="336" t="s">
        <v>841</v>
      </c>
      <c r="C86" s="336"/>
      <c r="D86" s="336"/>
      <c r="E86" s="220" t="s">
        <v>141</v>
      </c>
      <c r="F86" s="962">
        <v>0</v>
      </c>
      <c r="G86" s="962">
        <v>0</v>
      </c>
      <c r="H86" s="316"/>
      <c r="I86" s="219">
        <f t="shared" ref="I86:I91" si="8">G86*F86</f>
        <v>0</v>
      </c>
      <c r="J86" s="2745"/>
      <c r="K86" s="2745"/>
      <c r="L86" s="2745"/>
      <c r="M86" s="2746"/>
    </row>
    <row r="87" spans="1:13" ht="30" customHeight="1">
      <c r="A87" s="276" t="s">
        <v>1080</v>
      </c>
      <c r="B87" s="464" t="s">
        <v>842</v>
      </c>
      <c r="C87" s="464"/>
      <c r="D87" s="336"/>
      <c r="E87" s="220" t="s">
        <v>141</v>
      </c>
      <c r="F87" s="962">
        <v>0</v>
      </c>
      <c r="G87" s="962">
        <v>0</v>
      </c>
      <c r="H87" s="316"/>
      <c r="I87" s="219">
        <f t="shared" si="8"/>
        <v>0</v>
      </c>
      <c r="J87" s="2745"/>
      <c r="K87" s="2745"/>
      <c r="L87" s="2745"/>
      <c r="M87" s="2746"/>
    </row>
    <row r="88" spans="1:13" ht="30" customHeight="1">
      <c r="A88" s="276" t="s">
        <v>1081</v>
      </c>
      <c r="B88" s="464" t="s">
        <v>843</v>
      </c>
      <c r="C88" s="464"/>
      <c r="D88" s="336"/>
      <c r="E88" s="220" t="s">
        <v>141</v>
      </c>
      <c r="F88" s="962">
        <v>0</v>
      </c>
      <c r="G88" s="962">
        <v>0</v>
      </c>
      <c r="H88" s="316"/>
      <c r="I88" s="219">
        <f t="shared" si="8"/>
        <v>0</v>
      </c>
      <c r="J88" s="2745"/>
      <c r="K88" s="2745"/>
      <c r="L88" s="2745"/>
      <c r="M88" s="2746"/>
    </row>
    <row r="89" spans="1:13" ht="30" customHeight="1">
      <c r="A89" s="276" t="s">
        <v>1082</v>
      </c>
      <c r="B89" s="336" t="s">
        <v>231</v>
      </c>
      <c r="C89" s="336"/>
      <c r="D89" s="336"/>
      <c r="E89" s="220" t="s">
        <v>141</v>
      </c>
      <c r="F89" s="962">
        <v>0</v>
      </c>
      <c r="G89" s="962">
        <v>0</v>
      </c>
      <c r="H89" s="316"/>
      <c r="I89" s="219">
        <f t="shared" si="8"/>
        <v>0</v>
      </c>
      <c r="J89" s="2745"/>
      <c r="K89" s="2745"/>
      <c r="L89" s="2745"/>
      <c r="M89" s="2746"/>
    </row>
    <row r="90" spans="1:13" ht="30" customHeight="1">
      <c r="A90" s="276" t="s">
        <v>1083</v>
      </c>
      <c r="B90" s="336" t="s">
        <v>154</v>
      </c>
      <c r="C90" s="336"/>
      <c r="D90" s="336"/>
      <c r="E90" s="220" t="s">
        <v>141</v>
      </c>
      <c r="F90" s="962">
        <v>0</v>
      </c>
      <c r="G90" s="962">
        <v>0</v>
      </c>
      <c r="H90" s="316"/>
      <c r="I90" s="219">
        <f t="shared" si="8"/>
        <v>0</v>
      </c>
      <c r="J90" s="2745"/>
      <c r="K90" s="2745"/>
      <c r="L90" s="2745"/>
      <c r="M90" s="2746"/>
    </row>
    <row r="91" spans="1:13" ht="30" customHeight="1">
      <c r="A91" s="276" t="s">
        <v>1084</v>
      </c>
      <c r="B91" s="336" t="s">
        <v>155</v>
      </c>
      <c r="C91" s="336"/>
      <c r="D91" s="336"/>
      <c r="E91" s="220" t="s">
        <v>141</v>
      </c>
      <c r="F91" s="962">
        <v>0</v>
      </c>
      <c r="G91" s="962">
        <v>0</v>
      </c>
      <c r="H91" s="316"/>
      <c r="I91" s="219">
        <f t="shared" si="8"/>
        <v>0</v>
      </c>
      <c r="J91" s="2745"/>
      <c r="K91" s="2745"/>
      <c r="L91" s="2745"/>
      <c r="M91" s="2746"/>
    </row>
    <row r="92" spans="1:13" ht="30" customHeight="1" thickBot="1">
      <c r="A92" s="846" t="s">
        <v>1085</v>
      </c>
      <c r="B92" s="847" t="s">
        <v>238</v>
      </c>
      <c r="C92" s="847"/>
      <c r="D92" s="848"/>
      <c r="E92" s="849"/>
      <c r="F92" s="849"/>
      <c r="G92" s="850"/>
      <c r="H92" s="870"/>
      <c r="I92" s="868">
        <f>SUM(I86:I91)</f>
        <v>0</v>
      </c>
      <c r="J92" s="2760"/>
      <c r="K92" s="2760"/>
      <c r="L92" s="2760"/>
      <c r="M92" s="2761"/>
    </row>
    <row r="93" spans="1:13" ht="30" customHeight="1">
      <c r="A93" s="851">
        <v>31.65</v>
      </c>
      <c r="B93" s="544" t="s">
        <v>307</v>
      </c>
      <c r="C93" s="544"/>
      <c r="D93" s="544"/>
      <c r="E93" s="340" t="s">
        <v>85</v>
      </c>
      <c r="F93" s="340" t="s">
        <v>878</v>
      </c>
      <c r="G93" s="987">
        <v>0</v>
      </c>
      <c r="H93" s="324"/>
      <c r="I93" s="538">
        <f>ROUND(G93*$I$83,0)</f>
        <v>0</v>
      </c>
      <c r="J93" s="2762"/>
      <c r="K93" s="2762"/>
      <c r="L93" s="2762"/>
      <c r="M93" s="2763"/>
    </row>
    <row r="94" spans="1:13" ht="30" customHeight="1">
      <c r="A94" s="276">
        <v>31.66</v>
      </c>
      <c r="B94" s="555" t="s">
        <v>92</v>
      </c>
      <c r="C94" s="555"/>
      <c r="D94" s="555"/>
      <c r="E94" s="542" t="s">
        <v>85</v>
      </c>
      <c r="F94" s="220" t="s">
        <v>878</v>
      </c>
      <c r="G94" s="965">
        <v>0</v>
      </c>
      <c r="H94" s="219"/>
      <c r="I94" s="222">
        <f>ROUND(G94*$I$83,0)</f>
        <v>0</v>
      </c>
      <c r="J94" s="2745"/>
      <c r="K94" s="2745"/>
      <c r="L94" s="2745"/>
      <c r="M94" s="2746"/>
    </row>
    <row r="95" spans="1:13" ht="30" customHeight="1">
      <c r="A95" s="276">
        <v>31.67</v>
      </c>
      <c r="B95" s="302" t="s">
        <v>169</v>
      </c>
      <c r="C95" s="302"/>
      <c r="D95" s="302"/>
      <c r="E95" s="220" t="s">
        <v>85</v>
      </c>
      <c r="F95" s="220" t="s">
        <v>878</v>
      </c>
      <c r="G95" s="965">
        <v>0</v>
      </c>
      <c r="H95" s="219"/>
      <c r="I95" s="222">
        <f>ROUND(G95*$I$83,0)</f>
        <v>0</v>
      </c>
      <c r="J95" s="2745"/>
      <c r="K95" s="2745"/>
      <c r="L95" s="2745"/>
      <c r="M95" s="2746"/>
    </row>
    <row r="96" spans="1:13" ht="20.100000000000001" customHeight="1">
      <c r="A96" s="2779" t="s">
        <v>178</v>
      </c>
      <c r="B96" s="2780"/>
      <c r="C96" s="2780"/>
      <c r="D96" s="2780"/>
      <c r="E96" s="2780"/>
      <c r="F96" s="2780"/>
      <c r="G96" s="2780"/>
      <c r="H96" s="539">
        <f>$H$83</f>
        <v>0</v>
      </c>
      <c r="I96" s="247">
        <f>I95+I94+I93+I92+I84+I83</f>
        <v>0</v>
      </c>
      <c r="J96" s="2754"/>
      <c r="K96" s="2754"/>
      <c r="L96" s="2754"/>
      <c r="M96" s="2755"/>
    </row>
    <row r="97" spans="1:13" ht="20.100000000000001" customHeight="1">
      <c r="A97" s="497"/>
      <c r="B97" s="453" t="s">
        <v>218</v>
      </c>
      <c r="C97" s="498"/>
      <c r="D97" s="498"/>
      <c r="E97" s="498"/>
      <c r="F97" s="498"/>
      <c r="G97" s="498"/>
      <c r="H97" s="871"/>
      <c r="I97" s="871"/>
      <c r="J97" s="2754"/>
      <c r="K97" s="2754"/>
      <c r="L97" s="2754"/>
      <c r="M97" s="2755"/>
    </row>
    <row r="98" spans="1:13" s="580" customFormat="1" ht="30" customHeight="1">
      <c r="A98" s="506">
        <v>31.68</v>
      </c>
      <c r="B98" s="464" t="s">
        <v>373</v>
      </c>
      <c r="C98" s="464"/>
      <c r="D98" s="464"/>
      <c r="E98" s="273" t="s">
        <v>100</v>
      </c>
      <c r="F98" s="962">
        <v>0</v>
      </c>
      <c r="G98" s="962">
        <v>0</v>
      </c>
      <c r="H98" s="315">
        <f>F98</f>
        <v>0</v>
      </c>
      <c r="I98" s="371">
        <f t="shared" ref="I98:I111" si="9">ROUND(F98*G98,0)</f>
        <v>0</v>
      </c>
      <c r="J98" s="2745"/>
      <c r="K98" s="2745"/>
      <c r="L98" s="2745"/>
      <c r="M98" s="2746"/>
    </row>
    <row r="99" spans="1:13" ht="30" customHeight="1">
      <c r="A99" s="276">
        <f>A98+0.01</f>
        <v>31.69</v>
      </c>
      <c r="B99" s="336" t="s">
        <v>1755</v>
      </c>
      <c r="C99" s="336"/>
      <c r="D99" s="336"/>
      <c r="E99" s="220" t="s">
        <v>100</v>
      </c>
      <c r="F99" s="962">
        <v>0</v>
      </c>
      <c r="G99" s="962">
        <v>0</v>
      </c>
      <c r="H99" s="315">
        <f t="shared" ref="H99:H107" si="10">F99</f>
        <v>0</v>
      </c>
      <c r="I99" s="222">
        <f t="shared" si="9"/>
        <v>0</v>
      </c>
      <c r="J99" s="2745"/>
      <c r="K99" s="2745"/>
      <c r="L99" s="2745"/>
      <c r="M99" s="2746"/>
    </row>
    <row r="100" spans="1:13" ht="30" customHeight="1">
      <c r="A100" s="276">
        <f t="shared" ref="A100:A111" si="11">A99+0.01</f>
        <v>31.700000000000003</v>
      </c>
      <c r="B100" s="336" t="s">
        <v>1756</v>
      </c>
      <c r="C100" s="336"/>
      <c r="D100" s="336"/>
      <c r="E100" s="220" t="s">
        <v>100</v>
      </c>
      <c r="F100" s="962">
        <v>0</v>
      </c>
      <c r="G100" s="962">
        <v>0</v>
      </c>
      <c r="H100" s="315">
        <f t="shared" si="10"/>
        <v>0</v>
      </c>
      <c r="I100" s="222">
        <f t="shared" si="9"/>
        <v>0</v>
      </c>
      <c r="J100" s="2745"/>
      <c r="K100" s="2745"/>
      <c r="L100" s="2745"/>
      <c r="M100" s="2746"/>
    </row>
    <row r="101" spans="1:13" ht="30" customHeight="1">
      <c r="A101" s="276">
        <f t="shared" si="11"/>
        <v>31.710000000000004</v>
      </c>
      <c r="B101" s="336" t="s">
        <v>617</v>
      </c>
      <c r="C101" s="336"/>
      <c r="D101" s="336"/>
      <c r="E101" s="220" t="s">
        <v>100</v>
      </c>
      <c r="F101" s="962">
        <v>0</v>
      </c>
      <c r="G101" s="962">
        <v>0</v>
      </c>
      <c r="H101" s="315">
        <f t="shared" si="10"/>
        <v>0</v>
      </c>
      <c r="I101" s="222">
        <f t="shared" si="9"/>
        <v>0</v>
      </c>
      <c r="J101" s="2745"/>
      <c r="K101" s="2745"/>
      <c r="L101" s="2745"/>
      <c r="M101" s="2746"/>
    </row>
    <row r="102" spans="1:13" ht="30" customHeight="1">
      <c r="A102" s="276">
        <f t="shared" si="11"/>
        <v>31.720000000000006</v>
      </c>
      <c r="B102" s="336" t="s">
        <v>1757</v>
      </c>
      <c r="C102" s="336"/>
      <c r="D102" s="336"/>
      <c r="E102" s="220" t="s">
        <v>100</v>
      </c>
      <c r="F102" s="962">
        <v>0</v>
      </c>
      <c r="G102" s="962">
        <v>0</v>
      </c>
      <c r="H102" s="315">
        <f t="shared" si="10"/>
        <v>0</v>
      </c>
      <c r="I102" s="222">
        <f t="shared" si="9"/>
        <v>0</v>
      </c>
      <c r="J102" s="2745"/>
      <c r="K102" s="2745"/>
      <c r="L102" s="2745"/>
      <c r="M102" s="2746"/>
    </row>
    <row r="103" spans="1:13" ht="30" customHeight="1">
      <c r="A103" s="276">
        <f t="shared" si="11"/>
        <v>31.730000000000008</v>
      </c>
      <c r="B103" s="336" t="s">
        <v>1758</v>
      </c>
      <c r="C103" s="336"/>
      <c r="D103" s="336"/>
      <c r="E103" s="220" t="s">
        <v>100</v>
      </c>
      <c r="F103" s="962">
        <v>0</v>
      </c>
      <c r="G103" s="962">
        <v>0</v>
      </c>
      <c r="H103" s="315">
        <f t="shared" si="10"/>
        <v>0</v>
      </c>
      <c r="I103" s="222">
        <f t="shared" si="9"/>
        <v>0</v>
      </c>
      <c r="J103" s="2745"/>
      <c r="K103" s="2745"/>
      <c r="L103" s="2745"/>
      <c r="M103" s="2746"/>
    </row>
    <row r="104" spans="1:13" ht="30" customHeight="1">
      <c r="A104" s="276">
        <f t="shared" si="11"/>
        <v>31.740000000000009</v>
      </c>
      <c r="B104" s="336" t="s">
        <v>1759</v>
      </c>
      <c r="C104" s="336"/>
      <c r="D104" s="336"/>
      <c r="E104" s="220" t="s">
        <v>100</v>
      </c>
      <c r="F104" s="962">
        <v>0</v>
      </c>
      <c r="G104" s="962">
        <v>0</v>
      </c>
      <c r="H104" s="315">
        <f t="shared" si="10"/>
        <v>0</v>
      </c>
      <c r="I104" s="222">
        <f t="shared" si="9"/>
        <v>0</v>
      </c>
      <c r="J104" s="2745"/>
      <c r="K104" s="2745"/>
      <c r="L104" s="2745"/>
      <c r="M104" s="2746"/>
    </row>
    <row r="105" spans="1:13" ht="30" customHeight="1">
      <c r="A105" s="276">
        <f t="shared" si="11"/>
        <v>31.750000000000011</v>
      </c>
      <c r="B105" s="336" t="s">
        <v>1760</v>
      </c>
      <c r="C105" s="336"/>
      <c r="D105" s="336"/>
      <c r="E105" s="220" t="s">
        <v>100</v>
      </c>
      <c r="F105" s="962">
        <v>0</v>
      </c>
      <c r="G105" s="962">
        <v>0</v>
      </c>
      <c r="H105" s="315">
        <f t="shared" si="10"/>
        <v>0</v>
      </c>
      <c r="I105" s="222">
        <f t="shared" si="9"/>
        <v>0</v>
      </c>
      <c r="J105" s="2745"/>
      <c r="K105" s="2745"/>
      <c r="L105" s="2745"/>
      <c r="M105" s="2746"/>
    </row>
    <row r="106" spans="1:13" ht="30" customHeight="1">
      <c r="A106" s="276">
        <f t="shared" si="11"/>
        <v>31.760000000000012</v>
      </c>
      <c r="B106" s="336" t="s">
        <v>349</v>
      </c>
      <c r="C106" s="336"/>
      <c r="D106" s="336"/>
      <c r="E106" s="220" t="s">
        <v>100</v>
      </c>
      <c r="F106" s="962">
        <v>0</v>
      </c>
      <c r="G106" s="962">
        <v>0</v>
      </c>
      <c r="H106" s="315">
        <f t="shared" si="10"/>
        <v>0</v>
      </c>
      <c r="I106" s="222">
        <f t="shared" si="9"/>
        <v>0</v>
      </c>
      <c r="J106" s="2745"/>
      <c r="K106" s="2745"/>
      <c r="L106" s="2745"/>
      <c r="M106" s="2746"/>
    </row>
    <row r="107" spans="1:13" ht="30" customHeight="1">
      <c r="A107" s="276">
        <f t="shared" si="11"/>
        <v>31.770000000000014</v>
      </c>
      <c r="B107" s="336" t="s">
        <v>179</v>
      </c>
      <c r="C107" s="336"/>
      <c r="D107" s="336"/>
      <c r="E107" s="220" t="s">
        <v>100</v>
      </c>
      <c r="F107" s="962">
        <v>0</v>
      </c>
      <c r="G107" s="962">
        <v>0</v>
      </c>
      <c r="H107" s="315">
        <f t="shared" si="10"/>
        <v>0</v>
      </c>
      <c r="I107" s="222">
        <f t="shared" si="9"/>
        <v>0</v>
      </c>
      <c r="J107" s="2745"/>
      <c r="K107" s="2745"/>
      <c r="L107" s="2745"/>
      <c r="M107" s="2746"/>
    </row>
    <row r="108" spans="1:13" ht="30" customHeight="1">
      <c r="A108" s="276">
        <f t="shared" si="11"/>
        <v>31.780000000000015</v>
      </c>
      <c r="B108" s="336" t="s">
        <v>167</v>
      </c>
      <c r="C108" s="336"/>
      <c r="D108" s="336"/>
      <c r="E108" s="220" t="s">
        <v>85</v>
      </c>
      <c r="F108" s="220">
        <v>1</v>
      </c>
      <c r="G108" s="962">
        <v>0</v>
      </c>
      <c r="H108" s="219"/>
      <c r="I108" s="222">
        <f t="shared" si="9"/>
        <v>0</v>
      </c>
      <c r="J108" s="2745"/>
      <c r="K108" s="2745"/>
      <c r="L108" s="2745"/>
      <c r="M108" s="2746"/>
    </row>
    <row r="109" spans="1:13" ht="30" customHeight="1">
      <c r="A109" s="276">
        <f t="shared" si="11"/>
        <v>31.790000000000017</v>
      </c>
      <c r="B109" s="336" t="s">
        <v>168</v>
      </c>
      <c r="C109" s="336"/>
      <c r="D109" s="336"/>
      <c r="E109" s="220" t="s">
        <v>85</v>
      </c>
      <c r="F109" s="220">
        <v>1</v>
      </c>
      <c r="G109" s="962">
        <v>0</v>
      </c>
      <c r="H109" s="219"/>
      <c r="I109" s="222">
        <f>ROUND(F109*G109,0)</f>
        <v>0</v>
      </c>
      <c r="J109" s="2745"/>
      <c r="K109" s="2745"/>
      <c r="L109" s="2745"/>
      <c r="M109" s="2746"/>
    </row>
    <row r="110" spans="1:13" ht="30" customHeight="1">
      <c r="A110" s="276">
        <f t="shared" si="11"/>
        <v>31.800000000000018</v>
      </c>
      <c r="B110" s="336" t="s">
        <v>189</v>
      </c>
      <c r="C110" s="336"/>
      <c r="D110" s="336"/>
      <c r="E110" s="220" t="s">
        <v>85</v>
      </c>
      <c r="F110" s="220">
        <v>1</v>
      </c>
      <c r="G110" s="962">
        <v>0</v>
      </c>
      <c r="H110" s="219"/>
      <c r="I110" s="222">
        <f t="shared" si="9"/>
        <v>0</v>
      </c>
      <c r="J110" s="2745"/>
      <c r="K110" s="2745"/>
      <c r="L110" s="2745"/>
      <c r="M110" s="2746"/>
    </row>
    <row r="111" spans="1:13" ht="30" customHeight="1">
      <c r="A111" s="276">
        <f t="shared" si="11"/>
        <v>31.81000000000002</v>
      </c>
      <c r="B111" s="464" t="s">
        <v>1638</v>
      </c>
      <c r="C111" s="336"/>
      <c r="D111" s="336"/>
      <c r="E111" s="220" t="s">
        <v>85</v>
      </c>
      <c r="F111" s="220">
        <v>1</v>
      </c>
      <c r="G111" s="962">
        <v>0</v>
      </c>
      <c r="H111" s="219"/>
      <c r="I111" s="222">
        <f t="shared" si="9"/>
        <v>0</v>
      </c>
      <c r="J111" s="2745"/>
      <c r="K111" s="2745"/>
      <c r="L111" s="2745"/>
      <c r="M111" s="2746"/>
    </row>
    <row r="112" spans="1:13" ht="20.100000000000001" customHeight="1">
      <c r="A112" s="2776" t="s">
        <v>646</v>
      </c>
      <c r="B112" s="2777"/>
      <c r="C112" s="2777"/>
      <c r="D112" s="2777"/>
      <c r="E112" s="2777"/>
      <c r="F112" s="2777"/>
      <c r="G112" s="2778"/>
      <c r="H112" s="539">
        <f>SUM(H98:H111)</f>
        <v>0</v>
      </c>
      <c r="I112" s="247">
        <f>SUM(I98:I111)</f>
        <v>0</v>
      </c>
      <c r="J112" s="2754"/>
      <c r="K112" s="2754"/>
      <c r="L112" s="2754"/>
      <c r="M112" s="2755"/>
    </row>
    <row r="113" spans="1:13" ht="30" customHeight="1" thickBot="1">
      <c r="A113" s="841">
        <v>31.82</v>
      </c>
      <c r="B113" s="842" t="s">
        <v>133</v>
      </c>
      <c r="C113" s="842"/>
      <c r="D113" s="842"/>
      <c r="E113" s="812" t="s">
        <v>85</v>
      </c>
      <c r="F113" s="812">
        <v>1</v>
      </c>
      <c r="G113" s="963">
        <v>0</v>
      </c>
      <c r="H113" s="223"/>
      <c r="I113" s="224">
        <f>ROUND(F113*G113,0)</f>
        <v>0</v>
      </c>
      <c r="J113" s="2756"/>
      <c r="K113" s="2756"/>
      <c r="L113" s="2756"/>
      <c r="M113" s="2757"/>
    </row>
    <row r="114" spans="1:13" ht="30" customHeight="1">
      <c r="A114" s="843">
        <v>31.83</v>
      </c>
      <c r="B114" s="844" t="s">
        <v>707</v>
      </c>
      <c r="C114" s="844"/>
      <c r="D114" s="844"/>
      <c r="E114" s="610"/>
      <c r="F114" s="610"/>
      <c r="G114" s="611"/>
      <c r="H114" s="612"/>
      <c r="I114" s="869"/>
      <c r="J114" s="2758" t="s">
        <v>395</v>
      </c>
      <c r="K114" s="2758"/>
      <c r="L114" s="2758"/>
      <c r="M114" s="2759"/>
    </row>
    <row r="115" spans="1:13" ht="30" customHeight="1">
      <c r="A115" s="276" t="s">
        <v>1086</v>
      </c>
      <c r="B115" s="336" t="s">
        <v>841</v>
      </c>
      <c r="C115" s="336"/>
      <c r="D115" s="336"/>
      <c r="E115" s="220" t="s">
        <v>141</v>
      </c>
      <c r="F115" s="962">
        <v>0</v>
      </c>
      <c r="G115" s="962">
        <v>0</v>
      </c>
      <c r="H115" s="316"/>
      <c r="I115" s="219">
        <f t="shared" ref="I115:I120" si="12">G115*F115</f>
        <v>0</v>
      </c>
      <c r="J115" s="2745"/>
      <c r="K115" s="2745"/>
      <c r="L115" s="2745"/>
      <c r="M115" s="2746"/>
    </row>
    <row r="116" spans="1:13" ht="30" customHeight="1">
      <c r="A116" s="276" t="s">
        <v>1087</v>
      </c>
      <c r="B116" s="464" t="s">
        <v>842</v>
      </c>
      <c r="C116" s="464"/>
      <c r="D116" s="336"/>
      <c r="E116" s="220" t="s">
        <v>141</v>
      </c>
      <c r="F116" s="962">
        <v>0</v>
      </c>
      <c r="G116" s="962">
        <v>0</v>
      </c>
      <c r="H116" s="316"/>
      <c r="I116" s="219">
        <f t="shared" si="12"/>
        <v>0</v>
      </c>
      <c r="J116" s="2745"/>
      <c r="K116" s="2745"/>
      <c r="L116" s="2745"/>
      <c r="M116" s="2746"/>
    </row>
    <row r="117" spans="1:13" ht="30" customHeight="1">
      <c r="A117" s="276" t="s">
        <v>1088</v>
      </c>
      <c r="B117" s="464" t="s">
        <v>843</v>
      </c>
      <c r="C117" s="464"/>
      <c r="D117" s="336"/>
      <c r="E117" s="220" t="s">
        <v>141</v>
      </c>
      <c r="F117" s="962">
        <v>0</v>
      </c>
      <c r="G117" s="962">
        <v>0</v>
      </c>
      <c r="H117" s="316"/>
      <c r="I117" s="219">
        <f t="shared" si="12"/>
        <v>0</v>
      </c>
      <c r="J117" s="2745"/>
      <c r="K117" s="2745"/>
      <c r="L117" s="2745"/>
      <c r="M117" s="2746"/>
    </row>
    <row r="118" spans="1:13" ht="30" customHeight="1">
      <c r="A118" s="276" t="s">
        <v>1089</v>
      </c>
      <c r="B118" s="336" t="s">
        <v>231</v>
      </c>
      <c r="C118" s="336"/>
      <c r="D118" s="336"/>
      <c r="E118" s="220" t="s">
        <v>141</v>
      </c>
      <c r="F118" s="962">
        <v>0</v>
      </c>
      <c r="G118" s="962">
        <v>0</v>
      </c>
      <c r="H118" s="316"/>
      <c r="I118" s="219">
        <f t="shared" si="12"/>
        <v>0</v>
      </c>
      <c r="J118" s="2745"/>
      <c r="K118" s="2745"/>
      <c r="L118" s="2745"/>
      <c r="M118" s="2746"/>
    </row>
    <row r="119" spans="1:13" ht="30" customHeight="1">
      <c r="A119" s="276" t="s">
        <v>1090</v>
      </c>
      <c r="B119" s="336" t="s">
        <v>154</v>
      </c>
      <c r="C119" s="336"/>
      <c r="D119" s="336"/>
      <c r="E119" s="220" t="s">
        <v>141</v>
      </c>
      <c r="F119" s="962">
        <v>0</v>
      </c>
      <c r="G119" s="962">
        <v>0</v>
      </c>
      <c r="H119" s="316"/>
      <c r="I119" s="219">
        <f t="shared" si="12"/>
        <v>0</v>
      </c>
      <c r="J119" s="2745"/>
      <c r="K119" s="2745"/>
      <c r="L119" s="2745"/>
      <c r="M119" s="2746"/>
    </row>
    <row r="120" spans="1:13" ht="30" customHeight="1">
      <c r="A120" s="276" t="s">
        <v>1091</v>
      </c>
      <c r="B120" s="336" t="s">
        <v>155</v>
      </c>
      <c r="C120" s="336"/>
      <c r="D120" s="336"/>
      <c r="E120" s="220" t="s">
        <v>141</v>
      </c>
      <c r="F120" s="962">
        <v>0</v>
      </c>
      <c r="G120" s="962">
        <v>0</v>
      </c>
      <c r="H120" s="316"/>
      <c r="I120" s="219">
        <f t="shared" si="12"/>
        <v>0</v>
      </c>
      <c r="J120" s="2745"/>
      <c r="K120" s="2745"/>
      <c r="L120" s="2745"/>
      <c r="M120" s="2746"/>
    </row>
    <row r="121" spans="1:13" ht="30" customHeight="1" thickBot="1">
      <c r="A121" s="846" t="s">
        <v>1092</v>
      </c>
      <c r="B121" s="847" t="s">
        <v>238</v>
      </c>
      <c r="C121" s="847"/>
      <c r="D121" s="848"/>
      <c r="E121" s="849"/>
      <c r="F121" s="849"/>
      <c r="G121" s="850"/>
      <c r="H121" s="870"/>
      <c r="I121" s="868">
        <f>SUM(I115:I120)</f>
        <v>0</v>
      </c>
      <c r="J121" s="2760"/>
      <c r="K121" s="2760"/>
      <c r="L121" s="2760"/>
      <c r="M121" s="2761"/>
    </row>
    <row r="122" spans="1:13" ht="30" customHeight="1">
      <c r="A122" s="851">
        <v>31.84</v>
      </c>
      <c r="B122" s="544" t="s">
        <v>307</v>
      </c>
      <c r="C122" s="544"/>
      <c r="D122" s="544"/>
      <c r="E122" s="340" t="s">
        <v>85</v>
      </c>
      <c r="F122" s="340" t="s">
        <v>878</v>
      </c>
      <c r="G122" s="987">
        <v>0</v>
      </c>
      <c r="H122" s="324"/>
      <c r="I122" s="538">
        <f>ROUND(G122*$I$112,0)</f>
        <v>0</v>
      </c>
      <c r="J122" s="2762"/>
      <c r="K122" s="2762"/>
      <c r="L122" s="2762"/>
      <c r="M122" s="2763"/>
    </row>
    <row r="123" spans="1:13" ht="30" customHeight="1">
      <c r="A123" s="276">
        <v>31.85</v>
      </c>
      <c r="B123" s="555" t="s">
        <v>92</v>
      </c>
      <c r="C123" s="555"/>
      <c r="D123" s="555"/>
      <c r="E123" s="542" t="s">
        <v>85</v>
      </c>
      <c r="F123" s="220" t="s">
        <v>878</v>
      </c>
      <c r="G123" s="965">
        <v>0</v>
      </c>
      <c r="H123" s="219"/>
      <c r="I123" s="222">
        <f>ROUND(G123*$I$112,0)</f>
        <v>0</v>
      </c>
      <c r="J123" s="2745"/>
      <c r="K123" s="2745"/>
      <c r="L123" s="2745"/>
      <c r="M123" s="2746"/>
    </row>
    <row r="124" spans="1:13" ht="30" customHeight="1">
      <c r="A124" s="276">
        <v>31.86</v>
      </c>
      <c r="B124" s="302" t="s">
        <v>169</v>
      </c>
      <c r="C124" s="302"/>
      <c r="D124" s="302"/>
      <c r="E124" s="220" t="s">
        <v>85</v>
      </c>
      <c r="F124" s="220" t="s">
        <v>878</v>
      </c>
      <c r="G124" s="965">
        <v>0</v>
      </c>
      <c r="H124" s="219"/>
      <c r="I124" s="222">
        <f>ROUND(G124*$I$112,0)</f>
        <v>0</v>
      </c>
      <c r="J124" s="2745"/>
      <c r="K124" s="2745"/>
      <c r="L124" s="2745"/>
      <c r="M124" s="2746"/>
    </row>
    <row r="125" spans="1:13" ht="20.100000000000001" customHeight="1">
      <c r="A125" s="2779" t="s">
        <v>180</v>
      </c>
      <c r="B125" s="2780"/>
      <c r="C125" s="2780"/>
      <c r="D125" s="2780"/>
      <c r="E125" s="2780"/>
      <c r="F125" s="2780"/>
      <c r="G125" s="2780"/>
      <c r="H125" s="539">
        <f>$H$112</f>
        <v>0</v>
      </c>
      <c r="I125" s="247">
        <f>I124+I123+I122+I121+I113+I112</f>
        <v>0</v>
      </c>
      <c r="J125" s="2754"/>
      <c r="K125" s="2754"/>
      <c r="L125" s="2754"/>
      <c r="M125" s="2755"/>
    </row>
    <row r="126" spans="1:13" ht="20.100000000000001" customHeight="1">
      <c r="A126" s="497"/>
      <c r="B126" s="453" t="s">
        <v>219</v>
      </c>
      <c r="C126" s="498"/>
      <c r="D126" s="498"/>
      <c r="E126" s="498"/>
      <c r="F126" s="498"/>
      <c r="G126" s="498"/>
      <c r="H126" s="871"/>
      <c r="I126" s="871"/>
      <c r="J126" s="2754"/>
      <c r="K126" s="2754"/>
      <c r="L126" s="2754"/>
      <c r="M126" s="2755"/>
    </row>
    <row r="127" spans="1:13" ht="30" customHeight="1">
      <c r="A127" s="276">
        <v>31.87</v>
      </c>
      <c r="B127" s="464" t="s">
        <v>373</v>
      </c>
      <c r="C127" s="464"/>
      <c r="D127" s="464"/>
      <c r="E127" s="220" t="s">
        <v>100</v>
      </c>
      <c r="F127" s="962">
        <v>0</v>
      </c>
      <c r="G127" s="962">
        <v>0</v>
      </c>
      <c r="H127" s="315">
        <f t="shared" ref="H127:H133" si="13">F127</f>
        <v>0</v>
      </c>
      <c r="I127" s="222">
        <f t="shared" ref="I127:I133" si="14">ROUND(F127*G127,0)</f>
        <v>0</v>
      </c>
      <c r="J127" s="2745"/>
      <c r="K127" s="2745"/>
      <c r="L127" s="2745"/>
      <c r="M127" s="2746"/>
    </row>
    <row r="128" spans="1:13" ht="30" customHeight="1">
      <c r="A128" s="276">
        <f>A127+0.01</f>
        <v>31.880000000000003</v>
      </c>
      <c r="B128" s="336" t="s">
        <v>1755</v>
      </c>
      <c r="C128" s="336"/>
      <c r="D128" s="336"/>
      <c r="E128" s="220" t="s">
        <v>100</v>
      </c>
      <c r="F128" s="962">
        <v>0</v>
      </c>
      <c r="G128" s="962">
        <v>0</v>
      </c>
      <c r="H128" s="315">
        <f t="shared" si="13"/>
        <v>0</v>
      </c>
      <c r="I128" s="222">
        <f t="shared" si="14"/>
        <v>0</v>
      </c>
      <c r="J128" s="2745"/>
      <c r="K128" s="2745"/>
      <c r="L128" s="2745"/>
      <c r="M128" s="2746"/>
    </row>
    <row r="129" spans="1:13" ht="30" customHeight="1">
      <c r="A129" s="276">
        <f t="shared" ref="A129:A136" si="15">A128+0.01</f>
        <v>31.890000000000004</v>
      </c>
      <c r="B129" s="336" t="s">
        <v>1756</v>
      </c>
      <c r="C129" s="336"/>
      <c r="D129" s="336"/>
      <c r="E129" s="220" t="s">
        <v>100</v>
      </c>
      <c r="F129" s="962">
        <v>0</v>
      </c>
      <c r="G129" s="962">
        <v>0</v>
      </c>
      <c r="H129" s="315">
        <f t="shared" si="13"/>
        <v>0</v>
      </c>
      <c r="I129" s="222">
        <f t="shared" si="14"/>
        <v>0</v>
      </c>
      <c r="J129" s="2745"/>
      <c r="K129" s="2745"/>
      <c r="L129" s="2745"/>
      <c r="M129" s="2746"/>
    </row>
    <row r="130" spans="1:13" ht="30" customHeight="1">
      <c r="A130" s="276">
        <f t="shared" si="15"/>
        <v>31.900000000000006</v>
      </c>
      <c r="B130" s="336" t="s">
        <v>1761</v>
      </c>
      <c r="C130" s="336"/>
      <c r="D130" s="336"/>
      <c r="E130" s="220" t="s">
        <v>100</v>
      </c>
      <c r="F130" s="962">
        <v>0</v>
      </c>
      <c r="G130" s="962">
        <v>0</v>
      </c>
      <c r="H130" s="315">
        <f t="shared" si="13"/>
        <v>0</v>
      </c>
      <c r="I130" s="222">
        <f t="shared" si="14"/>
        <v>0</v>
      </c>
      <c r="J130" s="2745"/>
      <c r="K130" s="2745"/>
      <c r="L130" s="2745"/>
      <c r="M130" s="2746"/>
    </row>
    <row r="131" spans="1:13" ht="30" customHeight="1">
      <c r="A131" s="276">
        <f t="shared" si="15"/>
        <v>31.910000000000007</v>
      </c>
      <c r="B131" s="336" t="s">
        <v>1762</v>
      </c>
      <c r="C131" s="336"/>
      <c r="D131" s="336"/>
      <c r="E131" s="220" t="s">
        <v>100</v>
      </c>
      <c r="F131" s="962">
        <v>0</v>
      </c>
      <c r="G131" s="962">
        <v>0</v>
      </c>
      <c r="H131" s="315">
        <f t="shared" si="13"/>
        <v>0</v>
      </c>
      <c r="I131" s="222">
        <f t="shared" si="14"/>
        <v>0</v>
      </c>
      <c r="J131" s="2745"/>
      <c r="K131" s="2745"/>
      <c r="L131" s="2745"/>
      <c r="M131" s="2746"/>
    </row>
    <row r="132" spans="1:13" ht="30" customHeight="1">
      <c r="A132" s="276">
        <f t="shared" si="15"/>
        <v>31.920000000000009</v>
      </c>
      <c r="B132" s="336" t="s">
        <v>617</v>
      </c>
      <c r="C132" s="336"/>
      <c r="D132" s="336"/>
      <c r="E132" s="220" t="s">
        <v>100</v>
      </c>
      <c r="F132" s="962">
        <v>0</v>
      </c>
      <c r="G132" s="962">
        <v>0</v>
      </c>
      <c r="H132" s="315">
        <f t="shared" si="13"/>
        <v>0</v>
      </c>
      <c r="I132" s="222">
        <f t="shared" si="14"/>
        <v>0</v>
      </c>
      <c r="J132" s="2745"/>
      <c r="K132" s="2745"/>
      <c r="L132" s="2745"/>
      <c r="M132" s="2746"/>
    </row>
    <row r="133" spans="1:13" ht="30" customHeight="1">
      <c r="A133" s="276">
        <f t="shared" si="15"/>
        <v>31.93000000000001</v>
      </c>
      <c r="B133" s="336" t="s">
        <v>167</v>
      </c>
      <c r="C133" s="336"/>
      <c r="D133" s="336"/>
      <c r="E133" s="220" t="s">
        <v>100</v>
      </c>
      <c r="F133" s="962">
        <v>0</v>
      </c>
      <c r="G133" s="962">
        <v>0</v>
      </c>
      <c r="H133" s="315">
        <f t="shared" si="13"/>
        <v>0</v>
      </c>
      <c r="I133" s="222">
        <f t="shared" si="14"/>
        <v>0</v>
      </c>
      <c r="J133" s="2745"/>
      <c r="K133" s="2745"/>
      <c r="L133" s="2745"/>
      <c r="M133" s="2746"/>
    </row>
    <row r="134" spans="1:13" ht="30" customHeight="1">
      <c r="A134" s="276">
        <f t="shared" si="15"/>
        <v>31.940000000000012</v>
      </c>
      <c r="B134" s="336" t="s">
        <v>168</v>
      </c>
      <c r="C134" s="336"/>
      <c r="D134" s="336"/>
      <c r="E134" s="220" t="s">
        <v>85</v>
      </c>
      <c r="F134" s="220">
        <v>1</v>
      </c>
      <c r="G134" s="962">
        <v>0</v>
      </c>
      <c r="H134" s="219"/>
      <c r="I134" s="222">
        <f>ROUND(F134*G134,0)</f>
        <v>0</v>
      </c>
      <c r="J134" s="2745"/>
      <c r="K134" s="2745"/>
      <c r="L134" s="2745"/>
      <c r="M134" s="2746"/>
    </row>
    <row r="135" spans="1:13" ht="30" customHeight="1">
      <c r="A135" s="276">
        <f t="shared" si="15"/>
        <v>31.950000000000014</v>
      </c>
      <c r="B135" s="336" t="s">
        <v>189</v>
      </c>
      <c r="C135" s="336"/>
      <c r="D135" s="336"/>
      <c r="E135" s="220" t="s">
        <v>85</v>
      </c>
      <c r="F135" s="220">
        <v>1</v>
      </c>
      <c r="G135" s="962">
        <v>0</v>
      </c>
      <c r="H135" s="219"/>
      <c r="I135" s="222">
        <f>ROUND(F135*G135,0)</f>
        <v>0</v>
      </c>
      <c r="J135" s="2745"/>
      <c r="K135" s="2745"/>
      <c r="L135" s="2745"/>
      <c r="M135" s="2746"/>
    </row>
    <row r="136" spans="1:13" ht="30" customHeight="1">
      <c r="A136" s="276">
        <f t="shared" si="15"/>
        <v>31.960000000000015</v>
      </c>
      <c r="B136" s="464" t="s">
        <v>1638</v>
      </c>
      <c r="C136" s="336"/>
      <c r="D136" s="336"/>
      <c r="E136" s="220" t="s">
        <v>85</v>
      </c>
      <c r="F136" s="220">
        <v>1</v>
      </c>
      <c r="G136" s="962">
        <v>0</v>
      </c>
      <c r="H136" s="219"/>
      <c r="I136" s="222">
        <f>ROUND(F136*G136,0)</f>
        <v>0</v>
      </c>
      <c r="J136" s="2745"/>
      <c r="K136" s="2745"/>
      <c r="L136" s="2745"/>
      <c r="M136" s="2746"/>
    </row>
    <row r="137" spans="1:13" ht="20.100000000000001" customHeight="1">
      <c r="A137" s="2776" t="s">
        <v>647</v>
      </c>
      <c r="B137" s="2777"/>
      <c r="C137" s="2777"/>
      <c r="D137" s="2777"/>
      <c r="E137" s="2777"/>
      <c r="F137" s="2777"/>
      <c r="G137" s="2778"/>
      <c r="H137" s="539">
        <f>SUM(H127:H136)</f>
        <v>0</v>
      </c>
      <c r="I137" s="247">
        <f>SUM(I127:I136)</f>
        <v>0</v>
      </c>
      <c r="J137" s="2754"/>
      <c r="K137" s="2754"/>
      <c r="L137" s="2754"/>
      <c r="M137" s="2755"/>
    </row>
    <row r="138" spans="1:13" ht="30" customHeight="1" thickBot="1">
      <c r="A138" s="841">
        <v>31.97</v>
      </c>
      <c r="B138" s="842" t="s">
        <v>133</v>
      </c>
      <c r="C138" s="842"/>
      <c r="D138" s="842"/>
      <c r="E138" s="812" t="s">
        <v>85</v>
      </c>
      <c r="F138" s="812">
        <v>1</v>
      </c>
      <c r="G138" s="963">
        <v>0</v>
      </c>
      <c r="H138" s="223"/>
      <c r="I138" s="224">
        <f>ROUND(F138*G138,0)</f>
        <v>0</v>
      </c>
      <c r="J138" s="2756"/>
      <c r="K138" s="2756"/>
      <c r="L138" s="2756"/>
      <c r="M138" s="2757"/>
    </row>
    <row r="139" spans="1:13" ht="30" customHeight="1">
      <c r="A139" s="843">
        <v>31.98</v>
      </c>
      <c r="B139" s="844" t="s">
        <v>707</v>
      </c>
      <c r="C139" s="844"/>
      <c r="D139" s="844"/>
      <c r="E139" s="610"/>
      <c r="F139" s="610"/>
      <c r="G139" s="611"/>
      <c r="H139" s="612"/>
      <c r="I139" s="869"/>
      <c r="J139" s="2758" t="s">
        <v>395</v>
      </c>
      <c r="K139" s="2758"/>
      <c r="L139" s="2758"/>
      <c r="M139" s="2759"/>
    </row>
    <row r="140" spans="1:13" ht="30" customHeight="1">
      <c r="A140" s="276" t="s">
        <v>1093</v>
      </c>
      <c r="B140" s="336" t="s">
        <v>841</v>
      </c>
      <c r="C140" s="336"/>
      <c r="D140" s="336"/>
      <c r="E140" s="220" t="s">
        <v>141</v>
      </c>
      <c r="F140" s="962">
        <v>0</v>
      </c>
      <c r="G140" s="962">
        <v>0</v>
      </c>
      <c r="H140" s="316"/>
      <c r="I140" s="219">
        <f t="shared" ref="I140:I145" si="16">G140*F140</f>
        <v>0</v>
      </c>
      <c r="J140" s="2745"/>
      <c r="K140" s="2745"/>
      <c r="L140" s="2745"/>
      <c r="M140" s="2746"/>
    </row>
    <row r="141" spans="1:13" ht="30" customHeight="1">
      <c r="A141" s="276" t="s">
        <v>1094</v>
      </c>
      <c r="B141" s="464" t="s">
        <v>842</v>
      </c>
      <c r="C141" s="464"/>
      <c r="D141" s="336"/>
      <c r="E141" s="220" t="s">
        <v>141</v>
      </c>
      <c r="F141" s="962">
        <v>0</v>
      </c>
      <c r="G141" s="962">
        <v>0</v>
      </c>
      <c r="H141" s="316"/>
      <c r="I141" s="219">
        <f t="shared" si="16"/>
        <v>0</v>
      </c>
      <c r="J141" s="2745"/>
      <c r="K141" s="2745"/>
      <c r="L141" s="2745"/>
      <c r="M141" s="2746"/>
    </row>
    <row r="142" spans="1:13" ht="30" customHeight="1">
      <c r="A142" s="276" t="s">
        <v>1095</v>
      </c>
      <c r="B142" s="464" t="s">
        <v>843</v>
      </c>
      <c r="C142" s="464"/>
      <c r="D142" s="336"/>
      <c r="E142" s="220" t="s">
        <v>141</v>
      </c>
      <c r="F142" s="962">
        <v>0</v>
      </c>
      <c r="G142" s="962">
        <v>0</v>
      </c>
      <c r="H142" s="316"/>
      <c r="I142" s="219">
        <f t="shared" si="16"/>
        <v>0</v>
      </c>
      <c r="J142" s="2745"/>
      <c r="K142" s="2745"/>
      <c r="L142" s="2745"/>
      <c r="M142" s="2746"/>
    </row>
    <row r="143" spans="1:13" ht="30" customHeight="1">
      <c r="A143" s="276" t="s">
        <v>1096</v>
      </c>
      <c r="B143" s="336" t="s">
        <v>231</v>
      </c>
      <c r="C143" s="336"/>
      <c r="D143" s="336"/>
      <c r="E143" s="220" t="s">
        <v>141</v>
      </c>
      <c r="F143" s="962">
        <v>0</v>
      </c>
      <c r="G143" s="962">
        <v>0</v>
      </c>
      <c r="H143" s="316"/>
      <c r="I143" s="219">
        <f t="shared" si="16"/>
        <v>0</v>
      </c>
      <c r="J143" s="2745"/>
      <c r="K143" s="2745"/>
      <c r="L143" s="2745"/>
      <c r="M143" s="2746"/>
    </row>
    <row r="144" spans="1:13" ht="30" customHeight="1">
      <c r="A144" s="276" t="s">
        <v>1097</v>
      </c>
      <c r="B144" s="336" t="s">
        <v>154</v>
      </c>
      <c r="C144" s="336"/>
      <c r="D144" s="336"/>
      <c r="E144" s="220" t="s">
        <v>141</v>
      </c>
      <c r="F144" s="962">
        <v>0</v>
      </c>
      <c r="G144" s="962">
        <v>0</v>
      </c>
      <c r="H144" s="316"/>
      <c r="I144" s="219">
        <f t="shared" si="16"/>
        <v>0</v>
      </c>
      <c r="J144" s="2745"/>
      <c r="K144" s="2745"/>
      <c r="L144" s="2745"/>
      <c r="M144" s="2746"/>
    </row>
    <row r="145" spans="1:13" ht="30" customHeight="1">
      <c r="A145" s="276" t="s">
        <v>1098</v>
      </c>
      <c r="B145" s="336" t="s">
        <v>155</v>
      </c>
      <c r="C145" s="336"/>
      <c r="D145" s="336"/>
      <c r="E145" s="220" t="s">
        <v>141</v>
      </c>
      <c r="F145" s="962">
        <v>0</v>
      </c>
      <c r="G145" s="962">
        <v>0</v>
      </c>
      <c r="H145" s="316"/>
      <c r="I145" s="219">
        <f t="shared" si="16"/>
        <v>0</v>
      </c>
      <c r="J145" s="2745"/>
      <c r="K145" s="2745"/>
      <c r="L145" s="2745"/>
      <c r="M145" s="2746"/>
    </row>
    <row r="146" spans="1:13" ht="30" customHeight="1" thickBot="1">
      <c r="A146" s="846" t="s">
        <v>1099</v>
      </c>
      <c r="B146" s="847" t="s">
        <v>238</v>
      </c>
      <c r="C146" s="847"/>
      <c r="D146" s="848"/>
      <c r="E146" s="849"/>
      <c r="F146" s="849"/>
      <c r="G146" s="850"/>
      <c r="H146" s="870"/>
      <c r="I146" s="868">
        <f>SUM(I140:I145)</f>
        <v>0</v>
      </c>
      <c r="J146" s="2760"/>
      <c r="K146" s="2760"/>
      <c r="L146" s="2760"/>
      <c r="M146" s="2761"/>
    </row>
    <row r="147" spans="1:13" ht="30" customHeight="1">
      <c r="A147" s="851">
        <v>31.99</v>
      </c>
      <c r="B147" s="544" t="s">
        <v>307</v>
      </c>
      <c r="C147" s="544"/>
      <c r="D147" s="544"/>
      <c r="E147" s="340" t="s">
        <v>85</v>
      </c>
      <c r="F147" s="340" t="s">
        <v>878</v>
      </c>
      <c r="G147" s="987">
        <v>0</v>
      </c>
      <c r="H147" s="324"/>
      <c r="I147" s="538">
        <f>ROUND(G147*$I$137,0)</f>
        <v>0</v>
      </c>
      <c r="J147" s="2762"/>
      <c r="K147" s="2762"/>
      <c r="L147" s="2762"/>
      <c r="M147" s="2763"/>
    </row>
    <row r="148" spans="1:13" ht="30" customHeight="1">
      <c r="A148" s="530">
        <v>31.1</v>
      </c>
      <c r="B148" s="555" t="s">
        <v>92</v>
      </c>
      <c r="C148" s="555"/>
      <c r="D148" s="555"/>
      <c r="E148" s="542" t="s">
        <v>85</v>
      </c>
      <c r="F148" s="220" t="s">
        <v>878</v>
      </c>
      <c r="G148" s="965">
        <v>0</v>
      </c>
      <c r="H148" s="219"/>
      <c r="I148" s="222">
        <f>ROUND(G148*$I$137,0)</f>
        <v>0</v>
      </c>
      <c r="J148" s="2745"/>
      <c r="K148" s="2745"/>
      <c r="L148" s="2745"/>
      <c r="M148" s="2746"/>
    </row>
    <row r="149" spans="1:13" ht="30" customHeight="1">
      <c r="A149" s="530">
        <v>31.100999999999999</v>
      </c>
      <c r="B149" s="302" t="s">
        <v>169</v>
      </c>
      <c r="C149" s="302"/>
      <c r="D149" s="302"/>
      <c r="E149" s="220" t="s">
        <v>85</v>
      </c>
      <c r="F149" s="220" t="s">
        <v>878</v>
      </c>
      <c r="G149" s="965">
        <v>0</v>
      </c>
      <c r="H149" s="219"/>
      <c r="I149" s="222">
        <f>ROUND(G149*$I$137,0)</f>
        <v>0</v>
      </c>
      <c r="J149" s="2745"/>
      <c r="K149" s="2745"/>
      <c r="L149" s="2745"/>
      <c r="M149" s="2746"/>
    </row>
    <row r="150" spans="1:13" ht="20.100000000000001" customHeight="1">
      <c r="A150" s="2779" t="s">
        <v>181</v>
      </c>
      <c r="B150" s="2780"/>
      <c r="C150" s="2780"/>
      <c r="D150" s="2780"/>
      <c r="E150" s="2780"/>
      <c r="F150" s="2780"/>
      <c r="G150" s="2780"/>
      <c r="H150" s="539">
        <f>$H$137</f>
        <v>0</v>
      </c>
      <c r="I150" s="247">
        <f>I149+I148+I147+I146+I138+I137</f>
        <v>0</v>
      </c>
      <c r="J150" s="2754"/>
      <c r="K150" s="2754"/>
      <c r="L150" s="2754"/>
      <c r="M150" s="2755"/>
    </row>
    <row r="151" spans="1:13" ht="20.100000000000001" customHeight="1">
      <c r="A151" s="497"/>
      <c r="B151" s="453" t="s">
        <v>220</v>
      </c>
      <c r="C151" s="498"/>
      <c r="D151" s="498"/>
      <c r="E151" s="498"/>
      <c r="F151" s="498"/>
      <c r="G151" s="498"/>
      <c r="H151" s="871"/>
      <c r="I151" s="871"/>
      <c r="J151" s="2754"/>
      <c r="K151" s="2754"/>
      <c r="L151" s="2754"/>
      <c r="M151" s="2755"/>
    </row>
    <row r="152" spans="1:13" ht="30" customHeight="1">
      <c r="A152" s="530">
        <v>31.102</v>
      </c>
      <c r="B152" s="464" t="s">
        <v>373</v>
      </c>
      <c r="C152" s="464"/>
      <c r="D152" s="464"/>
      <c r="E152" s="220" t="s">
        <v>100</v>
      </c>
      <c r="F152" s="962">
        <v>0</v>
      </c>
      <c r="G152" s="962">
        <v>0</v>
      </c>
      <c r="H152" s="315">
        <f>F152</f>
        <v>0</v>
      </c>
      <c r="I152" s="222">
        <f t="shared" ref="I152:I159" si="17">ROUND(F152*G152,0)</f>
        <v>0</v>
      </c>
      <c r="J152" s="2745"/>
      <c r="K152" s="2745"/>
      <c r="L152" s="2745"/>
      <c r="M152" s="2746"/>
    </row>
    <row r="153" spans="1:13" ht="30" customHeight="1">
      <c r="A153" s="530">
        <f>A152+0.001</f>
        <v>31.103000000000002</v>
      </c>
      <c r="B153" s="336" t="s">
        <v>182</v>
      </c>
      <c r="C153" s="336"/>
      <c r="D153" s="336"/>
      <c r="E153" s="220" t="s">
        <v>100</v>
      </c>
      <c r="F153" s="962">
        <v>0</v>
      </c>
      <c r="G153" s="962">
        <v>0</v>
      </c>
      <c r="H153" s="315">
        <f>F153</f>
        <v>0</v>
      </c>
      <c r="I153" s="222">
        <f t="shared" si="17"/>
        <v>0</v>
      </c>
      <c r="J153" s="2745"/>
      <c r="K153" s="2745"/>
      <c r="L153" s="2745"/>
      <c r="M153" s="2746"/>
    </row>
    <row r="154" spans="1:13" ht="30" customHeight="1">
      <c r="A154" s="530">
        <f t="shared" ref="A154:A159" si="18">A153+0.001</f>
        <v>31.104000000000003</v>
      </c>
      <c r="B154" s="464" t="s">
        <v>629</v>
      </c>
      <c r="C154" s="464"/>
      <c r="D154" s="336"/>
      <c r="E154" s="220" t="s">
        <v>100</v>
      </c>
      <c r="F154" s="962">
        <v>0</v>
      </c>
      <c r="G154" s="962">
        <v>0</v>
      </c>
      <c r="H154" s="315">
        <f>F154</f>
        <v>0</v>
      </c>
      <c r="I154" s="222">
        <f t="shared" si="17"/>
        <v>0</v>
      </c>
      <c r="J154" s="2745"/>
      <c r="K154" s="2745"/>
      <c r="L154" s="2745"/>
      <c r="M154" s="2746"/>
    </row>
    <row r="155" spans="1:13" ht="30" customHeight="1">
      <c r="A155" s="530">
        <f t="shared" si="18"/>
        <v>31.105000000000004</v>
      </c>
      <c r="B155" s="336" t="s">
        <v>183</v>
      </c>
      <c r="C155" s="336"/>
      <c r="D155" s="336"/>
      <c r="E155" s="220" t="s">
        <v>100</v>
      </c>
      <c r="F155" s="962">
        <v>0</v>
      </c>
      <c r="G155" s="962">
        <v>0</v>
      </c>
      <c r="H155" s="315">
        <f>F155</f>
        <v>0</v>
      </c>
      <c r="I155" s="222">
        <f t="shared" si="17"/>
        <v>0</v>
      </c>
      <c r="J155" s="2745"/>
      <c r="K155" s="2745"/>
      <c r="L155" s="2745"/>
      <c r="M155" s="2746"/>
    </row>
    <row r="156" spans="1:13" ht="30" customHeight="1">
      <c r="A156" s="530">
        <f t="shared" si="18"/>
        <v>31.106000000000005</v>
      </c>
      <c r="B156" s="336" t="s">
        <v>167</v>
      </c>
      <c r="C156" s="336"/>
      <c r="D156" s="336"/>
      <c r="E156" s="220" t="s">
        <v>100</v>
      </c>
      <c r="F156" s="962">
        <v>0</v>
      </c>
      <c r="G156" s="962">
        <v>0</v>
      </c>
      <c r="H156" s="315">
        <f>F156</f>
        <v>0</v>
      </c>
      <c r="I156" s="222">
        <f t="shared" si="17"/>
        <v>0</v>
      </c>
      <c r="J156" s="2745"/>
      <c r="K156" s="2745"/>
      <c r="L156" s="2745"/>
      <c r="M156" s="2746"/>
    </row>
    <row r="157" spans="1:13" ht="30" customHeight="1">
      <c r="A157" s="530">
        <f t="shared" si="18"/>
        <v>31.107000000000006</v>
      </c>
      <c r="B157" s="336" t="s">
        <v>168</v>
      </c>
      <c r="C157" s="336"/>
      <c r="D157" s="336"/>
      <c r="E157" s="220" t="s">
        <v>85</v>
      </c>
      <c r="F157" s="220">
        <v>1</v>
      </c>
      <c r="G157" s="980">
        <v>0</v>
      </c>
      <c r="H157" s="219"/>
      <c r="I157" s="222">
        <f t="shared" si="17"/>
        <v>0</v>
      </c>
      <c r="J157" s="2745"/>
      <c r="K157" s="2745"/>
      <c r="L157" s="2745"/>
      <c r="M157" s="2746"/>
    </row>
    <row r="158" spans="1:13" ht="30" customHeight="1">
      <c r="A158" s="530">
        <f t="shared" si="18"/>
        <v>31.108000000000008</v>
      </c>
      <c r="B158" s="336" t="s">
        <v>189</v>
      </c>
      <c r="C158" s="336"/>
      <c r="D158" s="336"/>
      <c r="E158" s="220" t="s">
        <v>85</v>
      </c>
      <c r="F158" s="220">
        <v>1</v>
      </c>
      <c r="G158" s="980">
        <v>0</v>
      </c>
      <c r="H158" s="219"/>
      <c r="I158" s="222">
        <f t="shared" si="17"/>
        <v>0</v>
      </c>
      <c r="J158" s="2745"/>
      <c r="K158" s="2745"/>
      <c r="L158" s="2745"/>
      <c r="M158" s="2746"/>
    </row>
    <row r="159" spans="1:13" ht="30" customHeight="1">
      <c r="A159" s="530">
        <f t="shared" si="18"/>
        <v>31.109000000000009</v>
      </c>
      <c r="B159" s="464" t="s">
        <v>1638</v>
      </c>
      <c r="C159" s="336"/>
      <c r="D159" s="336"/>
      <c r="E159" s="220" t="s">
        <v>85</v>
      </c>
      <c r="F159" s="220">
        <v>1</v>
      </c>
      <c r="G159" s="980">
        <v>0</v>
      </c>
      <c r="H159" s="219"/>
      <c r="I159" s="222">
        <f t="shared" si="17"/>
        <v>0</v>
      </c>
      <c r="J159" s="2745"/>
      <c r="K159" s="2745"/>
      <c r="L159" s="2745"/>
      <c r="M159" s="2746"/>
    </row>
    <row r="160" spans="1:13" ht="20.100000000000001" customHeight="1">
      <c r="A160" s="2776" t="s">
        <v>648</v>
      </c>
      <c r="B160" s="2777"/>
      <c r="C160" s="2777"/>
      <c r="D160" s="2777"/>
      <c r="E160" s="2777"/>
      <c r="F160" s="2777"/>
      <c r="G160" s="2778"/>
      <c r="H160" s="539">
        <f>SUM(H152:H159)</f>
        <v>0</v>
      </c>
      <c r="I160" s="247">
        <f>SUM(I152:I159)</f>
        <v>0</v>
      </c>
      <c r="J160" s="2754"/>
      <c r="K160" s="2754"/>
      <c r="L160" s="2754"/>
      <c r="M160" s="2755"/>
    </row>
    <row r="161" spans="1:13" ht="30" customHeight="1" thickBot="1">
      <c r="A161" s="852">
        <v>31.11</v>
      </c>
      <c r="B161" s="842" t="s">
        <v>133</v>
      </c>
      <c r="C161" s="842"/>
      <c r="D161" s="842"/>
      <c r="E161" s="812" t="s">
        <v>85</v>
      </c>
      <c r="F161" s="812">
        <v>1</v>
      </c>
      <c r="G161" s="993">
        <v>0</v>
      </c>
      <c r="H161" s="223"/>
      <c r="I161" s="224">
        <f>ROUND(F161*G161,0)</f>
        <v>0</v>
      </c>
      <c r="J161" s="2756"/>
      <c r="K161" s="2756"/>
      <c r="L161" s="2756"/>
      <c r="M161" s="2757"/>
    </row>
    <row r="162" spans="1:13" ht="30" customHeight="1">
      <c r="A162" s="853">
        <v>31.111000000000001</v>
      </c>
      <c r="B162" s="844" t="s">
        <v>707</v>
      </c>
      <c r="C162" s="844"/>
      <c r="D162" s="844"/>
      <c r="E162" s="610"/>
      <c r="F162" s="610"/>
      <c r="G162" s="854"/>
      <c r="H162" s="612"/>
      <c r="I162" s="869"/>
      <c r="J162" s="2758" t="s">
        <v>395</v>
      </c>
      <c r="K162" s="2758"/>
      <c r="L162" s="2758"/>
      <c r="M162" s="2759"/>
    </row>
    <row r="163" spans="1:13" ht="30" customHeight="1">
      <c r="A163" s="276" t="s">
        <v>1100</v>
      </c>
      <c r="B163" s="336" t="s">
        <v>841</v>
      </c>
      <c r="C163" s="336"/>
      <c r="D163" s="336"/>
      <c r="E163" s="220" t="s">
        <v>141</v>
      </c>
      <c r="F163" s="962">
        <v>0</v>
      </c>
      <c r="G163" s="962">
        <v>0</v>
      </c>
      <c r="H163" s="316"/>
      <c r="I163" s="219">
        <f t="shared" ref="I163:I168" si="19">G163*F163</f>
        <v>0</v>
      </c>
      <c r="J163" s="2745"/>
      <c r="K163" s="2745"/>
      <c r="L163" s="2745"/>
      <c r="M163" s="2746"/>
    </row>
    <row r="164" spans="1:13" ht="30" customHeight="1">
      <c r="A164" s="276" t="s">
        <v>1101</v>
      </c>
      <c r="B164" s="464" t="s">
        <v>842</v>
      </c>
      <c r="C164" s="464"/>
      <c r="D164" s="336"/>
      <c r="E164" s="220" t="s">
        <v>141</v>
      </c>
      <c r="F164" s="962">
        <v>0</v>
      </c>
      <c r="G164" s="962">
        <v>0</v>
      </c>
      <c r="H164" s="316"/>
      <c r="I164" s="219">
        <f t="shared" si="19"/>
        <v>0</v>
      </c>
      <c r="J164" s="2745"/>
      <c r="K164" s="2745"/>
      <c r="L164" s="2745"/>
      <c r="M164" s="2746"/>
    </row>
    <row r="165" spans="1:13" ht="30" customHeight="1">
      <c r="A165" s="276" t="s">
        <v>1102</v>
      </c>
      <c r="B165" s="464" t="s">
        <v>843</v>
      </c>
      <c r="C165" s="464"/>
      <c r="D165" s="336"/>
      <c r="E165" s="220" t="s">
        <v>141</v>
      </c>
      <c r="F165" s="962">
        <v>0</v>
      </c>
      <c r="G165" s="962">
        <v>0</v>
      </c>
      <c r="H165" s="316"/>
      <c r="I165" s="219">
        <f t="shared" si="19"/>
        <v>0</v>
      </c>
      <c r="J165" s="2745"/>
      <c r="K165" s="2745"/>
      <c r="L165" s="2745"/>
      <c r="M165" s="2746"/>
    </row>
    <row r="166" spans="1:13" ht="30" customHeight="1">
      <c r="A166" s="276" t="s">
        <v>1103</v>
      </c>
      <c r="B166" s="336" t="s">
        <v>231</v>
      </c>
      <c r="C166" s="336"/>
      <c r="D166" s="336"/>
      <c r="E166" s="220" t="s">
        <v>141</v>
      </c>
      <c r="F166" s="962">
        <v>0</v>
      </c>
      <c r="G166" s="962">
        <v>0</v>
      </c>
      <c r="H166" s="316"/>
      <c r="I166" s="219">
        <f t="shared" si="19"/>
        <v>0</v>
      </c>
      <c r="J166" s="2745"/>
      <c r="K166" s="2745"/>
      <c r="L166" s="2745"/>
      <c r="M166" s="2746"/>
    </row>
    <row r="167" spans="1:13" ht="30" customHeight="1">
      <c r="A167" s="276" t="s">
        <v>1104</v>
      </c>
      <c r="B167" s="336" t="s">
        <v>154</v>
      </c>
      <c r="C167" s="336"/>
      <c r="D167" s="336"/>
      <c r="E167" s="220" t="s">
        <v>141</v>
      </c>
      <c r="F167" s="962">
        <v>0</v>
      </c>
      <c r="G167" s="962">
        <v>0</v>
      </c>
      <c r="H167" s="316"/>
      <c r="I167" s="219">
        <f t="shared" si="19"/>
        <v>0</v>
      </c>
      <c r="J167" s="2745"/>
      <c r="K167" s="2745"/>
      <c r="L167" s="2745"/>
      <c r="M167" s="2746"/>
    </row>
    <row r="168" spans="1:13" ht="30" customHeight="1">
      <c r="A168" s="276" t="s">
        <v>1105</v>
      </c>
      <c r="B168" s="336" t="s">
        <v>155</v>
      </c>
      <c r="C168" s="336"/>
      <c r="D168" s="336"/>
      <c r="E168" s="220" t="s">
        <v>141</v>
      </c>
      <c r="F168" s="962">
        <v>0</v>
      </c>
      <c r="G168" s="962">
        <v>0</v>
      </c>
      <c r="H168" s="316"/>
      <c r="I168" s="219">
        <f t="shared" si="19"/>
        <v>0</v>
      </c>
      <c r="J168" s="2745"/>
      <c r="K168" s="2745"/>
      <c r="L168" s="2745"/>
      <c r="M168" s="2746"/>
    </row>
    <row r="169" spans="1:13" ht="30" customHeight="1" thickBot="1">
      <c r="A169" s="846" t="s">
        <v>1106</v>
      </c>
      <c r="B169" s="847" t="s">
        <v>238</v>
      </c>
      <c r="C169" s="847"/>
      <c r="D169" s="848"/>
      <c r="E169" s="849"/>
      <c r="F169" s="849"/>
      <c r="G169" s="850"/>
      <c r="H169" s="870"/>
      <c r="I169" s="868">
        <f>SUM(I163:I168)</f>
        <v>0</v>
      </c>
      <c r="J169" s="2760"/>
      <c r="K169" s="2760"/>
      <c r="L169" s="2760"/>
      <c r="M169" s="2761"/>
    </row>
    <row r="170" spans="1:13" ht="30" customHeight="1">
      <c r="A170" s="866">
        <v>31.111999999999998</v>
      </c>
      <c r="B170" s="544" t="s">
        <v>307</v>
      </c>
      <c r="C170" s="544"/>
      <c r="D170" s="544"/>
      <c r="E170" s="340" t="s">
        <v>85</v>
      </c>
      <c r="F170" s="340" t="s">
        <v>878</v>
      </c>
      <c r="G170" s="987">
        <v>0</v>
      </c>
      <c r="H170" s="324"/>
      <c r="I170" s="538">
        <f>ROUND(G170*$I$160,0)</f>
        <v>0</v>
      </c>
      <c r="J170" s="2762"/>
      <c r="K170" s="2762"/>
      <c r="L170" s="2762"/>
      <c r="M170" s="2763"/>
    </row>
    <row r="171" spans="1:13" ht="30" customHeight="1">
      <c r="A171" s="530">
        <v>31.113</v>
      </c>
      <c r="B171" s="555" t="s">
        <v>92</v>
      </c>
      <c r="C171" s="555"/>
      <c r="D171" s="555"/>
      <c r="E171" s="542" t="s">
        <v>85</v>
      </c>
      <c r="F171" s="220" t="s">
        <v>878</v>
      </c>
      <c r="G171" s="965">
        <v>0</v>
      </c>
      <c r="H171" s="219"/>
      <c r="I171" s="222">
        <f>ROUND(G171*$I$160,0)</f>
        <v>0</v>
      </c>
      <c r="J171" s="2745"/>
      <c r="K171" s="2745"/>
      <c r="L171" s="2745"/>
      <c r="M171" s="2746"/>
    </row>
    <row r="172" spans="1:13" ht="30" customHeight="1">
      <c r="A172" s="530">
        <v>31.114000000000001</v>
      </c>
      <c r="B172" s="302" t="s">
        <v>169</v>
      </c>
      <c r="C172" s="302"/>
      <c r="D172" s="302"/>
      <c r="E172" s="220" t="s">
        <v>85</v>
      </c>
      <c r="F172" s="220" t="s">
        <v>878</v>
      </c>
      <c r="G172" s="965">
        <v>0</v>
      </c>
      <c r="H172" s="219"/>
      <c r="I172" s="222">
        <f>ROUND(G172*$I$160,0)</f>
        <v>0</v>
      </c>
      <c r="J172" s="2745"/>
      <c r="K172" s="2745"/>
      <c r="L172" s="2745"/>
      <c r="M172" s="2746"/>
    </row>
    <row r="173" spans="1:13" ht="20.100000000000001" customHeight="1">
      <c r="A173" s="2779" t="s">
        <v>170</v>
      </c>
      <c r="B173" s="2780"/>
      <c r="C173" s="2780"/>
      <c r="D173" s="2780"/>
      <c r="E173" s="2780"/>
      <c r="F173" s="2780"/>
      <c r="G173" s="2780"/>
      <c r="H173" s="539">
        <f>$H$160</f>
        <v>0</v>
      </c>
      <c r="I173" s="247">
        <f>I172+I171+I170+I169+I161+I160</f>
        <v>0</v>
      </c>
      <c r="J173" s="2754"/>
      <c r="K173" s="2754"/>
      <c r="L173" s="2754"/>
      <c r="M173" s="2755"/>
    </row>
    <row r="174" spans="1:13" ht="20.100000000000001" customHeight="1">
      <c r="A174" s="497"/>
      <c r="B174" s="453" t="s">
        <v>221</v>
      </c>
      <c r="C174" s="498"/>
      <c r="D174" s="498"/>
      <c r="E174" s="498"/>
      <c r="F174" s="498"/>
      <c r="G174" s="498"/>
      <c r="H174" s="871"/>
      <c r="I174" s="871"/>
      <c r="J174" s="2754"/>
      <c r="K174" s="2754"/>
      <c r="L174" s="2754"/>
      <c r="M174" s="2755"/>
    </row>
    <row r="175" spans="1:13" ht="30" customHeight="1">
      <c r="A175" s="530">
        <v>31.114999999999998</v>
      </c>
      <c r="B175" s="464" t="s">
        <v>373</v>
      </c>
      <c r="C175" s="464"/>
      <c r="D175" s="464"/>
      <c r="E175" s="220" t="s">
        <v>100</v>
      </c>
      <c r="F175" s="962">
        <v>0</v>
      </c>
      <c r="G175" s="962">
        <v>0</v>
      </c>
      <c r="H175" s="315">
        <f t="shared" ref="H175:H190" si="20">F175</f>
        <v>0</v>
      </c>
      <c r="I175" s="222">
        <f t="shared" ref="I175:I195" si="21">ROUND(F175*G175,0)</f>
        <v>0</v>
      </c>
      <c r="J175" s="2745"/>
      <c r="K175" s="2745"/>
      <c r="L175" s="2745"/>
      <c r="M175" s="2746"/>
    </row>
    <row r="176" spans="1:13" ht="30" customHeight="1">
      <c r="A176" s="530">
        <f>A175+0.001</f>
        <v>31.116</v>
      </c>
      <c r="B176" s="336" t="s">
        <v>350</v>
      </c>
      <c r="C176" s="336"/>
      <c r="D176" s="336"/>
      <c r="E176" s="220" t="s">
        <v>100</v>
      </c>
      <c r="F176" s="962">
        <v>0</v>
      </c>
      <c r="G176" s="962">
        <v>0</v>
      </c>
      <c r="H176" s="315">
        <f t="shared" si="20"/>
        <v>0</v>
      </c>
      <c r="I176" s="222">
        <f t="shared" si="21"/>
        <v>0</v>
      </c>
      <c r="J176" s="2745"/>
      <c r="K176" s="2745"/>
      <c r="L176" s="2745"/>
      <c r="M176" s="2746"/>
    </row>
    <row r="177" spans="1:13" ht="30" customHeight="1">
      <c r="A177" s="530">
        <f t="shared" ref="A177:A195" si="22">A176+0.001</f>
        <v>31.117000000000001</v>
      </c>
      <c r="B177" s="336" t="s">
        <v>703</v>
      </c>
      <c r="C177" s="336"/>
      <c r="D177" s="336"/>
      <c r="E177" s="220" t="s">
        <v>100</v>
      </c>
      <c r="F177" s="962">
        <v>0</v>
      </c>
      <c r="G177" s="962">
        <v>0</v>
      </c>
      <c r="H177" s="315">
        <f t="shared" si="20"/>
        <v>0</v>
      </c>
      <c r="I177" s="222">
        <f t="shared" si="21"/>
        <v>0</v>
      </c>
      <c r="J177" s="2745"/>
      <c r="K177" s="2745"/>
      <c r="L177" s="2745"/>
      <c r="M177" s="2746"/>
    </row>
    <row r="178" spans="1:13" ht="30" customHeight="1">
      <c r="A178" s="530">
        <f t="shared" si="22"/>
        <v>31.118000000000002</v>
      </c>
      <c r="B178" s="336" t="s">
        <v>1763</v>
      </c>
      <c r="C178" s="336"/>
      <c r="D178" s="336"/>
      <c r="E178" s="220" t="s">
        <v>100</v>
      </c>
      <c r="F178" s="962">
        <v>0</v>
      </c>
      <c r="G178" s="962">
        <v>0</v>
      </c>
      <c r="H178" s="315">
        <f t="shared" si="20"/>
        <v>0</v>
      </c>
      <c r="I178" s="222">
        <f t="shared" si="21"/>
        <v>0</v>
      </c>
      <c r="J178" s="2745"/>
      <c r="K178" s="2745"/>
      <c r="L178" s="2745"/>
      <c r="M178" s="2746"/>
    </row>
    <row r="179" spans="1:13" ht="30" customHeight="1">
      <c r="A179" s="530">
        <f t="shared" si="22"/>
        <v>31.119000000000003</v>
      </c>
      <c r="B179" s="336" t="s">
        <v>1764</v>
      </c>
      <c r="C179" s="336"/>
      <c r="D179" s="336"/>
      <c r="E179" s="220" t="s">
        <v>100</v>
      </c>
      <c r="F179" s="962">
        <v>0</v>
      </c>
      <c r="G179" s="962">
        <v>0</v>
      </c>
      <c r="H179" s="315">
        <f t="shared" si="20"/>
        <v>0</v>
      </c>
      <c r="I179" s="222">
        <f t="shared" si="21"/>
        <v>0</v>
      </c>
      <c r="J179" s="2745"/>
      <c r="K179" s="2745"/>
      <c r="L179" s="2745"/>
      <c r="M179" s="2746"/>
    </row>
    <row r="180" spans="1:13" ht="30" customHeight="1">
      <c r="A180" s="530">
        <f t="shared" si="22"/>
        <v>31.120000000000005</v>
      </c>
      <c r="B180" s="336" t="s">
        <v>660</v>
      </c>
      <c r="C180" s="336"/>
      <c r="D180" s="336"/>
      <c r="E180" s="220" t="s">
        <v>100</v>
      </c>
      <c r="F180" s="962">
        <v>0</v>
      </c>
      <c r="G180" s="962">
        <v>0</v>
      </c>
      <c r="H180" s="315">
        <f t="shared" si="20"/>
        <v>0</v>
      </c>
      <c r="I180" s="222">
        <f t="shared" si="21"/>
        <v>0</v>
      </c>
      <c r="J180" s="2745"/>
      <c r="K180" s="2745"/>
      <c r="L180" s="2745"/>
      <c r="M180" s="2746"/>
    </row>
    <row r="181" spans="1:13" ht="30" customHeight="1">
      <c r="A181" s="530">
        <f t="shared" si="22"/>
        <v>31.121000000000006</v>
      </c>
      <c r="B181" s="336" t="s">
        <v>186</v>
      </c>
      <c r="C181" s="336"/>
      <c r="D181" s="336"/>
      <c r="E181" s="220" t="s">
        <v>100</v>
      </c>
      <c r="F181" s="962">
        <v>0</v>
      </c>
      <c r="G181" s="962">
        <v>0</v>
      </c>
      <c r="H181" s="315">
        <f t="shared" si="20"/>
        <v>0</v>
      </c>
      <c r="I181" s="222">
        <f t="shared" si="21"/>
        <v>0</v>
      </c>
      <c r="J181" s="2745"/>
      <c r="K181" s="2745"/>
      <c r="L181" s="2745"/>
      <c r="M181" s="2746"/>
    </row>
    <row r="182" spans="1:13" ht="30" customHeight="1">
      <c r="A182" s="530">
        <f t="shared" si="22"/>
        <v>31.122000000000007</v>
      </c>
      <c r="B182" s="336" t="s">
        <v>1765</v>
      </c>
      <c r="C182" s="336"/>
      <c r="D182" s="336"/>
      <c r="E182" s="220" t="s">
        <v>100</v>
      </c>
      <c r="F182" s="962">
        <v>0</v>
      </c>
      <c r="G182" s="962">
        <v>0</v>
      </c>
      <c r="H182" s="315">
        <f t="shared" si="20"/>
        <v>0</v>
      </c>
      <c r="I182" s="222">
        <f t="shared" si="21"/>
        <v>0</v>
      </c>
      <c r="J182" s="2745"/>
      <c r="K182" s="2745"/>
      <c r="L182" s="2745"/>
      <c r="M182" s="2746"/>
    </row>
    <row r="183" spans="1:13" ht="30" customHeight="1">
      <c r="A183" s="530">
        <f t="shared" si="22"/>
        <v>31.123000000000008</v>
      </c>
      <c r="B183" s="336" t="s">
        <v>1766</v>
      </c>
      <c r="C183" s="336"/>
      <c r="D183" s="336"/>
      <c r="E183" s="220" t="s">
        <v>100</v>
      </c>
      <c r="F183" s="962">
        <v>0</v>
      </c>
      <c r="G183" s="962">
        <v>0</v>
      </c>
      <c r="H183" s="315">
        <f t="shared" si="20"/>
        <v>0</v>
      </c>
      <c r="I183" s="222">
        <f t="shared" si="21"/>
        <v>0</v>
      </c>
      <c r="J183" s="2745"/>
      <c r="K183" s="2745"/>
      <c r="L183" s="2745"/>
      <c r="M183" s="2746"/>
    </row>
    <row r="184" spans="1:13" ht="30" customHeight="1">
      <c r="A184" s="530">
        <f t="shared" si="22"/>
        <v>31.124000000000009</v>
      </c>
      <c r="B184" s="336" t="s">
        <v>1767</v>
      </c>
      <c r="C184" s="336"/>
      <c r="D184" s="336"/>
      <c r="E184" s="220" t="s">
        <v>100</v>
      </c>
      <c r="F184" s="962">
        <v>0</v>
      </c>
      <c r="G184" s="962">
        <v>0</v>
      </c>
      <c r="H184" s="315">
        <f t="shared" si="20"/>
        <v>0</v>
      </c>
      <c r="I184" s="222">
        <f t="shared" si="21"/>
        <v>0</v>
      </c>
      <c r="J184" s="2745"/>
      <c r="K184" s="2745"/>
      <c r="L184" s="2745"/>
      <c r="M184" s="2746"/>
    </row>
    <row r="185" spans="1:13" ht="30" customHeight="1">
      <c r="A185" s="530">
        <f t="shared" si="22"/>
        <v>31.125000000000011</v>
      </c>
      <c r="B185" s="336" t="s">
        <v>1768</v>
      </c>
      <c r="C185" s="336"/>
      <c r="D185" s="336"/>
      <c r="E185" s="220" t="s">
        <v>100</v>
      </c>
      <c r="F185" s="962">
        <v>0</v>
      </c>
      <c r="G185" s="962">
        <v>0</v>
      </c>
      <c r="H185" s="315">
        <f t="shared" si="20"/>
        <v>0</v>
      </c>
      <c r="I185" s="222">
        <f t="shared" si="21"/>
        <v>0</v>
      </c>
      <c r="J185" s="2745"/>
      <c r="K185" s="2745"/>
      <c r="L185" s="2745"/>
      <c r="M185" s="2746"/>
    </row>
    <row r="186" spans="1:13" ht="30" customHeight="1">
      <c r="A186" s="530">
        <f t="shared" si="22"/>
        <v>31.126000000000012</v>
      </c>
      <c r="B186" s="336" t="s">
        <v>1769</v>
      </c>
      <c r="C186" s="336"/>
      <c r="D186" s="336"/>
      <c r="E186" s="220" t="s">
        <v>100</v>
      </c>
      <c r="F186" s="962">
        <v>0</v>
      </c>
      <c r="G186" s="962">
        <v>0</v>
      </c>
      <c r="H186" s="315">
        <f t="shared" si="20"/>
        <v>0</v>
      </c>
      <c r="I186" s="222">
        <f t="shared" si="21"/>
        <v>0</v>
      </c>
      <c r="J186" s="2745"/>
      <c r="K186" s="2745"/>
      <c r="L186" s="2745"/>
      <c r="M186" s="2746"/>
    </row>
    <row r="187" spans="1:13" ht="30" customHeight="1">
      <c r="A187" s="530">
        <f t="shared" si="22"/>
        <v>31.127000000000013</v>
      </c>
      <c r="B187" s="336" t="s">
        <v>1770</v>
      </c>
      <c r="C187" s="336"/>
      <c r="D187" s="336"/>
      <c r="E187" s="220" t="s">
        <v>100</v>
      </c>
      <c r="F187" s="962">
        <v>0</v>
      </c>
      <c r="G187" s="962">
        <v>0</v>
      </c>
      <c r="H187" s="315">
        <f t="shared" si="20"/>
        <v>0</v>
      </c>
      <c r="I187" s="222">
        <f t="shared" si="21"/>
        <v>0</v>
      </c>
      <c r="J187" s="2745"/>
      <c r="K187" s="2745"/>
      <c r="L187" s="2745"/>
      <c r="M187" s="2746"/>
    </row>
    <row r="188" spans="1:13" ht="30" customHeight="1">
      <c r="A188" s="530">
        <f t="shared" si="22"/>
        <v>31.128000000000014</v>
      </c>
      <c r="B188" s="336" t="s">
        <v>1771</v>
      </c>
      <c r="C188" s="336"/>
      <c r="D188" s="336"/>
      <c r="E188" s="220" t="s">
        <v>100</v>
      </c>
      <c r="F188" s="962">
        <v>0</v>
      </c>
      <c r="G188" s="962">
        <v>0</v>
      </c>
      <c r="H188" s="315">
        <f t="shared" si="20"/>
        <v>0</v>
      </c>
      <c r="I188" s="222">
        <f t="shared" si="21"/>
        <v>0</v>
      </c>
      <c r="J188" s="2745"/>
      <c r="K188" s="2745"/>
      <c r="L188" s="2745"/>
      <c r="M188" s="2746"/>
    </row>
    <row r="189" spans="1:13" ht="30" customHeight="1">
      <c r="A189" s="530">
        <f t="shared" si="22"/>
        <v>31.129000000000016</v>
      </c>
      <c r="B189" s="336" t="s">
        <v>1772</v>
      </c>
      <c r="C189" s="336"/>
      <c r="D189" s="336"/>
      <c r="E189" s="220" t="s">
        <v>100</v>
      </c>
      <c r="F189" s="962">
        <v>0</v>
      </c>
      <c r="G189" s="962">
        <v>0</v>
      </c>
      <c r="H189" s="315">
        <f t="shared" si="20"/>
        <v>0</v>
      </c>
      <c r="I189" s="222">
        <f t="shared" si="21"/>
        <v>0</v>
      </c>
      <c r="J189" s="2745"/>
      <c r="K189" s="2745"/>
      <c r="L189" s="2745"/>
      <c r="M189" s="2746"/>
    </row>
    <row r="190" spans="1:13" ht="30" customHeight="1">
      <c r="A190" s="530">
        <f>A189+0.001</f>
        <v>31.130000000000017</v>
      </c>
      <c r="B190" s="336" t="s">
        <v>898</v>
      </c>
      <c r="C190" s="336"/>
      <c r="D190" s="336"/>
      <c r="E190" s="220" t="s">
        <v>100</v>
      </c>
      <c r="F190" s="962">
        <v>0</v>
      </c>
      <c r="G190" s="962">
        <v>0</v>
      </c>
      <c r="H190" s="315">
        <f t="shared" si="20"/>
        <v>0</v>
      </c>
      <c r="I190" s="222">
        <f t="shared" si="21"/>
        <v>0</v>
      </c>
      <c r="J190" s="2745"/>
      <c r="K190" s="2745"/>
      <c r="L190" s="2745"/>
      <c r="M190" s="2746"/>
    </row>
    <row r="191" spans="1:13" ht="30" customHeight="1">
      <c r="A191" s="530">
        <f t="shared" si="22"/>
        <v>31.131000000000018</v>
      </c>
      <c r="B191" s="336" t="s">
        <v>167</v>
      </c>
      <c r="C191" s="336"/>
      <c r="D191" s="336"/>
      <c r="E191" s="220" t="s">
        <v>85</v>
      </c>
      <c r="F191" s="220">
        <v>1</v>
      </c>
      <c r="G191" s="962">
        <v>0</v>
      </c>
      <c r="H191" s="219"/>
      <c r="I191" s="222">
        <f t="shared" si="21"/>
        <v>0</v>
      </c>
      <c r="J191" s="2745"/>
      <c r="K191" s="2745"/>
      <c r="L191" s="2745"/>
      <c r="M191" s="2746"/>
    </row>
    <row r="192" spans="1:13" ht="30" customHeight="1">
      <c r="A192" s="530">
        <f t="shared" si="22"/>
        <v>31.132000000000019</v>
      </c>
      <c r="B192" s="336" t="s">
        <v>187</v>
      </c>
      <c r="C192" s="336"/>
      <c r="D192" s="336"/>
      <c r="E192" s="220" t="s">
        <v>85</v>
      </c>
      <c r="F192" s="220">
        <v>1</v>
      </c>
      <c r="G192" s="962">
        <v>0</v>
      </c>
      <c r="H192" s="219"/>
      <c r="I192" s="222">
        <f>ROUND(F192*G192,0)</f>
        <v>0</v>
      </c>
      <c r="J192" s="2745"/>
      <c r="K192" s="2745"/>
      <c r="L192" s="2745"/>
      <c r="M192" s="2746"/>
    </row>
    <row r="193" spans="1:13" ht="30" customHeight="1">
      <c r="A193" s="530">
        <f t="shared" si="22"/>
        <v>31.13300000000002</v>
      </c>
      <c r="B193" s="336" t="s">
        <v>168</v>
      </c>
      <c r="C193" s="336"/>
      <c r="D193" s="336"/>
      <c r="E193" s="220" t="s">
        <v>85</v>
      </c>
      <c r="F193" s="220">
        <v>1</v>
      </c>
      <c r="G193" s="962">
        <v>0</v>
      </c>
      <c r="H193" s="219"/>
      <c r="I193" s="222">
        <f t="shared" si="21"/>
        <v>0</v>
      </c>
      <c r="J193" s="2745"/>
      <c r="K193" s="2745"/>
      <c r="L193" s="2745"/>
      <c r="M193" s="2746"/>
    </row>
    <row r="194" spans="1:13" ht="30" customHeight="1">
      <c r="A194" s="530">
        <f t="shared" si="22"/>
        <v>31.134000000000022</v>
      </c>
      <c r="B194" s="336" t="s">
        <v>189</v>
      </c>
      <c r="C194" s="336"/>
      <c r="D194" s="336"/>
      <c r="E194" s="220" t="s">
        <v>85</v>
      </c>
      <c r="F194" s="220">
        <v>1</v>
      </c>
      <c r="G194" s="962">
        <v>0</v>
      </c>
      <c r="H194" s="219"/>
      <c r="I194" s="222">
        <f t="shared" si="21"/>
        <v>0</v>
      </c>
      <c r="J194" s="2745"/>
      <c r="K194" s="2745"/>
      <c r="L194" s="2745"/>
      <c r="M194" s="2746"/>
    </row>
    <row r="195" spans="1:13" ht="30" customHeight="1">
      <c r="A195" s="530">
        <f t="shared" si="22"/>
        <v>31.135000000000023</v>
      </c>
      <c r="B195" s="464" t="s">
        <v>1638</v>
      </c>
      <c r="C195" s="336"/>
      <c r="D195" s="336"/>
      <c r="E195" s="220" t="s">
        <v>85</v>
      </c>
      <c r="F195" s="220">
        <v>1</v>
      </c>
      <c r="G195" s="962">
        <v>0</v>
      </c>
      <c r="H195" s="219"/>
      <c r="I195" s="222">
        <f t="shared" si="21"/>
        <v>0</v>
      </c>
      <c r="J195" s="2745"/>
      <c r="K195" s="2745"/>
      <c r="L195" s="2745"/>
      <c r="M195" s="2746"/>
    </row>
    <row r="196" spans="1:13" ht="20.100000000000001" customHeight="1">
      <c r="A196" s="2776" t="s">
        <v>649</v>
      </c>
      <c r="B196" s="2777"/>
      <c r="C196" s="2777"/>
      <c r="D196" s="2777"/>
      <c r="E196" s="2777"/>
      <c r="F196" s="2777"/>
      <c r="G196" s="2778"/>
      <c r="H196" s="539">
        <f>SUM(H175:H195)</f>
        <v>0</v>
      </c>
      <c r="I196" s="247">
        <f>SUM(I175:I195)</f>
        <v>0</v>
      </c>
      <c r="J196" s="2754"/>
      <c r="K196" s="2754"/>
      <c r="L196" s="2754"/>
      <c r="M196" s="2755"/>
    </row>
    <row r="197" spans="1:13" ht="30" customHeight="1" thickBot="1">
      <c r="A197" s="852">
        <v>31.135999999999999</v>
      </c>
      <c r="B197" s="842" t="s">
        <v>133</v>
      </c>
      <c r="C197" s="842"/>
      <c r="D197" s="842"/>
      <c r="E197" s="812" t="s">
        <v>85</v>
      </c>
      <c r="F197" s="812">
        <v>1</v>
      </c>
      <c r="G197" s="993">
        <v>0</v>
      </c>
      <c r="H197" s="223"/>
      <c r="I197" s="224">
        <f>ROUND(F197*G197,0)</f>
        <v>0</v>
      </c>
      <c r="J197" s="2756"/>
      <c r="K197" s="2756"/>
      <c r="L197" s="2756"/>
      <c r="M197" s="2757"/>
    </row>
    <row r="198" spans="1:13" ht="30" customHeight="1">
      <c r="A198" s="853">
        <v>31.137</v>
      </c>
      <c r="B198" s="844" t="s">
        <v>707</v>
      </c>
      <c r="C198" s="844"/>
      <c r="D198" s="844"/>
      <c r="E198" s="610"/>
      <c r="F198" s="610"/>
      <c r="G198" s="854"/>
      <c r="H198" s="612"/>
      <c r="I198" s="869"/>
      <c r="J198" s="2758" t="s">
        <v>395</v>
      </c>
      <c r="K198" s="2758"/>
      <c r="L198" s="2758"/>
      <c r="M198" s="2759"/>
    </row>
    <row r="199" spans="1:13" ht="30" customHeight="1">
      <c r="A199" s="276" t="s">
        <v>1107</v>
      </c>
      <c r="B199" s="336" t="s">
        <v>841</v>
      </c>
      <c r="C199" s="336"/>
      <c r="D199" s="336"/>
      <c r="E199" s="220" t="s">
        <v>141</v>
      </c>
      <c r="F199" s="962">
        <v>0</v>
      </c>
      <c r="G199" s="962">
        <v>0</v>
      </c>
      <c r="H199" s="316"/>
      <c r="I199" s="219">
        <f t="shared" ref="I199:I204" si="23">G199*F199</f>
        <v>0</v>
      </c>
      <c r="J199" s="2745"/>
      <c r="K199" s="2745"/>
      <c r="L199" s="2745"/>
      <c r="M199" s="2746"/>
    </row>
    <row r="200" spans="1:13" ht="30" customHeight="1">
      <c r="A200" s="276" t="s">
        <v>1108</v>
      </c>
      <c r="B200" s="464" t="s">
        <v>842</v>
      </c>
      <c r="C200" s="464"/>
      <c r="D200" s="336"/>
      <c r="E200" s="220" t="s">
        <v>141</v>
      </c>
      <c r="F200" s="962">
        <v>0</v>
      </c>
      <c r="G200" s="962">
        <v>0</v>
      </c>
      <c r="H200" s="316"/>
      <c r="I200" s="219">
        <f t="shared" si="23"/>
        <v>0</v>
      </c>
      <c r="J200" s="2745"/>
      <c r="K200" s="2745"/>
      <c r="L200" s="2745"/>
      <c r="M200" s="2746"/>
    </row>
    <row r="201" spans="1:13" ht="30" customHeight="1">
      <c r="A201" s="276" t="s">
        <v>1109</v>
      </c>
      <c r="B201" s="464" t="s">
        <v>843</v>
      </c>
      <c r="C201" s="464"/>
      <c r="D201" s="336"/>
      <c r="E201" s="220" t="s">
        <v>141</v>
      </c>
      <c r="F201" s="962">
        <v>0</v>
      </c>
      <c r="G201" s="962">
        <v>0</v>
      </c>
      <c r="H201" s="316"/>
      <c r="I201" s="219">
        <f t="shared" si="23"/>
        <v>0</v>
      </c>
      <c r="J201" s="2745"/>
      <c r="K201" s="2745"/>
      <c r="L201" s="2745"/>
      <c r="M201" s="2746"/>
    </row>
    <row r="202" spans="1:13" ht="30" customHeight="1">
      <c r="A202" s="276" t="s">
        <v>1110</v>
      </c>
      <c r="B202" s="336" t="s">
        <v>231</v>
      </c>
      <c r="C202" s="336"/>
      <c r="D202" s="336"/>
      <c r="E202" s="220" t="s">
        <v>141</v>
      </c>
      <c r="F202" s="962">
        <v>0</v>
      </c>
      <c r="G202" s="962">
        <v>0</v>
      </c>
      <c r="H202" s="316"/>
      <c r="I202" s="219">
        <f t="shared" si="23"/>
        <v>0</v>
      </c>
      <c r="J202" s="2745"/>
      <c r="K202" s="2745"/>
      <c r="L202" s="2745"/>
      <c r="M202" s="2746"/>
    </row>
    <row r="203" spans="1:13" ht="30" customHeight="1">
      <c r="A203" s="276" t="s">
        <v>1111</v>
      </c>
      <c r="B203" s="336" t="s">
        <v>154</v>
      </c>
      <c r="C203" s="336"/>
      <c r="D203" s="336"/>
      <c r="E203" s="220" t="s">
        <v>141</v>
      </c>
      <c r="F203" s="962">
        <v>0</v>
      </c>
      <c r="G203" s="962">
        <v>0</v>
      </c>
      <c r="H203" s="316"/>
      <c r="I203" s="219">
        <f t="shared" si="23"/>
        <v>0</v>
      </c>
      <c r="J203" s="2745"/>
      <c r="K203" s="2745"/>
      <c r="L203" s="2745"/>
      <c r="M203" s="2746"/>
    </row>
    <row r="204" spans="1:13" ht="30" customHeight="1">
      <c r="A204" s="276" t="s">
        <v>1112</v>
      </c>
      <c r="B204" s="336" t="s">
        <v>155</v>
      </c>
      <c r="C204" s="336"/>
      <c r="D204" s="336"/>
      <c r="E204" s="220" t="s">
        <v>141</v>
      </c>
      <c r="F204" s="962">
        <v>0</v>
      </c>
      <c r="G204" s="962">
        <v>0</v>
      </c>
      <c r="H204" s="316"/>
      <c r="I204" s="219">
        <f t="shared" si="23"/>
        <v>0</v>
      </c>
      <c r="J204" s="2745"/>
      <c r="K204" s="2745"/>
      <c r="L204" s="2745"/>
      <c r="M204" s="2746"/>
    </row>
    <row r="205" spans="1:13" ht="30" customHeight="1" thickBot="1">
      <c r="A205" s="846" t="s">
        <v>1113</v>
      </c>
      <c r="B205" s="847" t="s">
        <v>238</v>
      </c>
      <c r="C205" s="847"/>
      <c r="D205" s="848"/>
      <c r="E205" s="849"/>
      <c r="F205" s="849"/>
      <c r="G205" s="850"/>
      <c r="H205" s="870"/>
      <c r="I205" s="868">
        <f>SUM(I199:I204)</f>
        <v>0</v>
      </c>
      <c r="J205" s="2760"/>
      <c r="K205" s="2760"/>
      <c r="L205" s="2760"/>
      <c r="M205" s="2761"/>
    </row>
    <row r="206" spans="1:13" ht="30" customHeight="1">
      <c r="A206" s="866">
        <v>31.138000000000002</v>
      </c>
      <c r="B206" s="544" t="s">
        <v>307</v>
      </c>
      <c r="C206" s="544"/>
      <c r="D206" s="544"/>
      <c r="E206" s="340" t="s">
        <v>85</v>
      </c>
      <c r="F206" s="340" t="s">
        <v>878</v>
      </c>
      <c r="G206" s="987">
        <v>0</v>
      </c>
      <c r="H206" s="324"/>
      <c r="I206" s="538">
        <f>ROUND(G206*$I$196,0)</f>
        <v>0</v>
      </c>
      <c r="J206" s="2762"/>
      <c r="K206" s="2762"/>
      <c r="L206" s="2762"/>
      <c r="M206" s="2763"/>
    </row>
    <row r="207" spans="1:13" ht="30" customHeight="1">
      <c r="A207" s="530">
        <v>31.138999999999999</v>
      </c>
      <c r="B207" s="555" t="s">
        <v>92</v>
      </c>
      <c r="C207" s="555"/>
      <c r="D207" s="555"/>
      <c r="E207" s="542" t="s">
        <v>85</v>
      </c>
      <c r="F207" s="220" t="s">
        <v>878</v>
      </c>
      <c r="G207" s="965">
        <v>0</v>
      </c>
      <c r="H207" s="219"/>
      <c r="I207" s="222">
        <f>ROUND(G207*$I$196,0)</f>
        <v>0</v>
      </c>
      <c r="J207" s="2745"/>
      <c r="K207" s="2745"/>
      <c r="L207" s="2745"/>
      <c r="M207" s="2746"/>
    </row>
    <row r="208" spans="1:13" ht="30" customHeight="1">
      <c r="A208" s="530">
        <v>31.14</v>
      </c>
      <c r="B208" s="302" t="s">
        <v>169</v>
      </c>
      <c r="C208" s="302"/>
      <c r="D208" s="302"/>
      <c r="E208" s="220" t="s">
        <v>85</v>
      </c>
      <c r="F208" s="220" t="s">
        <v>878</v>
      </c>
      <c r="G208" s="965">
        <v>0</v>
      </c>
      <c r="H208" s="219"/>
      <c r="I208" s="222">
        <f>ROUND(G208*$I$196,0)</f>
        <v>0</v>
      </c>
      <c r="J208" s="2745"/>
      <c r="K208" s="2745"/>
      <c r="L208" s="2745"/>
      <c r="M208" s="2746"/>
    </row>
    <row r="209" spans="1:13" ht="20.100000000000001" customHeight="1">
      <c r="A209" s="2779" t="s">
        <v>188</v>
      </c>
      <c r="B209" s="2780"/>
      <c r="C209" s="2780"/>
      <c r="D209" s="2780"/>
      <c r="E209" s="2780"/>
      <c r="F209" s="2780"/>
      <c r="G209" s="2780"/>
      <c r="H209" s="539">
        <f>$H$196</f>
        <v>0</v>
      </c>
      <c r="I209" s="247">
        <f>SUM(I205:I208)+I197+I196</f>
        <v>0</v>
      </c>
      <c r="J209" s="2754"/>
      <c r="K209" s="2754"/>
      <c r="L209" s="2754"/>
      <c r="M209" s="2755"/>
    </row>
    <row r="210" spans="1:13" ht="20.100000000000001" customHeight="1">
      <c r="A210" s="2776" t="s">
        <v>351</v>
      </c>
      <c r="B210" s="2777"/>
      <c r="C210" s="2777"/>
      <c r="D210" s="2777"/>
      <c r="E210" s="2777"/>
      <c r="F210" s="2777"/>
      <c r="G210" s="2778"/>
      <c r="H210" s="539">
        <f>SUM(H209,H173,H150,H125,H96,H56)</f>
        <v>0</v>
      </c>
      <c r="I210" s="247">
        <f>SUM(I209,I173,I150,I125,I96,I56)</f>
        <v>0</v>
      </c>
      <c r="J210" s="2754"/>
      <c r="K210" s="2754"/>
      <c r="L210" s="2754"/>
      <c r="M210" s="2755"/>
    </row>
    <row r="211" spans="1:13" ht="30" customHeight="1">
      <c r="A211" s="867">
        <v>31.140999999999998</v>
      </c>
      <c r="B211" s="1096" t="s">
        <v>1877</v>
      </c>
      <c r="C211" s="839"/>
      <c r="D211" s="226"/>
      <c r="E211" s="220" t="s">
        <v>85</v>
      </c>
      <c r="F211" s="812">
        <v>1</v>
      </c>
      <c r="G211" s="993">
        <v>0</v>
      </c>
      <c r="H211" s="223"/>
      <c r="I211" s="224">
        <f>ROUND(F211*G211,0)</f>
        <v>0</v>
      </c>
      <c r="J211" s="2745"/>
      <c r="K211" s="2745"/>
      <c r="L211" s="2745"/>
      <c r="M211" s="2746"/>
    </row>
    <row r="212" spans="1:13" ht="30" customHeight="1">
      <c r="A212" s="1110" t="s">
        <v>1852</v>
      </c>
      <c r="B212" s="1096" t="s">
        <v>1853</v>
      </c>
      <c r="C212" s="839"/>
      <c r="D212" s="226"/>
      <c r="E212" s="220" t="s">
        <v>85</v>
      </c>
      <c r="F212" s="523">
        <v>1</v>
      </c>
      <c r="G212" s="993">
        <v>0</v>
      </c>
      <c r="H212" s="223"/>
      <c r="I212" s="223">
        <f>ROUND(F212*G212,0)</f>
        <v>0</v>
      </c>
      <c r="J212" s="2538"/>
      <c r="K212" s="2768"/>
      <c r="L212" s="2768"/>
      <c r="M212" s="2769"/>
    </row>
    <row r="213" spans="1:13" ht="30" customHeight="1">
      <c r="A213" s="1110" t="s">
        <v>1854</v>
      </c>
      <c r="B213" s="1096" t="s">
        <v>1855</v>
      </c>
      <c r="C213" s="839"/>
      <c r="D213" s="226"/>
      <c r="E213" s="220" t="s">
        <v>85</v>
      </c>
      <c r="F213" s="523">
        <v>1</v>
      </c>
      <c r="G213" s="993">
        <v>0</v>
      </c>
      <c r="H213" s="223"/>
      <c r="I213" s="223">
        <f>ROUND(F213*G213,0)</f>
        <v>0</v>
      </c>
      <c r="J213" s="2538"/>
      <c r="K213" s="2768"/>
      <c r="L213" s="2768"/>
      <c r="M213" s="2769"/>
    </row>
    <row r="214" spans="1:13" ht="30" customHeight="1">
      <c r="A214" s="1110" t="s">
        <v>1856</v>
      </c>
      <c r="B214" s="1096" t="s">
        <v>1857</v>
      </c>
      <c r="C214" s="839"/>
      <c r="D214" s="226"/>
      <c r="E214" s="220" t="s">
        <v>85</v>
      </c>
      <c r="F214" s="523">
        <v>1</v>
      </c>
      <c r="G214" s="993">
        <v>0</v>
      </c>
      <c r="H214" s="223"/>
      <c r="I214" s="223">
        <f>ROUND(F214*G214,0)</f>
        <v>0</v>
      </c>
      <c r="J214" s="2538"/>
      <c r="K214" s="2768"/>
      <c r="L214" s="2768"/>
      <c r="M214" s="2769"/>
    </row>
    <row r="215" spans="1:13" ht="30" customHeight="1">
      <c r="A215" s="530">
        <v>31.141999999999999</v>
      </c>
      <c r="B215" s="226" t="s">
        <v>78</v>
      </c>
      <c r="C215" s="226"/>
      <c r="D215" s="226"/>
      <c r="E215" s="220" t="s">
        <v>85</v>
      </c>
      <c r="F215" s="220" t="s">
        <v>878</v>
      </c>
      <c r="G215" s="965">
        <v>0</v>
      </c>
      <c r="H215" s="872"/>
      <c r="I215" s="219">
        <f>ROUND(G215*I210,0)</f>
        <v>0</v>
      </c>
      <c r="J215" s="2461"/>
      <c r="K215" s="2461"/>
      <c r="L215" s="2461"/>
      <c r="M215" s="2767"/>
    </row>
    <row r="216" spans="1:13" ht="134.25" customHeight="1">
      <c r="A216" s="855">
        <v>31.143000000000001</v>
      </c>
      <c r="B216" s="856" t="s">
        <v>1114</v>
      </c>
      <c r="C216" s="856"/>
      <c r="D216" s="226"/>
      <c r="E216" s="220" t="s">
        <v>1115</v>
      </c>
      <c r="F216" s="857" t="s">
        <v>1116</v>
      </c>
      <c r="G216" s="858" t="s">
        <v>1116</v>
      </c>
      <c r="H216" s="873" t="s">
        <v>1116</v>
      </c>
      <c r="I216" s="874" t="s">
        <v>1116</v>
      </c>
      <c r="J216" s="2743" t="s">
        <v>1117</v>
      </c>
      <c r="K216" s="2743"/>
      <c r="L216" s="2743"/>
      <c r="M216" s="2764"/>
    </row>
    <row r="217" spans="1:13" ht="20.100000000000001" customHeight="1" thickBot="1">
      <c r="A217" s="2793" t="s">
        <v>299</v>
      </c>
      <c r="B217" s="2482"/>
      <c r="C217" s="2482"/>
      <c r="D217" s="2482"/>
      <c r="E217" s="2482"/>
      <c r="F217" s="2482"/>
      <c r="G217" s="2482"/>
      <c r="H217" s="467">
        <f>$H$210</f>
        <v>0</v>
      </c>
      <c r="I217" s="248">
        <f>SUM(I210:I216)</f>
        <v>0</v>
      </c>
      <c r="J217" s="2765"/>
      <c r="K217" s="2765"/>
      <c r="L217" s="2765"/>
      <c r="M217" s="2766"/>
    </row>
    <row r="218" spans="1:13" ht="12.75" customHeight="1">
      <c r="A218" s="581"/>
      <c r="B218" s="581"/>
      <c r="C218" s="581"/>
      <c r="D218" s="581"/>
      <c r="E218" s="581"/>
      <c r="F218" s="581"/>
      <c r="G218" s="581"/>
      <c r="H218" s="528"/>
      <c r="I218" s="338"/>
      <c r="J218" s="338"/>
      <c r="K218" s="338"/>
      <c r="L218" s="582"/>
    </row>
    <row r="219" spans="1:13" ht="13.8" thickBot="1"/>
    <row r="220" spans="1:13" ht="30" customHeight="1">
      <c r="A220" s="2741" t="s">
        <v>585</v>
      </c>
      <c r="B220" s="2742"/>
      <c r="C220" s="2742"/>
      <c r="D220" s="2742"/>
      <c r="E220" s="2742"/>
      <c r="F220" s="2742"/>
      <c r="G220" s="2742"/>
      <c r="H220" s="2742"/>
      <c r="I220" s="2742"/>
      <c r="J220" s="2378"/>
      <c r="K220" s="2731" t="s">
        <v>164</v>
      </c>
      <c r="L220" s="2616" t="s">
        <v>575</v>
      </c>
      <c r="M220" s="2433" t="s">
        <v>576</v>
      </c>
    </row>
    <row r="221" spans="1:13" ht="20.100000000000001" customHeight="1">
      <c r="A221" s="2441" t="s">
        <v>1427</v>
      </c>
      <c r="B221" s="2427"/>
      <c r="C221" s="2427" t="s">
        <v>514</v>
      </c>
      <c r="D221" s="2427"/>
      <c r="E221" s="2427"/>
      <c r="F221" s="2427"/>
      <c r="G221" s="2427"/>
      <c r="H221" s="2427"/>
      <c r="I221" s="2434" t="s">
        <v>156</v>
      </c>
      <c r="J221" s="2738" t="s">
        <v>102</v>
      </c>
      <c r="K221" s="2732"/>
      <c r="L221" s="2748"/>
      <c r="M221" s="2435"/>
    </row>
    <row r="222" spans="1:13" s="268" customFormat="1" ht="47.4" thickBot="1">
      <c r="A222" s="2736"/>
      <c r="B222" s="2737"/>
      <c r="C222" s="876" t="s">
        <v>1423</v>
      </c>
      <c r="D222" s="876" t="s">
        <v>1424</v>
      </c>
      <c r="E222" s="876" t="s">
        <v>218</v>
      </c>
      <c r="F222" s="876" t="s">
        <v>1425</v>
      </c>
      <c r="G222" s="876" t="s">
        <v>220</v>
      </c>
      <c r="H222" s="876" t="s">
        <v>221</v>
      </c>
      <c r="I222" s="2740"/>
      <c r="J222" s="2739"/>
      <c r="K222" s="2733"/>
      <c r="L222" s="2749"/>
      <c r="M222" s="2747"/>
    </row>
    <row r="223" spans="1:13" s="268" customFormat="1" ht="20.100000000000001" customHeight="1">
      <c r="A223" s="2791" t="s">
        <v>841</v>
      </c>
      <c r="B223" s="2792"/>
      <c r="C223" s="324">
        <f>I46</f>
        <v>0</v>
      </c>
      <c r="D223" s="324">
        <f>I86</f>
        <v>0</v>
      </c>
      <c r="E223" s="324">
        <f>I115</f>
        <v>0</v>
      </c>
      <c r="F223" s="324">
        <f>I140</f>
        <v>0</v>
      </c>
      <c r="G223" s="324">
        <f>I163</f>
        <v>0</v>
      </c>
      <c r="H223" s="861">
        <f>I199</f>
        <v>0</v>
      </c>
      <c r="I223" s="883">
        <f>F46+F86+F115+F140+F163+F199</f>
        <v>0</v>
      </c>
      <c r="J223" s="1008">
        <f>SUM(C223:H223)</f>
        <v>0</v>
      </c>
      <c r="K223" s="376"/>
      <c r="L223" s="875"/>
      <c r="M223" s="977">
        <v>0</v>
      </c>
    </row>
    <row r="224" spans="1:13" s="268" customFormat="1" ht="20.100000000000001" customHeight="1">
      <c r="A224" s="2092" t="s">
        <v>842</v>
      </c>
      <c r="B224" s="2094"/>
      <c r="C224" s="315">
        <f>I47</f>
        <v>0</v>
      </c>
      <c r="D224" s="315">
        <f>I87</f>
        <v>0</v>
      </c>
      <c r="E224" s="219">
        <f>I116</f>
        <v>0</v>
      </c>
      <c r="F224" s="219">
        <f>I141</f>
        <v>0</v>
      </c>
      <c r="G224" s="219">
        <f>I164</f>
        <v>0</v>
      </c>
      <c r="H224" s="859">
        <f>I200</f>
        <v>0</v>
      </c>
      <c r="I224" s="877">
        <f>F47+F87+F116+F141+F164+F200</f>
        <v>0</v>
      </c>
      <c r="J224" s="861">
        <f>SUM(C224:H224)</f>
        <v>0</v>
      </c>
      <c r="K224" s="315"/>
      <c r="L224" s="709"/>
      <c r="M224" s="978">
        <v>0</v>
      </c>
    </row>
    <row r="225" spans="1:13" s="268" customFormat="1" ht="20.100000000000001" customHeight="1">
      <c r="A225" s="2092" t="s">
        <v>843</v>
      </c>
      <c r="B225" s="2094"/>
      <c r="C225" s="315">
        <f>I48</f>
        <v>0</v>
      </c>
      <c r="D225" s="315">
        <f>I88</f>
        <v>0</v>
      </c>
      <c r="E225" s="219">
        <f>I117</f>
        <v>0</v>
      </c>
      <c r="F225" s="219">
        <f>I142</f>
        <v>0</v>
      </c>
      <c r="G225" s="219">
        <f>I165</f>
        <v>0</v>
      </c>
      <c r="H225" s="859">
        <f>I201</f>
        <v>0</v>
      </c>
      <c r="I225" s="877">
        <f>F48+F88+F117+F142+F165+F201</f>
        <v>0</v>
      </c>
      <c r="J225" s="861">
        <f>SUM(C225:H225)</f>
        <v>0</v>
      </c>
      <c r="K225" s="315"/>
      <c r="L225" s="709"/>
      <c r="M225" s="978">
        <v>0</v>
      </c>
    </row>
    <row r="226" spans="1:13" s="268" customFormat="1" ht="20.100000000000001" customHeight="1">
      <c r="A226" s="2786" t="s">
        <v>231</v>
      </c>
      <c r="B226" s="2553"/>
      <c r="C226" s="315">
        <f>I49</f>
        <v>0</v>
      </c>
      <c r="D226" s="315">
        <f>I89</f>
        <v>0</v>
      </c>
      <c r="E226" s="219">
        <f>I118</f>
        <v>0</v>
      </c>
      <c r="F226" s="219">
        <f>I143</f>
        <v>0</v>
      </c>
      <c r="G226" s="219">
        <f>I166</f>
        <v>0</v>
      </c>
      <c r="H226" s="859">
        <f>I202</f>
        <v>0</v>
      </c>
      <c r="I226" s="877">
        <f>F49+F89+F118+F143+F166+F202</f>
        <v>0</v>
      </c>
      <c r="J226" s="861">
        <f>SUM(C226:H226)</f>
        <v>0</v>
      </c>
      <c r="K226" s="315"/>
      <c r="L226" s="709"/>
      <c r="M226" s="978">
        <v>0</v>
      </c>
    </row>
    <row r="227" spans="1:13" s="268" customFormat="1" ht="20.100000000000001" customHeight="1" thickBot="1">
      <c r="A227" s="2789" t="s">
        <v>238</v>
      </c>
      <c r="B227" s="2790"/>
      <c r="C227" s="878"/>
      <c r="D227" s="878"/>
      <c r="E227" s="614"/>
      <c r="F227" s="614"/>
      <c r="G227" s="614"/>
      <c r="H227" s="860"/>
      <c r="I227" s="885">
        <f>SUM(I223:I226)</f>
        <v>0</v>
      </c>
      <c r="J227" s="860">
        <f>SUM(J223:J226)</f>
        <v>0</v>
      </c>
      <c r="K227" s="322"/>
      <c r="L227" s="864" t="s">
        <v>1402</v>
      </c>
      <c r="M227" s="250">
        <f>SUM(M223:M226)</f>
        <v>0</v>
      </c>
    </row>
    <row r="228" spans="1:13" s="268" customFormat="1" ht="20.100000000000001" customHeight="1" thickTop="1">
      <c r="A228" s="2770" t="s">
        <v>861</v>
      </c>
      <c r="B228" s="2771"/>
      <c r="C228" s="376">
        <f>I50</f>
        <v>0</v>
      </c>
      <c r="D228" s="376">
        <f>I90</f>
        <v>0</v>
      </c>
      <c r="E228" s="324">
        <f>I119</f>
        <v>0</v>
      </c>
      <c r="F228" s="324">
        <f>I144</f>
        <v>0</v>
      </c>
      <c r="G228" s="324">
        <f>I167</f>
        <v>0</v>
      </c>
      <c r="H228" s="861">
        <f>I203</f>
        <v>0</v>
      </c>
      <c r="I228" s="877">
        <f>F50+F90+F119+F144+F167+F203</f>
        <v>0</v>
      </c>
      <c r="J228" s="861">
        <f>SUM(C228:H228)</f>
        <v>0</v>
      </c>
      <c r="K228" s="315"/>
      <c r="L228" s="882" t="s">
        <v>1418</v>
      </c>
      <c r="M228" s="293" t="s">
        <v>1116</v>
      </c>
    </row>
    <row r="229" spans="1:13" s="268" customFormat="1" ht="20.100000000000001" customHeight="1" thickBot="1">
      <c r="A229" s="2772" t="s">
        <v>155</v>
      </c>
      <c r="B229" s="2773"/>
      <c r="C229" s="879">
        <f>I51</f>
        <v>0</v>
      </c>
      <c r="D229" s="879">
        <f>I91</f>
        <v>0</v>
      </c>
      <c r="E229" s="328">
        <f>I120</f>
        <v>0</v>
      </c>
      <c r="F229" s="328">
        <f>I145</f>
        <v>0</v>
      </c>
      <c r="G229" s="328">
        <f>I168</f>
        <v>0</v>
      </c>
      <c r="H229" s="862">
        <f>I204</f>
        <v>0</v>
      </c>
      <c r="I229" s="880">
        <f>F51+F91+F120+F145+F168+F204</f>
        <v>0</v>
      </c>
      <c r="J229" s="862">
        <f>SUM(C229:H229)</f>
        <v>0</v>
      </c>
      <c r="K229" s="315"/>
      <c r="L229" s="792" t="s">
        <v>1418</v>
      </c>
      <c r="M229" s="294" t="s">
        <v>1116</v>
      </c>
    </row>
    <row r="230" spans="1:13" s="288" customFormat="1" ht="20.100000000000001" customHeight="1" thickTop="1" thickBot="1">
      <c r="A230" s="2774" t="s">
        <v>111</v>
      </c>
      <c r="B230" s="2775"/>
      <c r="C230" s="881"/>
      <c r="D230" s="881"/>
      <c r="E230" s="608"/>
      <c r="F230" s="608"/>
      <c r="G230" s="608"/>
      <c r="H230" s="863"/>
      <c r="I230" s="884">
        <f>SUM(I227:I229)</f>
        <v>0</v>
      </c>
      <c r="J230" s="863">
        <f>SUM(J227:J229)</f>
        <v>0</v>
      </c>
      <c r="K230" s="322"/>
      <c r="L230" s="865" t="s">
        <v>1426</v>
      </c>
      <c r="M230" s="332">
        <f>M227</f>
        <v>0</v>
      </c>
    </row>
    <row r="231" spans="1:13" s="268" customFormat="1" ht="15.6">
      <c r="A231" s="289"/>
      <c r="E231" s="290"/>
      <c r="F231" s="290"/>
      <c r="G231" s="290"/>
      <c r="H231" s="346"/>
      <c r="M231" s="346" t="s">
        <v>1405</v>
      </c>
    </row>
    <row r="232" spans="1:13" s="268" customFormat="1" ht="15.6">
      <c r="A232" s="617" t="s">
        <v>1417</v>
      </c>
      <c r="D232" s="290"/>
      <c r="E232" s="290"/>
      <c r="F232" s="290"/>
      <c r="G232" s="346"/>
      <c r="H232" s="3"/>
      <c r="I232" s="346"/>
      <c r="J232" s="346"/>
      <c r="K232" s="346"/>
    </row>
  </sheetData>
  <mergeCells count="292">
    <mergeCell ref="B45:C45"/>
    <mergeCell ref="A160:G160"/>
    <mergeCell ref="A125:G125"/>
    <mergeCell ref="A137:G137"/>
    <mergeCell ref="A150:G150"/>
    <mergeCell ref="A226:B226"/>
    <mergeCell ref="A225:B225"/>
    <mergeCell ref="A227:B227"/>
    <mergeCell ref="A224:B224"/>
    <mergeCell ref="A223:B223"/>
    <mergeCell ref="A217:G217"/>
    <mergeCell ref="A173:G173"/>
    <mergeCell ref="A210:G210"/>
    <mergeCell ref="A209:G209"/>
    <mergeCell ref="A196:G196"/>
    <mergeCell ref="B49:C49"/>
    <mergeCell ref="B48:C48"/>
    <mergeCell ref="B47:C47"/>
    <mergeCell ref="B46:C46"/>
    <mergeCell ref="A228:B228"/>
    <mergeCell ref="A229:B229"/>
    <mergeCell ref="A230:B230"/>
    <mergeCell ref="D4:I4"/>
    <mergeCell ref="D5:I5"/>
    <mergeCell ref="D6:I6"/>
    <mergeCell ref="A5:C5"/>
    <mergeCell ref="A4:C4"/>
    <mergeCell ref="A43:G43"/>
    <mergeCell ref="A96:G96"/>
    <mergeCell ref="A83:G83"/>
    <mergeCell ref="A112:G112"/>
    <mergeCell ref="A56:G56"/>
    <mergeCell ref="B55:C55"/>
    <mergeCell ref="B54:C54"/>
    <mergeCell ref="B53:C53"/>
    <mergeCell ref="B52:C52"/>
    <mergeCell ref="B51:C51"/>
    <mergeCell ref="B50:C50"/>
    <mergeCell ref="B34:C34"/>
    <mergeCell ref="B33:C33"/>
    <mergeCell ref="B32:C32"/>
    <mergeCell ref="B31:C31"/>
    <mergeCell ref="B30:C30"/>
    <mergeCell ref="J216:M216"/>
    <mergeCell ref="J217:M217"/>
    <mergeCell ref="J206:M206"/>
    <mergeCell ref="J207:M207"/>
    <mergeCell ref="J208:M208"/>
    <mergeCell ref="J209:M209"/>
    <mergeCell ref="J210:M210"/>
    <mergeCell ref="J211:M211"/>
    <mergeCell ref="J215:M215"/>
    <mergeCell ref="J212:M212"/>
    <mergeCell ref="J213:M213"/>
    <mergeCell ref="J214:M214"/>
    <mergeCell ref="J204:M204"/>
    <mergeCell ref="J205:M205"/>
    <mergeCell ref="J198:M198"/>
    <mergeCell ref="J195:M195"/>
    <mergeCell ref="J196:M196"/>
    <mergeCell ref="J197:M197"/>
    <mergeCell ref="J199:M199"/>
    <mergeCell ref="J200:M200"/>
    <mergeCell ref="J201:M201"/>
    <mergeCell ref="J202:M202"/>
    <mergeCell ref="J203:M203"/>
    <mergeCell ref="J180:M180"/>
    <mergeCell ref="J181:M181"/>
    <mergeCell ref="J182:M182"/>
    <mergeCell ref="J183:M183"/>
    <mergeCell ref="J184:M184"/>
    <mergeCell ref="J175:M175"/>
    <mergeCell ref="J176:M176"/>
    <mergeCell ref="J177:M177"/>
    <mergeCell ref="J178:M178"/>
    <mergeCell ref="J179:M179"/>
    <mergeCell ref="J190:M190"/>
    <mergeCell ref="J191:M191"/>
    <mergeCell ref="J192:M192"/>
    <mergeCell ref="J193:M193"/>
    <mergeCell ref="J194:M194"/>
    <mergeCell ref="J185:M185"/>
    <mergeCell ref="J186:M186"/>
    <mergeCell ref="J187:M187"/>
    <mergeCell ref="J188:M188"/>
    <mergeCell ref="J189:M189"/>
    <mergeCell ref="J173:M173"/>
    <mergeCell ref="J174:M174"/>
    <mergeCell ref="J163:M163"/>
    <mergeCell ref="J164:M164"/>
    <mergeCell ref="J165:M165"/>
    <mergeCell ref="J166:M166"/>
    <mergeCell ref="J167:M167"/>
    <mergeCell ref="J168:M168"/>
    <mergeCell ref="J169:M169"/>
    <mergeCell ref="J170:M170"/>
    <mergeCell ref="J171:M171"/>
    <mergeCell ref="J172:M172"/>
    <mergeCell ref="J162:M162"/>
    <mergeCell ref="J161:M161"/>
    <mergeCell ref="J160:M160"/>
    <mergeCell ref="J152:M152"/>
    <mergeCell ref="J153:M153"/>
    <mergeCell ref="J154:M154"/>
    <mergeCell ref="J155:M155"/>
    <mergeCell ref="J156:M156"/>
    <mergeCell ref="J157:M157"/>
    <mergeCell ref="J158:M158"/>
    <mergeCell ref="J159:M159"/>
    <mergeCell ref="J139:M139"/>
    <mergeCell ref="J138:M138"/>
    <mergeCell ref="J134:M134"/>
    <mergeCell ref="J135:M135"/>
    <mergeCell ref="J136:M136"/>
    <mergeCell ref="J137:M137"/>
    <mergeCell ref="J150:M150"/>
    <mergeCell ref="J151:M151"/>
    <mergeCell ref="J140:M140"/>
    <mergeCell ref="J141:M141"/>
    <mergeCell ref="J142:M142"/>
    <mergeCell ref="J143:M143"/>
    <mergeCell ref="J144:M144"/>
    <mergeCell ref="J145:M145"/>
    <mergeCell ref="J146:M146"/>
    <mergeCell ref="J147:M147"/>
    <mergeCell ref="J148:M148"/>
    <mergeCell ref="J149:M149"/>
    <mergeCell ref="J132:M132"/>
    <mergeCell ref="J133:M133"/>
    <mergeCell ref="J115:M115"/>
    <mergeCell ref="J116:M116"/>
    <mergeCell ref="J117:M117"/>
    <mergeCell ref="J118:M118"/>
    <mergeCell ref="J119:M119"/>
    <mergeCell ref="J120:M120"/>
    <mergeCell ref="J121:M121"/>
    <mergeCell ref="J122:M122"/>
    <mergeCell ref="J123:M123"/>
    <mergeCell ref="J124:M124"/>
    <mergeCell ref="J125:M125"/>
    <mergeCell ref="J126:M126"/>
    <mergeCell ref="J127:M127"/>
    <mergeCell ref="J128:M128"/>
    <mergeCell ref="J129:M129"/>
    <mergeCell ref="J130:M130"/>
    <mergeCell ref="J131:M131"/>
    <mergeCell ref="J114:M114"/>
    <mergeCell ref="J113:M113"/>
    <mergeCell ref="J98:M98"/>
    <mergeCell ref="J99:M99"/>
    <mergeCell ref="J100:M100"/>
    <mergeCell ref="J101:M101"/>
    <mergeCell ref="J102:M102"/>
    <mergeCell ref="J103:M103"/>
    <mergeCell ref="J104:M104"/>
    <mergeCell ref="J105:M105"/>
    <mergeCell ref="J106:M106"/>
    <mergeCell ref="J107:M107"/>
    <mergeCell ref="J108:M108"/>
    <mergeCell ref="J109:M109"/>
    <mergeCell ref="J110:M110"/>
    <mergeCell ref="J111:M111"/>
    <mergeCell ref="J112:M112"/>
    <mergeCell ref="J96:M96"/>
    <mergeCell ref="J97:M97"/>
    <mergeCell ref="J86:M86"/>
    <mergeCell ref="J87:M87"/>
    <mergeCell ref="J88:M88"/>
    <mergeCell ref="J89:M89"/>
    <mergeCell ref="J90:M90"/>
    <mergeCell ref="J91:M91"/>
    <mergeCell ref="J92:M92"/>
    <mergeCell ref="J93:M93"/>
    <mergeCell ref="J94:M94"/>
    <mergeCell ref="J95:M95"/>
    <mergeCell ref="J85:M85"/>
    <mergeCell ref="J84:M84"/>
    <mergeCell ref="J83:M83"/>
    <mergeCell ref="J58:M58"/>
    <mergeCell ref="J59:M59"/>
    <mergeCell ref="J60:M60"/>
    <mergeCell ref="J61:M61"/>
    <mergeCell ref="J62:M62"/>
    <mergeCell ref="J63:M63"/>
    <mergeCell ref="J64:M64"/>
    <mergeCell ref="J65:M65"/>
    <mergeCell ref="J66:M66"/>
    <mergeCell ref="J67:M67"/>
    <mergeCell ref="J68:M68"/>
    <mergeCell ref="J69:M69"/>
    <mergeCell ref="J70:M70"/>
    <mergeCell ref="J82:M82"/>
    <mergeCell ref="J76:M76"/>
    <mergeCell ref="J77:M77"/>
    <mergeCell ref="J78:M78"/>
    <mergeCell ref="J79:M79"/>
    <mergeCell ref="J80:M80"/>
    <mergeCell ref="J71:M71"/>
    <mergeCell ref="J72:M72"/>
    <mergeCell ref="J73:M73"/>
    <mergeCell ref="J74:M74"/>
    <mergeCell ref="J75:M75"/>
    <mergeCell ref="J18:M18"/>
    <mergeCell ref="J38:M38"/>
    <mergeCell ref="J29:M29"/>
    <mergeCell ref="J30:M30"/>
    <mergeCell ref="J31:M31"/>
    <mergeCell ref="J32:M32"/>
    <mergeCell ref="J49:M49"/>
    <mergeCell ref="J44:M44"/>
    <mergeCell ref="J26:M26"/>
    <mergeCell ref="J56:M56"/>
    <mergeCell ref="J57:M57"/>
    <mergeCell ref="J45:M45"/>
    <mergeCell ref="J50:M50"/>
    <mergeCell ref="J51:M51"/>
    <mergeCell ref="J52:M52"/>
    <mergeCell ref="J53:M53"/>
    <mergeCell ref="J54:M54"/>
    <mergeCell ref="J55:M55"/>
    <mergeCell ref="J81:M81"/>
    <mergeCell ref="J27:M27"/>
    <mergeCell ref="J28:M28"/>
    <mergeCell ref="J33:M33"/>
    <mergeCell ref="M220:M222"/>
    <mergeCell ref="L220:L222"/>
    <mergeCell ref="J6:M6"/>
    <mergeCell ref="J11:M11"/>
    <mergeCell ref="J10:M10"/>
    <mergeCell ref="J9:M9"/>
    <mergeCell ref="J12:M12"/>
    <mergeCell ref="J13:M13"/>
    <mergeCell ref="J43:M43"/>
    <mergeCell ref="J46:M46"/>
    <mergeCell ref="J47:M47"/>
    <mergeCell ref="J48:M48"/>
    <mergeCell ref="J19:M19"/>
    <mergeCell ref="J20:M20"/>
    <mergeCell ref="J21:M21"/>
    <mergeCell ref="J22:M22"/>
    <mergeCell ref="J23:M23"/>
    <mergeCell ref="J14:M14"/>
    <mergeCell ref="J15:M15"/>
    <mergeCell ref="J16:M16"/>
    <mergeCell ref="J17:M17"/>
    <mergeCell ref="J39:M39"/>
    <mergeCell ref="J5:M5"/>
    <mergeCell ref="J40:M40"/>
    <mergeCell ref="J41:M41"/>
    <mergeCell ref="J42:M42"/>
    <mergeCell ref="A6:C6"/>
    <mergeCell ref="B23:C23"/>
    <mergeCell ref="B22:C22"/>
    <mergeCell ref="B21:C21"/>
    <mergeCell ref="B20:C20"/>
    <mergeCell ref="B19:C19"/>
    <mergeCell ref="B18:C18"/>
    <mergeCell ref="B17:C17"/>
    <mergeCell ref="B16:C16"/>
    <mergeCell ref="B15:C15"/>
    <mergeCell ref="B14:C14"/>
    <mergeCell ref="B13:C13"/>
    <mergeCell ref="J34:M34"/>
    <mergeCell ref="J35:M35"/>
    <mergeCell ref="J36:M36"/>
    <mergeCell ref="J37:M37"/>
    <mergeCell ref="J24:M24"/>
    <mergeCell ref="J25:M25"/>
    <mergeCell ref="K220:K222"/>
    <mergeCell ref="J4:M4"/>
    <mergeCell ref="B44:C44"/>
    <mergeCell ref="A221:B222"/>
    <mergeCell ref="C221:H221"/>
    <mergeCell ref="J221:J222"/>
    <mergeCell ref="I221:I222"/>
    <mergeCell ref="A220:J220"/>
    <mergeCell ref="B26:C26"/>
    <mergeCell ref="B25:C25"/>
    <mergeCell ref="B24:C24"/>
    <mergeCell ref="B42:C42"/>
    <mergeCell ref="B41:C41"/>
    <mergeCell ref="B12:C12"/>
    <mergeCell ref="B11:C11"/>
    <mergeCell ref="B40:C40"/>
    <mergeCell ref="B39:C39"/>
    <mergeCell ref="B38:C38"/>
    <mergeCell ref="B37:C37"/>
    <mergeCell ref="B36:C36"/>
    <mergeCell ref="B35:C35"/>
    <mergeCell ref="B29:C29"/>
    <mergeCell ref="B28:C28"/>
    <mergeCell ref="B27:C27"/>
  </mergeCells>
  <phoneticPr fontId="0" type="noConversion"/>
  <dataValidations disablePrompts="1" count="1">
    <dataValidation type="list" allowBlank="1" showInputMessage="1" showErrorMessage="1" sqref="L223:L226" xr:uid="{00000000-0002-0000-3200-000000000000}">
      <formula1>yesno</formula1>
    </dataValidation>
  </dataValidations>
  <printOptions horizontalCentered="1"/>
  <pageMargins left="0.5" right="0.5" top="1" bottom="1" header="0.5" footer="0.34"/>
  <pageSetup scale="53" fitToHeight="9" orientation="landscape" horizontalDpi="300" verticalDpi="300" r:id="rId1"/>
  <headerFooter alignWithMargins="0">
    <oddHeader>&amp;C&amp;"Arial,Bold"&amp;14&amp;U&amp;A</oddHeader>
    <oddFooter>&amp;L&amp;F
&amp;A&amp;CPage &amp;P of &amp;N&amp;R&amp;D</oddFooter>
  </headerFooter>
  <rowBreaks count="2" manualBreakCount="2">
    <brk id="29" max="11" man="1"/>
    <brk id="68" max="11" man="1"/>
  </rowBreaks>
  <ignoredErrors>
    <ignoredError sqref="J227" formula="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187D0-6B4F-4143-AE95-8EC9623E236F}">
  <sheetPr codeName="Sheet52"/>
  <dimension ref="A1:A45"/>
  <sheetViews>
    <sheetView showGridLines="0" zoomScaleNormal="100" zoomScaleSheetLayoutView="100" workbookViewId="0"/>
  </sheetViews>
  <sheetFormatPr defaultColWidth="9.109375" defaultRowHeight="13.2"/>
  <cols>
    <col min="1" max="1" width="118" style="230" customWidth="1"/>
    <col min="2" max="16384" width="9.109375" style="230"/>
  </cols>
  <sheetData>
    <row r="1" spans="1:1">
      <c r="A1" s="1052" t="s">
        <v>1809</v>
      </c>
    </row>
    <row r="2" spans="1:1">
      <c r="A2" s="237"/>
    </row>
    <row r="3" spans="1:1" ht="39.6">
      <c r="A3" s="1048" t="s">
        <v>1808</v>
      </c>
    </row>
    <row r="4" spans="1:1">
      <c r="A4" s="1048" t="s">
        <v>1807</v>
      </c>
    </row>
    <row r="5" spans="1:1" ht="39.6">
      <c r="A5" s="232" t="s">
        <v>1806</v>
      </c>
    </row>
    <row r="7" spans="1:1">
      <c r="A7" s="551" t="s">
        <v>1187</v>
      </c>
    </row>
    <row r="9" spans="1:1" ht="26.4">
      <c r="A9" s="1048" t="s">
        <v>1805</v>
      </c>
    </row>
    <row r="10" spans="1:1">
      <c r="A10" s="1048" t="s">
        <v>1804</v>
      </c>
    </row>
    <row r="11" spans="1:1">
      <c r="A11" s="1048" t="s">
        <v>1803</v>
      </c>
    </row>
    <row r="12" spans="1:1">
      <c r="A12" s="1048" t="s">
        <v>1802</v>
      </c>
    </row>
    <row r="13" spans="1:1">
      <c r="A13" s="1048" t="s">
        <v>1801</v>
      </c>
    </row>
    <row r="14" spans="1:1">
      <c r="A14" s="1048" t="s">
        <v>1800</v>
      </c>
    </row>
    <row r="15" spans="1:1">
      <c r="A15" s="1049"/>
    </row>
    <row r="16" spans="1:1">
      <c r="A16" s="1050" t="s">
        <v>1188</v>
      </c>
    </row>
    <row r="17" spans="1:1">
      <c r="A17" s="1049"/>
    </row>
    <row r="18" spans="1:1" ht="26.4">
      <c r="A18" s="1048" t="s">
        <v>1799</v>
      </c>
    </row>
    <row r="19" spans="1:1">
      <c r="A19" s="1048" t="s">
        <v>1798</v>
      </c>
    </row>
    <row r="20" spans="1:1" ht="26.4">
      <c r="A20" s="1048" t="s">
        <v>1797</v>
      </c>
    </row>
    <row r="21" spans="1:1">
      <c r="A21" s="1048" t="s">
        <v>1796</v>
      </c>
    </row>
    <row r="22" spans="1:1">
      <c r="A22" s="1048" t="s">
        <v>1795</v>
      </c>
    </row>
    <row r="23" spans="1:1">
      <c r="A23" s="1048" t="s">
        <v>1794</v>
      </c>
    </row>
    <row r="24" spans="1:1">
      <c r="A24" s="1048" t="s">
        <v>1793</v>
      </c>
    </row>
    <row r="25" spans="1:1">
      <c r="A25" s="1051"/>
    </row>
    <row r="26" spans="1:1" ht="26.4">
      <c r="A26" s="1048" t="s">
        <v>1792</v>
      </c>
    </row>
    <row r="27" spans="1:1">
      <c r="A27" s="1048" t="s">
        <v>1791</v>
      </c>
    </row>
    <row r="28" spans="1:1">
      <c r="A28" s="1048" t="s">
        <v>1790</v>
      </c>
    </row>
    <row r="29" spans="1:1">
      <c r="A29" s="230" t="s">
        <v>1789</v>
      </c>
    </row>
    <row r="31" spans="1:1">
      <c r="A31" s="1050" t="s">
        <v>1788</v>
      </c>
    </row>
    <row r="32" spans="1:1">
      <c r="A32" s="1049"/>
    </row>
    <row r="33" spans="1:1">
      <c r="A33" s="1048" t="s">
        <v>1787</v>
      </c>
    </row>
    <row r="34" spans="1:1" ht="26.4">
      <c r="A34" s="1048" t="s">
        <v>1786</v>
      </c>
    </row>
    <row r="35" spans="1:1">
      <c r="A35" s="1048"/>
    </row>
    <row r="36" spans="1:1">
      <c r="A36" s="1048" t="s">
        <v>1785</v>
      </c>
    </row>
    <row r="37" spans="1:1">
      <c r="A37" s="1048" t="s">
        <v>1784</v>
      </c>
    </row>
    <row r="38" spans="1:1">
      <c r="A38" s="1048" t="s">
        <v>1783</v>
      </c>
    </row>
    <row r="39" spans="1:1">
      <c r="A39" s="1048" t="s">
        <v>1782</v>
      </c>
    </row>
    <row r="40" spans="1:1">
      <c r="A40" s="1048" t="s">
        <v>1781</v>
      </c>
    </row>
    <row r="41" spans="1:1">
      <c r="A41" s="1048" t="s">
        <v>1780</v>
      </c>
    </row>
    <row r="42" spans="1:1">
      <c r="A42" s="1048" t="s">
        <v>1779</v>
      </c>
    </row>
    <row r="43" spans="1:1" ht="26.4">
      <c r="A43" s="1048" t="s">
        <v>1778</v>
      </c>
    </row>
    <row r="44" spans="1:1">
      <c r="A44" s="1048" t="s">
        <v>1777</v>
      </c>
    </row>
    <row r="45" spans="1:1">
      <c r="A45" s="230" t="s">
        <v>1776</v>
      </c>
    </row>
  </sheetData>
  <printOptions horizontalCentered="1" verticalCentered="1"/>
  <pageMargins left="0.75" right="0.75" top="1" bottom="1" header="0.5" footer="0.5"/>
  <pageSetup scale="96" orientation="landscape" r:id="rId1"/>
  <headerFooter alignWithMargins="0"/>
  <rowBreaks count="1" manualBreakCount="1">
    <brk id="30"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3"/>
  <dimension ref="A1:I32"/>
  <sheetViews>
    <sheetView showGridLines="0" zoomScaleNormal="100" zoomScaleSheetLayoutView="100" workbookViewId="0"/>
  </sheetViews>
  <sheetFormatPr defaultColWidth="9.109375" defaultRowHeight="13.2"/>
  <cols>
    <col min="1" max="1" width="6.33203125" style="339" customWidth="1"/>
    <col min="2" max="2" width="50.6640625" style="3" customWidth="1"/>
    <col min="3" max="6" width="12.6640625" style="3" customWidth="1"/>
    <col min="7" max="7" width="54.33203125" style="3" customWidth="1"/>
    <col min="8" max="8" width="23.6640625" style="3" customWidth="1"/>
    <col min="9" max="9" width="12.6640625" style="3" customWidth="1"/>
    <col min="10" max="16384" width="9.109375" style="3"/>
  </cols>
  <sheetData>
    <row r="1" spans="1:9" s="288" customFormat="1" ht="20.100000000000001" customHeight="1">
      <c r="A1" s="422" t="s">
        <v>595</v>
      </c>
      <c r="I1" s="897" t="str">
        <f>'Project Information'!$B$3</f>
        <v>Enter project name &amp; description</v>
      </c>
    </row>
    <row r="2" spans="1:9" s="288" customFormat="1" ht="20.100000000000001" customHeight="1">
      <c r="A2" s="423"/>
      <c r="I2" s="897" t="str">
        <f>'Project Information'!$B$1</f>
        <v>999999-1-32-01</v>
      </c>
    </row>
    <row r="3" spans="1:9" s="225" customFormat="1" ht="14.4" thickBot="1">
      <c r="A3" s="395"/>
      <c r="B3" s="270"/>
    </row>
    <row r="4" spans="1:9" s="225" customFormat="1" ht="28.5" customHeight="1" thickBot="1">
      <c r="A4" s="2086" t="s">
        <v>1396</v>
      </c>
      <c r="B4" s="2087"/>
      <c r="C4" s="2088" t="s">
        <v>1397</v>
      </c>
      <c r="D4" s="2088"/>
      <c r="E4" s="2088"/>
      <c r="F4" s="2088"/>
      <c r="G4" s="2339" t="s">
        <v>1398</v>
      </c>
      <c r="H4" s="2340"/>
      <c r="I4" s="2341"/>
    </row>
    <row r="5" spans="1:9" s="225" customFormat="1" ht="28.5" customHeight="1">
      <c r="A5" s="2089" t="s">
        <v>1400</v>
      </c>
      <c r="B5" s="2090"/>
      <c r="C5" s="2091"/>
      <c r="D5" s="2091"/>
      <c r="E5" s="2091"/>
      <c r="F5" s="2091"/>
      <c r="G5" s="2342"/>
      <c r="H5" s="2343"/>
      <c r="I5" s="2344"/>
    </row>
    <row r="6" spans="1:9" s="225" customFormat="1" ht="28.5" customHeight="1" thickBot="1">
      <c r="A6" s="2083" t="s">
        <v>1399</v>
      </c>
      <c r="B6" s="2084"/>
      <c r="C6" s="2085"/>
      <c r="D6" s="2085"/>
      <c r="E6" s="2085"/>
      <c r="F6" s="2085"/>
      <c r="G6" s="2329"/>
      <c r="H6" s="2330"/>
      <c r="I6" s="2331"/>
    </row>
    <row r="7" spans="1:9" s="225" customFormat="1" ht="15.6">
      <c r="A7" s="898" t="s">
        <v>1430</v>
      </c>
      <c r="B7" s="270"/>
    </row>
    <row r="8" spans="1:9" s="225" customFormat="1" ht="15" customHeight="1" thickBot="1">
      <c r="A8" s="898"/>
      <c r="B8" s="270"/>
    </row>
    <row r="9" spans="1:9" ht="48" customHeight="1">
      <c r="A9" s="298" t="s">
        <v>79</v>
      </c>
      <c r="B9" s="335" t="s">
        <v>190</v>
      </c>
      <c r="C9" s="266" t="s">
        <v>87</v>
      </c>
      <c r="D9" s="266" t="s">
        <v>101</v>
      </c>
      <c r="E9" s="266" t="s">
        <v>706</v>
      </c>
      <c r="F9" s="266" t="s">
        <v>102</v>
      </c>
      <c r="G9" s="2337" t="s">
        <v>164</v>
      </c>
      <c r="H9" s="2487"/>
      <c r="I9" s="2488"/>
    </row>
    <row r="10" spans="1:9" ht="30" customHeight="1">
      <c r="A10" s="271">
        <v>32.1</v>
      </c>
      <c r="B10" s="265" t="s">
        <v>1538</v>
      </c>
      <c r="C10" s="220" t="s">
        <v>85</v>
      </c>
      <c r="D10" s="219">
        <v>1</v>
      </c>
      <c r="E10" s="962">
        <v>0</v>
      </c>
      <c r="F10" s="222">
        <f>ROUND(D10*E10,0)</f>
        <v>0</v>
      </c>
      <c r="G10" s="2369"/>
      <c r="H10" s="2484"/>
      <c r="I10" s="2485"/>
    </row>
    <row r="11" spans="1:9" ht="30" customHeight="1">
      <c r="A11" s="271">
        <v>32.200000000000003</v>
      </c>
      <c r="B11" s="302" t="s">
        <v>632</v>
      </c>
      <c r="C11" s="220" t="s">
        <v>85</v>
      </c>
      <c r="D11" s="219">
        <v>1</v>
      </c>
      <c r="E11" s="962">
        <v>0</v>
      </c>
      <c r="F11" s="222">
        <f>ROUND((E11*D11),0)</f>
        <v>0</v>
      </c>
      <c r="G11" s="2369"/>
      <c r="H11" s="2484"/>
      <c r="I11" s="2485"/>
    </row>
    <row r="12" spans="1:9" ht="30" customHeight="1">
      <c r="A12" s="271">
        <v>32.299999999999997</v>
      </c>
      <c r="B12" s="302" t="s">
        <v>90</v>
      </c>
      <c r="C12" s="220" t="s">
        <v>85</v>
      </c>
      <c r="D12" s="219">
        <v>1</v>
      </c>
      <c r="E12" s="962">
        <v>0</v>
      </c>
      <c r="F12" s="222">
        <f>ROUND((E12*D12),0)</f>
        <v>0</v>
      </c>
      <c r="G12" s="2369"/>
      <c r="H12" s="2484"/>
      <c r="I12" s="2485"/>
    </row>
    <row r="13" spans="1:9" ht="30" customHeight="1">
      <c r="A13" s="271">
        <v>32.4</v>
      </c>
      <c r="B13" s="265" t="s">
        <v>1539</v>
      </c>
      <c r="C13" s="220" t="s">
        <v>85</v>
      </c>
      <c r="D13" s="219">
        <v>1</v>
      </c>
      <c r="E13" s="962">
        <v>0</v>
      </c>
      <c r="F13" s="222">
        <f>ROUND((E13*D13),0)</f>
        <v>0</v>
      </c>
      <c r="G13" s="2369"/>
      <c r="H13" s="2484"/>
      <c r="I13" s="2485"/>
    </row>
    <row r="14" spans="1:9" ht="30" customHeight="1">
      <c r="A14" s="271">
        <v>32.5</v>
      </c>
      <c r="B14" s="265" t="s">
        <v>1540</v>
      </c>
      <c r="C14" s="220" t="s">
        <v>85</v>
      </c>
      <c r="D14" s="219">
        <v>1</v>
      </c>
      <c r="E14" s="962">
        <v>0</v>
      </c>
      <c r="F14" s="222">
        <f>ROUND((E14*D14),0)</f>
        <v>0</v>
      </c>
      <c r="G14" s="2369"/>
      <c r="H14" s="2484"/>
      <c r="I14" s="2485"/>
    </row>
    <row r="15" spans="1:9" ht="27.75" customHeight="1">
      <c r="A15" s="2438" t="s">
        <v>633</v>
      </c>
      <c r="B15" s="2439"/>
      <c r="C15" s="2439"/>
      <c r="D15" s="2439"/>
      <c r="E15" s="2439"/>
      <c r="F15" s="247">
        <f>SUM(F10:F14)</f>
        <v>0</v>
      </c>
      <c r="G15" s="2506"/>
      <c r="H15" s="2507"/>
      <c r="I15" s="2508"/>
    </row>
    <row r="16" spans="1:9" ht="30" customHeight="1">
      <c r="A16" s="914" t="s">
        <v>1541</v>
      </c>
      <c r="B16" s="302" t="s">
        <v>82</v>
      </c>
      <c r="C16" s="220" t="s">
        <v>85</v>
      </c>
      <c r="D16" s="886">
        <v>1</v>
      </c>
      <c r="E16" s="222">
        <f>F31</f>
        <v>0</v>
      </c>
      <c r="F16" s="222">
        <f>ROUND((E16*D16),0)</f>
        <v>0</v>
      </c>
      <c r="G16" s="2369" t="s">
        <v>578</v>
      </c>
      <c r="H16" s="2484"/>
      <c r="I16" s="2485"/>
    </row>
    <row r="17" spans="1:9" ht="30" customHeight="1">
      <c r="A17" s="914" t="s">
        <v>1542</v>
      </c>
      <c r="B17" s="302" t="s">
        <v>307</v>
      </c>
      <c r="C17" s="220" t="s">
        <v>85</v>
      </c>
      <c r="D17" s="317" t="s">
        <v>878</v>
      </c>
      <c r="E17" s="965">
        <v>0</v>
      </c>
      <c r="F17" s="222">
        <f>ROUND(E17*F15,0)</f>
        <v>0</v>
      </c>
      <c r="G17" s="2369"/>
      <c r="H17" s="2484"/>
      <c r="I17" s="2485"/>
    </row>
    <row r="18" spans="1:9" ht="30" customHeight="1">
      <c r="A18" s="914" t="s">
        <v>1543</v>
      </c>
      <c r="B18" s="302" t="s">
        <v>169</v>
      </c>
      <c r="C18" s="220" t="s">
        <v>85</v>
      </c>
      <c r="D18" s="329" t="s">
        <v>878</v>
      </c>
      <c r="E18" s="965">
        <v>0</v>
      </c>
      <c r="F18" s="219">
        <f>ROUND(E18*F15,0)</f>
        <v>0</v>
      </c>
      <c r="G18" s="2369"/>
      <c r="H18" s="2484"/>
      <c r="I18" s="2485"/>
    </row>
    <row r="19" spans="1:9" ht="27.75" customHeight="1">
      <c r="A19" s="2794" t="s">
        <v>634</v>
      </c>
      <c r="B19" s="2795"/>
      <c r="C19" s="2795"/>
      <c r="D19" s="2795"/>
      <c r="E19" s="2795"/>
      <c r="F19" s="247">
        <f>SUM(F16:F18)</f>
        <v>0</v>
      </c>
      <c r="G19" s="2506"/>
      <c r="H19" s="2507"/>
      <c r="I19" s="2508"/>
    </row>
    <row r="20" spans="1:9" ht="30" customHeight="1">
      <c r="A20" s="914" t="s">
        <v>1544</v>
      </c>
      <c r="B20" s="302" t="s">
        <v>78</v>
      </c>
      <c r="C20" s="220" t="s">
        <v>85</v>
      </c>
      <c r="D20" s="243" t="s">
        <v>878</v>
      </c>
      <c r="E20" s="965">
        <v>0</v>
      </c>
      <c r="F20" s="219">
        <f>ROUND(E20*(F19+F15),0)</f>
        <v>0</v>
      </c>
      <c r="G20" s="2369"/>
      <c r="H20" s="2484"/>
      <c r="I20" s="2485"/>
    </row>
    <row r="21" spans="1:9" ht="27.75" customHeight="1" thickBot="1">
      <c r="A21" s="2436" t="s">
        <v>1428</v>
      </c>
      <c r="B21" s="2437"/>
      <c r="C21" s="2437"/>
      <c r="D21" s="2437"/>
      <c r="E21" s="2437"/>
      <c r="F21" s="248">
        <f>SUM(F15+F19+F20)</f>
        <v>0</v>
      </c>
      <c r="G21" s="2520"/>
      <c r="H21" s="2367"/>
      <c r="I21" s="2368"/>
    </row>
    <row r="22" spans="1:9" ht="13.8" thickBot="1">
      <c r="A22" s="577"/>
    </row>
    <row r="23" spans="1:9" s="268" customFormat="1" ht="36.75" customHeight="1" thickBot="1">
      <c r="A23" s="2389" t="s">
        <v>82</v>
      </c>
      <c r="B23" s="2088"/>
      <c r="C23" s="279" t="s">
        <v>87</v>
      </c>
      <c r="D23" s="279" t="s">
        <v>101</v>
      </c>
      <c r="E23" s="279" t="s">
        <v>706</v>
      </c>
      <c r="F23" s="279" t="s">
        <v>102</v>
      </c>
      <c r="G23" s="279"/>
      <c r="H23" s="279" t="s">
        <v>575</v>
      </c>
      <c r="I23" s="280" t="s">
        <v>576</v>
      </c>
    </row>
    <row r="24" spans="1:9" s="268" customFormat="1" ht="20.100000000000001" customHeight="1">
      <c r="A24" s="2554" t="s">
        <v>136</v>
      </c>
      <c r="B24" s="2555"/>
      <c r="C24" s="281" t="s">
        <v>141</v>
      </c>
      <c r="D24" s="974">
        <v>0</v>
      </c>
      <c r="E24" s="974">
        <v>0</v>
      </c>
      <c r="F24" s="244">
        <f>E24*D24</f>
        <v>0</v>
      </c>
      <c r="G24" s="998"/>
      <c r="H24" s="282"/>
      <c r="I24" s="977">
        <v>0</v>
      </c>
    </row>
    <row r="25" spans="1:9" s="268" customFormat="1" ht="20.100000000000001" customHeight="1">
      <c r="A25" s="2552" t="s">
        <v>630</v>
      </c>
      <c r="B25" s="2553"/>
      <c r="C25" s="283" t="s">
        <v>141</v>
      </c>
      <c r="D25" s="975">
        <v>0</v>
      </c>
      <c r="E25" s="975">
        <v>0</v>
      </c>
      <c r="F25" s="245">
        <f>E25*D25</f>
        <v>0</v>
      </c>
      <c r="G25" s="999"/>
      <c r="H25" s="284"/>
      <c r="I25" s="978">
        <v>0</v>
      </c>
    </row>
    <row r="26" spans="1:9" s="268" customFormat="1" ht="20.100000000000001" customHeight="1">
      <c r="A26" s="2552" t="s">
        <v>631</v>
      </c>
      <c r="B26" s="2553"/>
      <c r="C26" s="283" t="s">
        <v>141</v>
      </c>
      <c r="D26" s="975">
        <v>0</v>
      </c>
      <c r="E26" s="975">
        <v>0</v>
      </c>
      <c r="F26" s="245">
        <f>E26*D26</f>
        <v>0</v>
      </c>
      <c r="G26" s="999"/>
      <c r="H26" s="284"/>
      <c r="I26" s="978">
        <v>0</v>
      </c>
    </row>
    <row r="27" spans="1:9" s="268" customFormat="1" ht="20.100000000000001" customHeight="1">
      <c r="A27" s="2552" t="s">
        <v>231</v>
      </c>
      <c r="B27" s="2553"/>
      <c r="C27" s="283" t="s">
        <v>141</v>
      </c>
      <c r="D27" s="975">
        <v>0</v>
      </c>
      <c r="E27" s="975">
        <v>0</v>
      </c>
      <c r="F27" s="245">
        <f>E27*D27</f>
        <v>0</v>
      </c>
      <c r="G27" s="999"/>
      <c r="H27" s="284"/>
      <c r="I27" s="978">
        <v>0</v>
      </c>
    </row>
    <row r="28" spans="1:9" s="268" customFormat="1" ht="20.100000000000001" customHeight="1" thickBot="1">
      <c r="A28" s="2383" t="s">
        <v>238</v>
      </c>
      <c r="B28" s="2384"/>
      <c r="C28" s="285"/>
      <c r="D28" s="285"/>
      <c r="E28" s="285"/>
      <c r="F28" s="249">
        <f>SUM(F24:F27)</f>
        <v>0</v>
      </c>
      <c r="G28" s="1000"/>
      <c r="H28" s="556" t="s">
        <v>1402</v>
      </c>
      <c r="I28" s="250">
        <f>SUM(I24:I27)</f>
        <v>0</v>
      </c>
    </row>
    <row r="29" spans="1:9" s="268" customFormat="1" ht="20.100000000000001" customHeight="1" thickTop="1">
      <c r="A29" s="2385" t="s">
        <v>861</v>
      </c>
      <c r="B29" s="2386"/>
      <c r="C29" s="281" t="s">
        <v>141</v>
      </c>
      <c r="D29" s="974">
        <v>0</v>
      </c>
      <c r="E29" s="974">
        <v>0</v>
      </c>
      <c r="F29" s="244">
        <f>E29*D29</f>
        <v>0</v>
      </c>
      <c r="G29" s="2550" t="s">
        <v>1403</v>
      </c>
      <c r="H29" s="2551"/>
      <c r="I29" s="293" t="s">
        <v>1116</v>
      </c>
    </row>
    <row r="30" spans="1:9" s="268" customFormat="1" ht="20.100000000000001" customHeight="1" thickBot="1">
      <c r="A30" s="2387" t="s">
        <v>155</v>
      </c>
      <c r="B30" s="2388"/>
      <c r="C30" s="286" t="s">
        <v>141</v>
      </c>
      <c r="D30" s="976">
        <v>0</v>
      </c>
      <c r="E30" s="976">
        <v>0</v>
      </c>
      <c r="F30" s="246">
        <f>E30*D30</f>
        <v>0</v>
      </c>
      <c r="G30" s="2544" t="s">
        <v>1404</v>
      </c>
      <c r="H30" s="2545"/>
      <c r="I30" s="294" t="s">
        <v>1116</v>
      </c>
    </row>
    <row r="31" spans="1:9" s="288" customFormat="1" ht="20.100000000000001" customHeight="1" thickTop="1" thickBot="1">
      <c r="A31" s="2067" t="s">
        <v>156</v>
      </c>
      <c r="B31" s="2068"/>
      <c r="C31" s="287"/>
      <c r="D31" s="287"/>
      <c r="E31" s="287"/>
      <c r="F31" s="251">
        <f>SUM(F28:F30)</f>
        <v>0</v>
      </c>
      <c r="G31" s="1002"/>
      <c r="H31" s="557" t="s">
        <v>1414</v>
      </c>
      <c r="I31" s="296">
        <f>I28</f>
        <v>0</v>
      </c>
    </row>
    <row r="32" spans="1:9" s="268" customFormat="1" ht="15.6">
      <c r="A32" s="289"/>
      <c r="C32" s="290"/>
      <c r="D32" s="290"/>
      <c r="E32" s="290"/>
      <c r="F32" s="346" t="s">
        <v>1451</v>
      </c>
      <c r="G32" s="346"/>
      <c r="H32" s="3"/>
      <c r="I32" s="346" t="s">
        <v>1405</v>
      </c>
    </row>
  </sheetData>
  <mergeCells count="36">
    <mergeCell ref="A4:B4"/>
    <mergeCell ref="A5:B5"/>
    <mergeCell ref="A6:B6"/>
    <mergeCell ref="C6:F6"/>
    <mergeCell ref="C5:F5"/>
    <mergeCell ref="C4:F4"/>
    <mergeCell ref="A23:B23"/>
    <mergeCell ref="G29:H29"/>
    <mergeCell ref="G30:H30"/>
    <mergeCell ref="A15:E15"/>
    <mergeCell ref="A19:E19"/>
    <mergeCell ref="A21:E21"/>
    <mergeCell ref="A31:B31"/>
    <mergeCell ref="A27:B27"/>
    <mergeCell ref="A26:B26"/>
    <mergeCell ref="A25:B25"/>
    <mergeCell ref="A24:B24"/>
    <mergeCell ref="A28:B28"/>
    <mergeCell ref="A29:B29"/>
    <mergeCell ref="A30:B30"/>
    <mergeCell ref="G4:I4"/>
    <mergeCell ref="G9:I9"/>
    <mergeCell ref="G15:I15"/>
    <mergeCell ref="G19:I19"/>
    <mergeCell ref="G21:I21"/>
    <mergeCell ref="G5:I5"/>
    <mergeCell ref="G6:I6"/>
    <mergeCell ref="G10:I10"/>
    <mergeCell ref="G11:I11"/>
    <mergeCell ref="G12:I12"/>
    <mergeCell ref="G13:I13"/>
    <mergeCell ref="G14:I14"/>
    <mergeCell ref="G16:I16"/>
    <mergeCell ref="G17:I17"/>
    <mergeCell ref="G18:I18"/>
    <mergeCell ref="G20:I20"/>
  </mergeCells>
  <phoneticPr fontId="0" type="noConversion"/>
  <dataValidations disablePrompts="1" count="1">
    <dataValidation type="list" allowBlank="1" showInputMessage="1" showErrorMessage="1" sqref="H24:H27" xr:uid="{00000000-0002-0000-3300-000000000000}">
      <formula1>yesno</formula1>
    </dataValidation>
  </dataValidations>
  <printOptions horizontalCentered="1"/>
  <pageMargins left="0.5" right="0.5" top="1" bottom="1" header="0.5" footer="0.34"/>
  <pageSetup scale="60" orientation="landscape" r:id="rId1"/>
  <headerFooter alignWithMargins="0">
    <oddHeader>&amp;C&amp;"Arial,Bold"&amp;14&amp;U&amp;A</oddHeader>
    <oddFooter>&amp;L&amp;F
&amp;A&amp;CPage &amp;P of &amp;N&amp;R&amp;D</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4"/>
  <dimension ref="A1:A23"/>
  <sheetViews>
    <sheetView showGridLines="0" zoomScaleNormal="100" zoomScaleSheetLayoutView="115" workbookViewId="0"/>
  </sheetViews>
  <sheetFormatPr defaultColWidth="9.109375" defaultRowHeight="13.2"/>
  <cols>
    <col min="1" max="1" width="118" style="566" customWidth="1"/>
    <col min="2" max="16384" width="9.109375" style="566"/>
  </cols>
  <sheetData>
    <row r="1" spans="1:1" s="600" customFormat="1" ht="20.100000000000001" customHeight="1">
      <c r="A1" s="690" t="s">
        <v>1371</v>
      </c>
    </row>
    <row r="2" spans="1:1" s="600" customFormat="1" ht="20.100000000000001" customHeight="1">
      <c r="A2" s="598"/>
    </row>
    <row r="3" spans="1:1" ht="26.4">
      <c r="A3" s="578" t="s">
        <v>1372</v>
      </c>
    </row>
    <row r="4" spans="1:1">
      <c r="A4" s="578"/>
    </row>
    <row r="5" spans="1:1" ht="26.4">
      <c r="A5" s="578" t="s">
        <v>1373</v>
      </c>
    </row>
    <row r="7" spans="1:1">
      <c r="A7" s="887" t="s">
        <v>1297</v>
      </c>
    </row>
    <row r="9" spans="1:1">
      <c r="A9" s="579" t="s">
        <v>1374</v>
      </c>
    </row>
    <row r="10" spans="1:1">
      <c r="A10" s="579" t="s">
        <v>1375</v>
      </c>
    </row>
    <row r="11" spans="1:1">
      <c r="A11" s="579" t="s">
        <v>1376</v>
      </c>
    </row>
    <row r="12" spans="1:1">
      <c r="A12" s="579"/>
    </row>
    <row r="13" spans="1:1">
      <c r="A13" s="888" t="s">
        <v>1298</v>
      </c>
    </row>
    <row r="14" spans="1:1">
      <c r="A14" s="579"/>
    </row>
    <row r="15" spans="1:1">
      <c r="A15" s="579" t="s">
        <v>1377</v>
      </c>
    </row>
    <row r="16" spans="1:1">
      <c r="A16" s="579" t="s">
        <v>1378</v>
      </c>
    </row>
    <row r="17" spans="1:1">
      <c r="A17" s="579"/>
    </row>
    <row r="18" spans="1:1">
      <c r="A18" s="579"/>
    </row>
    <row r="19" spans="1:1">
      <c r="A19" s="888" t="s">
        <v>1309</v>
      </c>
    </row>
    <row r="20" spans="1:1">
      <c r="A20" s="579"/>
    </row>
    <row r="21" spans="1:1">
      <c r="A21" s="579" t="s">
        <v>1379</v>
      </c>
    </row>
    <row r="22" spans="1:1">
      <c r="A22" s="579" t="s">
        <v>1380</v>
      </c>
    </row>
    <row r="23" spans="1:1">
      <c r="A23" s="579" t="s">
        <v>1381</v>
      </c>
    </row>
  </sheetData>
  <pageMargins left="0.5" right="0.5" top="1" bottom="1" header="0.5" footer="0.34"/>
  <pageSetup scale="89" orientation="landscape" r:id="rId1"/>
  <headerFooter alignWithMargins="0">
    <oddHeader>&amp;C&amp;"Arial,Bold"&amp;14&amp;U&amp;A</oddHeader>
    <oddFooter>&amp;L&amp;F
&amp;A&amp;CPage &amp;P of &amp;N&amp;R&amp;D</oddFooter>
  </headerFooter>
  <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5"/>
  <dimension ref="A1:L46"/>
  <sheetViews>
    <sheetView showGridLines="0" zoomScaleNormal="100" zoomScaleSheetLayoutView="100" workbookViewId="0"/>
  </sheetViews>
  <sheetFormatPr defaultColWidth="9.109375" defaultRowHeight="13.2"/>
  <cols>
    <col min="1" max="1" width="6.33203125" style="339" customWidth="1"/>
    <col min="2" max="2" width="50.6640625" style="3" customWidth="1"/>
    <col min="3" max="6" width="12.6640625" style="3" customWidth="1"/>
    <col min="7" max="7" width="55.5546875" style="3" customWidth="1"/>
    <col min="8" max="8" width="21.33203125" style="3" customWidth="1"/>
    <col min="9" max="9" width="12.6640625" style="3" customWidth="1"/>
    <col min="10" max="10" width="9.109375" style="3"/>
    <col min="11" max="12" width="9.109375" style="3" hidden="1" customWidth="1"/>
    <col min="13" max="16384" width="9.109375" style="3"/>
  </cols>
  <sheetData>
    <row r="1" spans="1:9" s="288" customFormat="1" ht="20.100000000000001" customHeight="1">
      <c r="A1" s="422" t="s">
        <v>595</v>
      </c>
      <c r="I1" s="897" t="str">
        <f>'Project Information'!$B$3</f>
        <v>Enter project name &amp; description</v>
      </c>
    </row>
    <row r="2" spans="1:9" s="288" customFormat="1" ht="20.100000000000001" customHeight="1">
      <c r="A2" s="423"/>
      <c r="I2" s="897" t="str">
        <f>'Project Information'!$B$1</f>
        <v>999999-1-32-01</v>
      </c>
    </row>
    <row r="3" spans="1:9" s="225" customFormat="1" ht="14.4" thickBot="1">
      <c r="A3" s="395"/>
      <c r="B3" s="270"/>
    </row>
    <row r="4" spans="1:9" s="225" customFormat="1" ht="28.5" customHeight="1" thickBot="1">
      <c r="A4" s="2086" t="s">
        <v>1396</v>
      </c>
      <c r="B4" s="2087"/>
      <c r="C4" s="2088" t="s">
        <v>1397</v>
      </c>
      <c r="D4" s="2088"/>
      <c r="E4" s="2088"/>
      <c r="F4" s="2088"/>
      <c r="G4" s="2339" t="s">
        <v>1398</v>
      </c>
      <c r="H4" s="2340"/>
      <c r="I4" s="2341"/>
    </row>
    <row r="5" spans="1:9" s="225" customFormat="1" ht="28.5" customHeight="1">
      <c r="A5" s="2089" t="s">
        <v>1400</v>
      </c>
      <c r="B5" s="2090"/>
      <c r="C5" s="2091"/>
      <c r="D5" s="2091"/>
      <c r="E5" s="2091"/>
      <c r="F5" s="2091"/>
      <c r="G5" s="2342"/>
      <c r="H5" s="2343"/>
      <c r="I5" s="2344"/>
    </row>
    <row r="6" spans="1:9" s="225" customFormat="1" ht="28.5" customHeight="1" thickBot="1">
      <c r="A6" s="2083" t="s">
        <v>1399</v>
      </c>
      <c r="B6" s="2084"/>
      <c r="C6" s="2085"/>
      <c r="D6" s="2085"/>
      <c r="E6" s="2085"/>
      <c r="F6" s="2085"/>
      <c r="G6" s="2329"/>
      <c r="H6" s="2330"/>
      <c r="I6" s="2331"/>
    </row>
    <row r="7" spans="1:9" s="225" customFormat="1" ht="15.6">
      <c r="A7" s="898" t="s">
        <v>1430</v>
      </c>
      <c r="B7" s="270"/>
    </row>
    <row r="8" spans="1:9" s="225" customFormat="1" ht="15" customHeight="1" thickBot="1">
      <c r="A8" s="898"/>
      <c r="B8" s="270"/>
    </row>
    <row r="9" spans="1:9" ht="48" customHeight="1">
      <c r="A9" s="298" t="s">
        <v>79</v>
      </c>
      <c r="B9" s="335" t="s">
        <v>190</v>
      </c>
      <c r="C9" s="266" t="s">
        <v>87</v>
      </c>
      <c r="D9" s="266" t="s">
        <v>101</v>
      </c>
      <c r="E9" s="266" t="s">
        <v>706</v>
      </c>
      <c r="F9" s="266" t="s">
        <v>102</v>
      </c>
      <c r="G9" s="2337" t="s">
        <v>164</v>
      </c>
      <c r="H9" s="2487"/>
      <c r="I9" s="2488"/>
    </row>
    <row r="10" spans="1:9" ht="30" customHeight="1">
      <c r="A10" s="271">
        <v>33.1</v>
      </c>
      <c r="B10" s="302" t="s">
        <v>964</v>
      </c>
      <c r="C10" s="219" t="s">
        <v>1545</v>
      </c>
      <c r="D10" s="979">
        <v>0</v>
      </c>
      <c r="E10" s="962">
        <v>0</v>
      </c>
      <c r="F10" s="222">
        <f>ROUND(D10*E10,0)</f>
        <v>0</v>
      </c>
      <c r="G10" s="2369"/>
      <c r="H10" s="2370"/>
      <c r="I10" s="2371"/>
    </row>
    <row r="11" spans="1:9" ht="30" customHeight="1">
      <c r="A11" s="271">
        <v>33.200000000000003</v>
      </c>
      <c r="B11" s="265" t="s">
        <v>1878</v>
      </c>
      <c r="C11" s="220" t="s">
        <v>85</v>
      </c>
      <c r="D11" s="219">
        <v>1</v>
      </c>
      <c r="E11" s="962">
        <v>0</v>
      </c>
      <c r="F11" s="222">
        <f t="shared" ref="F11:F26" si="0">ROUND((E11*D11),0)</f>
        <v>0</v>
      </c>
      <c r="G11" s="2369"/>
      <c r="H11" s="2370"/>
      <c r="I11" s="2371"/>
    </row>
    <row r="12" spans="1:9" ht="30" customHeight="1">
      <c r="A12" s="271">
        <v>33.299999999999997</v>
      </c>
      <c r="B12" s="265" t="s">
        <v>1879</v>
      </c>
      <c r="C12" s="273" t="s">
        <v>1545</v>
      </c>
      <c r="D12" s="979">
        <v>0</v>
      </c>
      <c r="E12" s="962">
        <v>0</v>
      </c>
      <c r="F12" s="222">
        <f t="shared" si="0"/>
        <v>0</v>
      </c>
      <c r="G12" s="2369"/>
      <c r="H12" s="2370"/>
      <c r="I12" s="2371"/>
    </row>
    <row r="13" spans="1:9" ht="30" customHeight="1">
      <c r="A13" s="271">
        <v>33.4</v>
      </c>
      <c r="B13" s="302" t="s">
        <v>653</v>
      </c>
      <c r="C13" s="220" t="s">
        <v>85</v>
      </c>
      <c r="D13" s="219">
        <v>1</v>
      </c>
      <c r="E13" s="962">
        <v>0</v>
      </c>
      <c r="F13" s="222">
        <f t="shared" si="0"/>
        <v>0</v>
      </c>
      <c r="G13" s="2369"/>
      <c r="H13" s="2370"/>
      <c r="I13" s="2371"/>
    </row>
    <row r="14" spans="1:9" ht="30" customHeight="1">
      <c r="A14" s="271">
        <v>33.5</v>
      </c>
      <c r="B14" s="302" t="s">
        <v>22</v>
      </c>
      <c r="C14" s="219" t="s">
        <v>1545</v>
      </c>
      <c r="D14" s="979">
        <v>0</v>
      </c>
      <c r="E14" s="962">
        <v>0</v>
      </c>
      <c r="F14" s="222">
        <f t="shared" si="0"/>
        <v>0</v>
      </c>
      <c r="G14" s="2369"/>
      <c r="H14" s="2370"/>
      <c r="I14" s="2371"/>
    </row>
    <row r="15" spans="1:9" ht="30" customHeight="1">
      <c r="A15" s="271">
        <v>33.6</v>
      </c>
      <c r="B15" s="302" t="s">
        <v>1018</v>
      </c>
      <c r="C15" s="220" t="s">
        <v>85</v>
      </c>
      <c r="D15" s="219">
        <v>1</v>
      </c>
      <c r="E15" s="962">
        <v>0</v>
      </c>
      <c r="F15" s="222">
        <f t="shared" si="0"/>
        <v>0</v>
      </c>
      <c r="G15" s="2369"/>
      <c r="H15" s="2370"/>
      <c r="I15" s="2371"/>
    </row>
    <row r="16" spans="1:9" ht="30" customHeight="1">
      <c r="A16" s="271">
        <v>33.700000000000003</v>
      </c>
      <c r="B16" s="302" t="s">
        <v>654</v>
      </c>
      <c r="C16" s="220" t="s">
        <v>85</v>
      </c>
      <c r="D16" s="219">
        <v>1</v>
      </c>
      <c r="E16" s="962">
        <v>0</v>
      </c>
      <c r="F16" s="222">
        <f t="shared" si="0"/>
        <v>0</v>
      </c>
      <c r="G16" s="2369"/>
      <c r="H16" s="2370"/>
      <c r="I16" s="2371"/>
    </row>
    <row r="17" spans="1:12" ht="30" customHeight="1">
      <c r="A17" s="271">
        <v>33.799999999999997</v>
      </c>
      <c r="B17" s="302" t="s">
        <v>655</v>
      </c>
      <c r="C17" s="219" t="s">
        <v>1545</v>
      </c>
      <c r="D17" s="979">
        <v>0</v>
      </c>
      <c r="E17" s="962">
        <v>0</v>
      </c>
      <c r="F17" s="222">
        <f t="shared" si="0"/>
        <v>0</v>
      </c>
      <c r="G17" s="2369"/>
      <c r="H17" s="2370"/>
      <c r="I17" s="2371"/>
    </row>
    <row r="18" spans="1:12" ht="30" customHeight="1">
      <c r="A18" s="271">
        <v>33.9</v>
      </c>
      <c r="B18" s="302" t="s">
        <v>656</v>
      </c>
      <c r="C18" s="219" t="s">
        <v>1545</v>
      </c>
      <c r="D18" s="979">
        <v>0</v>
      </c>
      <c r="E18" s="962">
        <v>0</v>
      </c>
      <c r="F18" s="222">
        <f t="shared" si="0"/>
        <v>0</v>
      </c>
      <c r="G18" s="2369"/>
      <c r="H18" s="2370"/>
      <c r="I18" s="2371"/>
    </row>
    <row r="19" spans="1:12" ht="30" customHeight="1">
      <c r="A19" s="274">
        <v>33.1</v>
      </c>
      <c r="B19" s="302" t="s">
        <v>657</v>
      </c>
      <c r="C19" s="219" t="s">
        <v>1870</v>
      </c>
      <c r="D19" s="979">
        <v>0</v>
      </c>
      <c r="E19" s="962">
        <v>0</v>
      </c>
      <c r="F19" s="222">
        <f t="shared" si="0"/>
        <v>0</v>
      </c>
      <c r="G19" s="2369"/>
      <c r="H19" s="2370"/>
      <c r="I19" s="2371"/>
    </row>
    <row r="20" spans="1:12" ht="30" customHeight="1">
      <c r="A20" s="274">
        <v>33.11</v>
      </c>
      <c r="B20" s="265" t="s">
        <v>1880</v>
      </c>
      <c r="C20" s="219" t="s">
        <v>1545</v>
      </c>
      <c r="D20" s="979">
        <v>0</v>
      </c>
      <c r="E20" s="962">
        <v>0</v>
      </c>
      <c r="F20" s="222">
        <f t="shared" si="0"/>
        <v>0</v>
      </c>
      <c r="G20" s="2369"/>
      <c r="H20" s="2370"/>
      <c r="I20" s="2371"/>
    </row>
    <row r="21" spans="1:12" ht="30" customHeight="1">
      <c r="A21" s="274">
        <v>33.119999999999997</v>
      </c>
      <c r="B21" s="265" t="s">
        <v>1881</v>
      </c>
      <c r="C21" s="219" t="s">
        <v>1545</v>
      </c>
      <c r="D21" s="979">
        <v>0</v>
      </c>
      <c r="E21" s="962">
        <v>0</v>
      </c>
      <c r="F21" s="222">
        <f t="shared" si="0"/>
        <v>0</v>
      </c>
      <c r="G21" s="2369"/>
      <c r="H21" s="2370"/>
      <c r="I21" s="2371"/>
    </row>
    <row r="22" spans="1:12" ht="30" customHeight="1">
      <c r="A22" s="2558">
        <v>33.130000000000003</v>
      </c>
      <c r="B22" s="2097" t="s">
        <v>2046</v>
      </c>
      <c r="C22" s="2498" t="s">
        <v>1912</v>
      </c>
      <c r="D22" s="2542">
        <v>0</v>
      </c>
      <c r="E22" s="374" t="s">
        <v>1868</v>
      </c>
      <c r="F22" s="2490">
        <v>0</v>
      </c>
      <c r="G22" s="2492"/>
      <c r="H22" s="2493"/>
      <c r="I22" s="2494"/>
      <c r="K22" s="3" t="s">
        <v>1840</v>
      </c>
      <c r="L22" s="3">
        <v>24</v>
      </c>
    </row>
    <row r="23" spans="1:12" ht="30" customHeight="1">
      <c r="A23" s="2559"/>
      <c r="B23" s="2098"/>
      <c r="C23" s="2541"/>
      <c r="D23" s="2543"/>
      <c r="E23" s="324">
        <f>ROUNDUP(IF(D22=0,0,IF(D22&lt;=6,L22,L22+((D22-6)*L23))),0)</f>
        <v>0</v>
      </c>
      <c r="F23" s="2534"/>
      <c r="G23" s="2535"/>
      <c r="H23" s="2536"/>
      <c r="I23" s="2537"/>
      <c r="K23" s="3" t="s">
        <v>1842</v>
      </c>
      <c r="L23" s="3">
        <v>2</v>
      </c>
    </row>
    <row r="24" spans="1:12" ht="30" customHeight="1">
      <c r="A24" s="274">
        <v>33.14</v>
      </c>
      <c r="B24" s="302" t="s">
        <v>189</v>
      </c>
      <c r="C24" s="220" t="s">
        <v>85</v>
      </c>
      <c r="D24" s="219">
        <v>1</v>
      </c>
      <c r="E24" s="962">
        <v>0</v>
      </c>
      <c r="F24" s="222">
        <f>ROUND((E24*D24),0)</f>
        <v>0</v>
      </c>
      <c r="G24" s="2369"/>
      <c r="H24" s="2370"/>
      <c r="I24" s="2371"/>
    </row>
    <row r="25" spans="1:12" ht="30" customHeight="1">
      <c r="A25" s="274">
        <v>33.15</v>
      </c>
      <c r="B25" s="302" t="s">
        <v>1637</v>
      </c>
      <c r="C25" s="220" t="s">
        <v>85</v>
      </c>
      <c r="D25" s="219">
        <v>1</v>
      </c>
      <c r="E25" s="962">
        <v>0</v>
      </c>
      <c r="F25" s="222">
        <f>ROUND((E25*D25),0)</f>
        <v>0</v>
      </c>
      <c r="G25" s="2369"/>
      <c r="H25" s="2370"/>
      <c r="I25" s="2371"/>
    </row>
    <row r="26" spans="1:12" ht="30" customHeight="1">
      <c r="A26" s="274">
        <v>33.159999999999997</v>
      </c>
      <c r="B26" s="302" t="s">
        <v>658</v>
      </c>
      <c r="C26" s="220" t="s">
        <v>85</v>
      </c>
      <c r="D26" s="219">
        <v>1</v>
      </c>
      <c r="E26" s="962">
        <v>0</v>
      </c>
      <c r="F26" s="222">
        <f t="shared" si="0"/>
        <v>0</v>
      </c>
      <c r="G26" s="2369"/>
      <c r="H26" s="2370"/>
      <c r="I26" s="2371"/>
    </row>
    <row r="27" spans="1:12" ht="20.100000000000001" customHeight="1">
      <c r="A27" s="2805" t="s">
        <v>650</v>
      </c>
      <c r="B27" s="2806"/>
      <c r="C27" s="2806"/>
      <c r="D27" s="2806"/>
      <c r="E27" s="2806"/>
      <c r="F27" s="1579">
        <f>SUM(F10:F26)</f>
        <v>0</v>
      </c>
      <c r="G27" s="2800"/>
      <c r="H27" s="2801"/>
      <c r="I27" s="2802"/>
    </row>
    <row r="28" spans="1:12" ht="30" customHeight="1">
      <c r="A28" s="276">
        <v>33.17</v>
      </c>
      <c r="B28" s="302" t="s">
        <v>133</v>
      </c>
      <c r="C28" s="220" t="s">
        <v>85</v>
      </c>
      <c r="D28" s="886">
        <v>1</v>
      </c>
      <c r="E28" s="962">
        <v>0</v>
      </c>
      <c r="F28" s="222">
        <f>ROUND((E28*D28),0)</f>
        <v>0</v>
      </c>
      <c r="G28" s="2369"/>
      <c r="H28" s="2370"/>
      <c r="I28" s="2371"/>
    </row>
    <row r="29" spans="1:12" ht="30" customHeight="1">
      <c r="A29" s="276">
        <v>33.18</v>
      </c>
      <c r="B29" s="302" t="s">
        <v>82</v>
      </c>
      <c r="C29" s="220" t="s">
        <v>85</v>
      </c>
      <c r="D29" s="886">
        <v>1</v>
      </c>
      <c r="E29" s="222">
        <f>F45</f>
        <v>0</v>
      </c>
      <c r="F29" s="222">
        <f>ROUND((E29*D29),0)</f>
        <v>0</v>
      </c>
      <c r="G29" s="2369" t="s">
        <v>578</v>
      </c>
      <c r="H29" s="2803"/>
      <c r="I29" s="2804"/>
    </row>
    <row r="30" spans="1:12" ht="30" customHeight="1">
      <c r="A30" s="276">
        <v>33.19</v>
      </c>
      <c r="B30" s="302" t="s">
        <v>307</v>
      </c>
      <c r="C30" s="220" t="s">
        <v>85</v>
      </c>
      <c r="D30" s="278" t="s">
        <v>878</v>
      </c>
      <c r="E30" s="965">
        <v>0</v>
      </c>
      <c r="F30" s="222">
        <f>ROUND(E30*F27,0)</f>
        <v>0</v>
      </c>
      <c r="G30" s="2369"/>
      <c r="H30" s="2370"/>
      <c r="I30" s="2371"/>
    </row>
    <row r="31" spans="1:12" ht="30" customHeight="1">
      <c r="A31" s="276">
        <v>33.200000000000003</v>
      </c>
      <c r="B31" s="302" t="s">
        <v>169</v>
      </c>
      <c r="C31" s="220" t="s">
        <v>85</v>
      </c>
      <c r="D31" s="243" t="s">
        <v>878</v>
      </c>
      <c r="E31" s="965">
        <v>0</v>
      </c>
      <c r="F31" s="222">
        <f>ROUND(E31*F27,0)</f>
        <v>0</v>
      </c>
      <c r="G31" s="2369"/>
      <c r="H31" s="2370"/>
      <c r="I31" s="2371"/>
    </row>
    <row r="32" spans="1:12" ht="20.100000000000001" customHeight="1">
      <c r="A32" s="2794" t="s">
        <v>651</v>
      </c>
      <c r="B32" s="2807"/>
      <c r="C32" s="2807"/>
      <c r="D32" s="2807"/>
      <c r="E32" s="2807"/>
      <c r="F32" s="247">
        <f>SUM(F28:F31)</f>
        <v>0</v>
      </c>
      <c r="G32" s="2506"/>
      <c r="H32" s="2507"/>
      <c r="I32" s="2508"/>
    </row>
    <row r="33" spans="1:9" ht="30" customHeight="1">
      <c r="A33" s="276">
        <v>33.21</v>
      </c>
      <c r="B33" s="302" t="s">
        <v>78</v>
      </c>
      <c r="C33" s="220" t="s">
        <v>85</v>
      </c>
      <c r="D33" s="243" t="s">
        <v>878</v>
      </c>
      <c r="E33" s="965">
        <v>0</v>
      </c>
      <c r="F33" s="222">
        <f>ROUND(E33*(F32+F27),0)</f>
        <v>0</v>
      </c>
      <c r="G33" s="2369"/>
      <c r="H33" s="2484"/>
      <c r="I33" s="2485"/>
    </row>
    <row r="34" spans="1:9" ht="20.100000000000001" customHeight="1" thickBot="1">
      <c r="A34" s="2436" t="s">
        <v>652</v>
      </c>
      <c r="B34" s="2437"/>
      <c r="C34" s="2437"/>
      <c r="D34" s="2437"/>
      <c r="E34" s="2437"/>
      <c r="F34" s="248">
        <f>SUM(F27+F32+F33)</f>
        <v>0</v>
      </c>
      <c r="G34" s="2520"/>
      <c r="H34" s="2367"/>
      <c r="I34" s="2368"/>
    </row>
    <row r="35" spans="1:9" ht="20.100000000000001" customHeight="1" thickBot="1">
      <c r="A35" s="337"/>
      <c r="B35" s="337"/>
      <c r="C35" s="337"/>
      <c r="D35" s="337"/>
      <c r="E35" s="337"/>
      <c r="F35" s="338"/>
      <c r="G35" s="338"/>
      <c r="H35" s="576"/>
    </row>
    <row r="36" spans="1:9" s="268" customFormat="1" ht="36.75" customHeight="1" thickBot="1">
      <c r="A36" s="2389" t="s">
        <v>82</v>
      </c>
      <c r="B36" s="2088"/>
      <c r="C36" s="279" t="s">
        <v>87</v>
      </c>
      <c r="D36" s="279" t="s">
        <v>101</v>
      </c>
      <c r="E36" s="279" t="s">
        <v>706</v>
      </c>
      <c r="F36" s="279" t="s">
        <v>102</v>
      </c>
      <c r="G36" s="279" t="s">
        <v>164</v>
      </c>
      <c r="H36" s="279" t="s">
        <v>575</v>
      </c>
      <c r="I36" s="280" t="s">
        <v>576</v>
      </c>
    </row>
    <row r="37" spans="1:9" s="268" customFormat="1" ht="20.100000000000001" customHeight="1">
      <c r="A37" s="2554" t="s">
        <v>136</v>
      </c>
      <c r="B37" s="2555"/>
      <c r="C37" s="340" t="s">
        <v>141</v>
      </c>
      <c r="D37" s="964">
        <v>0</v>
      </c>
      <c r="E37" s="964">
        <v>0</v>
      </c>
      <c r="F37" s="324">
        <f>E37*D37</f>
        <v>0</v>
      </c>
      <c r="G37" s="861"/>
      <c r="H37" s="889"/>
      <c r="I37" s="977">
        <v>0</v>
      </c>
    </row>
    <row r="38" spans="1:9" s="268" customFormat="1" ht="20.100000000000001" customHeight="1">
      <c r="A38" s="2093" t="s">
        <v>148</v>
      </c>
      <c r="B38" s="2094"/>
      <c r="C38" s="220" t="s">
        <v>141</v>
      </c>
      <c r="D38" s="962">
        <v>0</v>
      </c>
      <c r="E38" s="962">
        <v>0</v>
      </c>
      <c r="F38" s="219">
        <f>E38*D38</f>
        <v>0</v>
      </c>
      <c r="G38" s="859"/>
      <c r="H38" s="623"/>
      <c r="I38" s="978">
        <v>0</v>
      </c>
    </row>
    <row r="39" spans="1:9" s="268" customFormat="1" ht="20.100000000000001" customHeight="1">
      <c r="A39" s="2552" t="s">
        <v>1040</v>
      </c>
      <c r="B39" s="2553"/>
      <c r="C39" s="220" t="s">
        <v>141</v>
      </c>
      <c r="D39" s="962">
        <v>0</v>
      </c>
      <c r="E39" s="962">
        <v>0</v>
      </c>
      <c r="F39" s="219">
        <f>E39*D39</f>
        <v>0</v>
      </c>
      <c r="G39" s="859"/>
      <c r="H39" s="623"/>
      <c r="I39" s="978">
        <v>0</v>
      </c>
    </row>
    <row r="40" spans="1:9" s="268" customFormat="1" ht="20.100000000000001" customHeight="1">
      <c r="A40" s="2552" t="s">
        <v>237</v>
      </c>
      <c r="B40" s="2553"/>
      <c r="C40" s="220" t="s">
        <v>141</v>
      </c>
      <c r="D40" s="962">
        <v>0</v>
      </c>
      <c r="E40" s="962">
        <v>0</v>
      </c>
      <c r="F40" s="219">
        <f>E40*D40</f>
        <v>0</v>
      </c>
      <c r="G40" s="859"/>
      <c r="H40" s="623"/>
      <c r="I40" s="978">
        <v>0</v>
      </c>
    </row>
    <row r="41" spans="1:9" s="268" customFormat="1" ht="20.100000000000001" customHeight="1">
      <c r="A41" s="2552" t="s">
        <v>231</v>
      </c>
      <c r="B41" s="2553"/>
      <c r="C41" s="220" t="s">
        <v>141</v>
      </c>
      <c r="D41" s="962">
        <v>0</v>
      </c>
      <c r="E41" s="962">
        <v>0</v>
      </c>
      <c r="F41" s="219">
        <f>E41*D41</f>
        <v>0</v>
      </c>
      <c r="G41" s="859"/>
      <c r="H41" s="623"/>
      <c r="I41" s="978">
        <v>0</v>
      </c>
    </row>
    <row r="42" spans="1:9" s="268" customFormat="1" ht="20.100000000000001" customHeight="1" thickBot="1">
      <c r="A42" s="2607" t="s">
        <v>238</v>
      </c>
      <c r="B42" s="2608"/>
      <c r="C42" s="613"/>
      <c r="D42" s="613"/>
      <c r="E42" s="613"/>
      <c r="F42" s="614">
        <f>SUM(F37:F41)</f>
        <v>0</v>
      </c>
      <c r="G42" s="860"/>
      <c r="H42" s="890" t="s">
        <v>1402</v>
      </c>
      <c r="I42" s="250">
        <f>SUM(I37:I41)</f>
        <v>0</v>
      </c>
    </row>
    <row r="43" spans="1:9" s="268" customFormat="1" ht="20.100000000000001" customHeight="1" thickTop="1">
      <c r="A43" s="2073" t="s">
        <v>861</v>
      </c>
      <c r="B43" s="2074"/>
      <c r="C43" s="340" t="s">
        <v>141</v>
      </c>
      <c r="D43" s="964">
        <v>0</v>
      </c>
      <c r="E43" s="964">
        <v>0</v>
      </c>
      <c r="F43" s="324">
        <f>E43*D43</f>
        <v>0</v>
      </c>
      <c r="G43" s="2796" t="s">
        <v>1403</v>
      </c>
      <c r="H43" s="2797"/>
      <c r="I43" s="293" t="s">
        <v>1116</v>
      </c>
    </row>
    <row r="44" spans="1:9" s="268" customFormat="1" ht="20.100000000000001" customHeight="1" thickBot="1">
      <c r="A44" s="2596" t="s">
        <v>155</v>
      </c>
      <c r="B44" s="2597"/>
      <c r="C44" s="343" t="s">
        <v>141</v>
      </c>
      <c r="D44" s="966">
        <v>0</v>
      </c>
      <c r="E44" s="966">
        <v>0</v>
      </c>
      <c r="F44" s="328">
        <f>E44*D44</f>
        <v>0</v>
      </c>
      <c r="G44" s="2798" t="s">
        <v>1404</v>
      </c>
      <c r="H44" s="2799"/>
      <c r="I44" s="294" t="s">
        <v>1116</v>
      </c>
    </row>
    <row r="45" spans="1:9" s="288" customFormat="1" ht="20.100000000000001" customHeight="1" thickTop="1" thickBot="1">
      <c r="A45" s="2067" t="s">
        <v>156</v>
      </c>
      <c r="B45" s="2068"/>
      <c r="C45" s="287"/>
      <c r="D45" s="287"/>
      <c r="E45" s="287"/>
      <c r="F45" s="251">
        <f>SUM(F42:F44)</f>
        <v>0</v>
      </c>
      <c r="G45" s="1002"/>
      <c r="H45" s="557" t="s">
        <v>1414</v>
      </c>
      <c r="I45" s="296">
        <f>I42</f>
        <v>0</v>
      </c>
    </row>
    <row r="46" spans="1:9" s="268" customFormat="1" ht="15.6">
      <c r="A46" s="891"/>
      <c r="B46" s="288"/>
      <c r="C46" s="710"/>
      <c r="D46" s="710"/>
      <c r="E46" s="710"/>
      <c r="F46" s="892" t="s">
        <v>1185</v>
      </c>
      <c r="G46" s="892"/>
      <c r="H46" s="576"/>
      <c r="I46" s="892" t="s">
        <v>1405</v>
      </c>
    </row>
  </sheetData>
  <mergeCells count="54">
    <mergeCell ref="A4:B4"/>
    <mergeCell ref="C4:F4"/>
    <mergeCell ref="A36:B36"/>
    <mergeCell ref="A37:B37"/>
    <mergeCell ref="A38:B38"/>
    <mergeCell ref="A5:B5"/>
    <mergeCell ref="C5:F5"/>
    <mergeCell ref="A6:B6"/>
    <mergeCell ref="C6:F6"/>
    <mergeCell ref="A34:E34"/>
    <mergeCell ref="A27:E27"/>
    <mergeCell ref="A32:E32"/>
    <mergeCell ref="A22:A23"/>
    <mergeCell ref="B22:B23"/>
    <mergeCell ref="F22:F23"/>
    <mergeCell ref="D22:D23"/>
    <mergeCell ref="C22:C23"/>
    <mergeCell ref="A45:B45"/>
    <mergeCell ref="A39:B39"/>
    <mergeCell ref="A41:B41"/>
    <mergeCell ref="A42:B42"/>
    <mergeCell ref="A43:B43"/>
    <mergeCell ref="A44:B44"/>
    <mergeCell ref="A40:B40"/>
    <mergeCell ref="G43:H43"/>
    <mergeCell ref="G44:H44"/>
    <mergeCell ref="G4:I4"/>
    <mergeCell ref="G5:I5"/>
    <mergeCell ref="G6:I6"/>
    <mergeCell ref="G9:I9"/>
    <mergeCell ref="G27:I27"/>
    <mergeCell ref="G32:I32"/>
    <mergeCell ref="G34:I34"/>
    <mergeCell ref="G29:I29"/>
    <mergeCell ref="G33:I33"/>
    <mergeCell ref="G28:I28"/>
    <mergeCell ref="G10:I10"/>
    <mergeCell ref="G11:I11"/>
    <mergeCell ref="G12:I12"/>
    <mergeCell ref="G18:I18"/>
    <mergeCell ref="G26:I26"/>
    <mergeCell ref="G30:I30"/>
    <mergeCell ref="G31:I31"/>
    <mergeCell ref="G13:I13"/>
    <mergeCell ref="G14:I14"/>
    <mergeCell ref="G15:I15"/>
    <mergeCell ref="G16:I16"/>
    <mergeCell ref="G17:I17"/>
    <mergeCell ref="G19:I19"/>
    <mergeCell ref="G20:I20"/>
    <mergeCell ref="G21:I21"/>
    <mergeCell ref="G24:I24"/>
    <mergeCell ref="G25:I25"/>
    <mergeCell ref="G22:I23"/>
  </mergeCells>
  <phoneticPr fontId="0" type="noConversion"/>
  <dataValidations disablePrompts="1" count="1">
    <dataValidation type="list" allowBlank="1" showInputMessage="1" showErrorMessage="1" sqref="H37:H41" xr:uid="{00000000-0002-0000-3500-000000000000}">
      <formula1>yesno</formula1>
    </dataValidation>
  </dataValidations>
  <printOptions horizontalCentered="1"/>
  <pageMargins left="0.5" right="0.5" top="1" bottom="1" header="0.5" footer="0.34"/>
  <pageSetup scale="62" orientation="landscape" r:id="rId1"/>
  <headerFooter alignWithMargins="0">
    <oddHeader>&amp;C&amp;"Arial,Bold"&amp;14&amp;U&amp;A</oddHeader>
    <oddFooter>&amp;L&amp;F
&amp;A&amp;CPage &amp;P of &amp;N&amp;R&amp;D</oddFooter>
  </headerFooter>
  <rowBreaks count="1" manualBreakCount="1">
    <brk id="27" max="7" man="1"/>
  </rowBreaks>
  <ignoredErrors>
    <ignoredError sqref="F27" formula="1"/>
  </ignoredErrors>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470B1-0450-4781-9F6C-6091AC8C0E35}">
  <sheetPr codeName="Sheet56">
    <pageSetUpPr fitToPage="1"/>
  </sheetPr>
  <dimension ref="A1:AN37"/>
  <sheetViews>
    <sheetView showGridLines="0" topLeftCell="B1" zoomScale="85" zoomScaleNormal="85" workbookViewId="0">
      <selection activeCell="B1" sqref="B1:C3"/>
    </sheetView>
  </sheetViews>
  <sheetFormatPr defaultColWidth="9.109375" defaultRowHeight="15.6"/>
  <cols>
    <col min="1" max="1" width="12.6640625" style="1077" hidden="1" customWidth="1"/>
    <col min="2" max="2" width="6.88671875" style="1084" customWidth="1"/>
    <col min="3" max="3" width="50.77734375" style="1085" customWidth="1"/>
    <col min="4" max="4" width="14.77734375" style="1085" customWidth="1"/>
    <col min="5" max="5" width="14.77734375" style="1084" customWidth="1"/>
    <col min="6" max="7" width="14.77734375" style="1086" customWidth="1"/>
    <col min="8" max="9" width="14.77734375" style="1087" customWidth="1"/>
    <col min="10" max="10" width="14.77734375" style="1077" customWidth="1"/>
    <col min="11" max="11" width="100.77734375" style="1077" customWidth="1"/>
    <col min="12" max="12" width="70.77734375" style="1077" customWidth="1"/>
    <col min="13" max="13" width="8.6640625" style="348" customWidth="1"/>
    <col min="14" max="14" width="15.5546875" style="348" customWidth="1"/>
    <col min="15" max="15" width="9.88671875" style="348" hidden="1" customWidth="1"/>
    <col min="16" max="24" width="12.77734375" style="348" hidden="1" customWidth="1"/>
    <col min="25" max="29" width="12.77734375" style="1076" hidden="1" customWidth="1"/>
    <col min="30" max="34" width="9.109375" style="1076"/>
    <col min="35" max="16384" width="9.109375" style="1077"/>
  </cols>
  <sheetData>
    <row r="1" spans="1:40" s="1075" customFormat="1" ht="15" customHeight="1">
      <c r="B1" s="2136" t="s">
        <v>592</v>
      </c>
      <c r="C1" s="2137"/>
      <c r="D1" s="2133" t="s">
        <v>2573</v>
      </c>
      <c r="E1" s="2133"/>
      <c r="F1" s="2133"/>
      <c r="G1" s="2133"/>
      <c r="H1" s="2133"/>
      <c r="I1" s="2133"/>
      <c r="J1" s="2133"/>
      <c r="K1" s="1055" t="str">
        <f>'Project Information'!B3</f>
        <v>Enter project name &amp; description</v>
      </c>
      <c r="L1" s="2120" t="s">
        <v>1819</v>
      </c>
      <c r="M1" s="1142"/>
      <c r="N1" s="1142"/>
      <c r="O1" s="1142"/>
      <c r="P1" s="1142"/>
      <c r="Q1" s="1143"/>
      <c r="R1" s="1143"/>
      <c r="S1" s="1143"/>
      <c r="T1" s="1143"/>
      <c r="U1" s="1143"/>
      <c r="V1" s="1142"/>
      <c r="W1" s="1142"/>
      <c r="X1" s="1142"/>
      <c r="Y1" s="1147"/>
      <c r="Z1" s="1147"/>
      <c r="AA1" s="1147"/>
      <c r="AB1" s="1098"/>
      <c r="AC1" s="1098"/>
      <c r="AD1" s="1098"/>
      <c r="AE1" s="1098"/>
      <c r="AF1" s="1098"/>
      <c r="AG1" s="1098"/>
      <c r="AH1" s="1098"/>
    </row>
    <row r="2" spans="1:40" s="1075" customFormat="1" ht="15" customHeight="1">
      <c r="B2" s="2138"/>
      <c r="C2" s="2139"/>
      <c r="D2" s="2134"/>
      <c r="E2" s="2134"/>
      <c r="F2" s="2134"/>
      <c r="G2" s="2134"/>
      <c r="H2" s="2134"/>
      <c r="I2" s="2134"/>
      <c r="J2" s="2134"/>
      <c r="K2" s="1056" t="str">
        <f>'Project Information'!B1</f>
        <v>999999-1-32-01</v>
      </c>
      <c r="L2" s="2121"/>
      <c r="M2" s="1142"/>
      <c r="N2" s="1142"/>
      <c r="O2" s="1142"/>
      <c r="P2" s="1142"/>
      <c r="Q2" s="1143"/>
      <c r="R2" s="1143"/>
      <c r="S2" s="1143"/>
      <c r="T2" s="1143"/>
      <c r="U2" s="1143"/>
      <c r="V2" s="1142"/>
      <c r="W2" s="1142"/>
      <c r="X2" s="1142"/>
      <c r="Y2" s="1147"/>
      <c r="Z2" s="1147"/>
      <c r="AA2" s="1147"/>
      <c r="AB2" s="1098"/>
      <c r="AC2" s="1098"/>
      <c r="AD2" s="1098"/>
      <c r="AE2" s="1098"/>
      <c r="AF2" s="1098"/>
      <c r="AG2" s="1098"/>
      <c r="AH2" s="1098"/>
    </row>
    <row r="3" spans="1:40" s="1058" customFormat="1" ht="15" customHeight="1" thickBot="1">
      <c r="B3" s="2140"/>
      <c r="C3" s="2141"/>
      <c r="D3" s="2135"/>
      <c r="E3" s="2135"/>
      <c r="F3" s="2135"/>
      <c r="G3" s="2135"/>
      <c r="H3" s="2135"/>
      <c r="I3" s="2135"/>
      <c r="J3" s="2135"/>
      <c r="K3" s="1057"/>
      <c r="L3" s="2122"/>
      <c r="M3" s="1146"/>
      <c r="N3" s="1146"/>
      <c r="O3" s="1146"/>
      <c r="P3" s="1146"/>
      <c r="Q3" s="1143"/>
      <c r="R3" s="1143"/>
      <c r="S3" s="1143"/>
      <c r="T3" s="1143"/>
      <c r="U3" s="1143"/>
      <c r="V3" s="1146"/>
      <c r="W3" s="1146"/>
      <c r="X3" s="1146"/>
      <c r="Y3" s="1200"/>
      <c r="Z3" s="1200"/>
      <c r="AA3" s="1200"/>
      <c r="AB3" s="1103"/>
      <c r="AC3" s="1103"/>
      <c r="AD3" s="1103"/>
      <c r="AE3" s="1103"/>
      <c r="AF3" s="1103"/>
      <c r="AG3" s="1103"/>
      <c r="AH3" s="1103"/>
    </row>
    <row r="4" spans="1:40" s="1058" customFormat="1" ht="30" customHeight="1" thickBot="1">
      <c r="B4" s="2198" t="s">
        <v>1396</v>
      </c>
      <c r="C4" s="2199"/>
      <c r="D4" s="2200" t="s">
        <v>1397</v>
      </c>
      <c r="E4" s="2200"/>
      <c r="F4" s="2200"/>
      <c r="G4" s="2200"/>
      <c r="H4" s="2200"/>
      <c r="I4" s="2200"/>
      <c r="J4" s="2200"/>
      <c r="K4" s="1111" t="s">
        <v>1398</v>
      </c>
      <c r="L4" s="1580" t="s">
        <v>2625</v>
      </c>
      <c r="M4" s="1146"/>
      <c r="N4" s="1146"/>
      <c r="O4" s="1146"/>
      <c r="P4" s="1146"/>
      <c r="Q4" s="1143"/>
      <c r="R4" s="1143"/>
      <c r="S4" s="1143"/>
      <c r="T4" s="1143"/>
      <c r="U4" s="1143"/>
      <c r="V4" s="1146"/>
      <c r="W4" s="1146"/>
      <c r="X4" s="1146"/>
      <c r="Y4" s="1200"/>
      <c r="Z4" s="1200"/>
      <c r="AA4" s="1200"/>
      <c r="AB4" s="1103"/>
      <c r="AC4" s="1103"/>
      <c r="AD4" s="1103"/>
      <c r="AE4" s="1103"/>
      <c r="AF4" s="1103"/>
      <c r="AG4" s="1103"/>
      <c r="AH4" s="1103"/>
    </row>
    <row r="5" spans="1:40" s="1058" customFormat="1" ht="30" customHeight="1">
      <c r="B5" s="2201" t="s">
        <v>1400</v>
      </c>
      <c r="C5" s="2202"/>
      <c r="D5" s="2203"/>
      <c r="E5" s="2203"/>
      <c r="F5" s="2203"/>
      <c r="G5" s="2203"/>
      <c r="H5" s="2203"/>
      <c r="I5" s="2203"/>
      <c r="J5" s="2203"/>
      <c r="K5" s="1059"/>
      <c r="L5" s="2253" t="s">
        <v>1820</v>
      </c>
      <c r="M5" s="1147"/>
      <c r="N5" s="1146"/>
      <c r="O5" s="1146"/>
      <c r="P5" s="1146"/>
      <c r="Q5" s="1201"/>
      <c r="R5" s="1201"/>
      <c r="S5" s="1201"/>
      <c r="T5" s="1201"/>
      <c r="U5" s="1201"/>
      <c r="V5" s="1146"/>
      <c r="W5" s="1146"/>
      <c r="X5" s="1146"/>
      <c r="Y5" s="1200"/>
      <c r="Z5" s="1200"/>
      <c r="AA5" s="1200"/>
      <c r="AB5" s="1103"/>
      <c r="AC5" s="1103"/>
      <c r="AD5" s="1103"/>
      <c r="AE5" s="1103"/>
      <c r="AF5" s="1103"/>
      <c r="AG5" s="1103"/>
      <c r="AH5" s="1103"/>
    </row>
    <row r="6" spans="1:40" s="1058" customFormat="1" ht="30" customHeight="1" thickBot="1">
      <c r="B6" s="2204" t="s">
        <v>1399</v>
      </c>
      <c r="C6" s="2205"/>
      <c r="D6" s="2206"/>
      <c r="E6" s="2206"/>
      <c r="F6" s="2206"/>
      <c r="G6" s="2206"/>
      <c r="H6" s="2206"/>
      <c r="I6" s="2206"/>
      <c r="J6" s="2206"/>
      <c r="K6" s="1060"/>
      <c r="L6" s="2254"/>
      <c r="M6" s="1147"/>
      <c r="N6" s="1146"/>
      <c r="O6" s="1146"/>
      <c r="P6" s="1146"/>
      <c r="Q6" s="1201"/>
      <c r="R6" s="1201"/>
      <c r="S6" s="1201"/>
      <c r="T6" s="1201"/>
      <c r="U6" s="1201"/>
      <c r="V6" s="1146"/>
      <c r="W6" s="1146"/>
      <c r="X6" s="1146"/>
      <c r="Y6" s="1200"/>
      <c r="Z6" s="1200"/>
      <c r="AA6" s="1200"/>
      <c r="AB6" s="1103"/>
      <c r="AC6" s="1103"/>
      <c r="AD6" s="1103"/>
      <c r="AE6" s="1103"/>
      <c r="AF6" s="1103"/>
      <c r="AG6" s="1103"/>
      <c r="AH6" s="1103"/>
    </row>
    <row r="7" spans="1:40" s="1058" customFormat="1" ht="15" customHeight="1">
      <c r="B7" s="1112" t="s">
        <v>1430</v>
      </c>
      <c r="C7" s="1182"/>
      <c r="D7" s="1183"/>
      <c r="E7" s="1183"/>
      <c r="F7" s="1183"/>
      <c r="G7" s="1183"/>
      <c r="H7" s="1183"/>
      <c r="I7" s="1183"/>
      <c r="J7" s="1183"/>
      <c r="K7" s="1184"/>
      <c r="L7" s="2254"/>
      <c r="M7" s="1147"/>
      <c r="N7" s="1146"/>
      <c r="O7" s="1146"/>
      <c r="P7" s="1146"/>
      <c r="Q7" s="1146"/>
      <c r="R7" s="1146"/>
      <c r="S7" s="1146"/>
      <c r="T7" s="1146"/>
      <c r="U7" s="1146"/>
      <c r="V7" s="1146"/>
      <c r="W7" s="1146"/>
      <c r="X7" s="1146"/>
      <c r="Y7" s="1200"/>
      <c r="Z7" s="1200"/>
      <c r="AA7" s="1200"/>
      <c r="AB7" s="1103"/>
      <c r="AC7" s="1103"/>
      <c r="AD7" s="1103"/>
      <c r="AE7" s="1103"/>
      <c r="AF7" s="1103"/>
      <c r="AG7" s="1103"/>
      <c r="AH7" s="1103"/>
    </row>
    <row r="8" spans="1:40" s="1058" customFormat="1" ht="15" customHeight="1" thickBot="1">
      <c r="B8" s="1185"/>
      <c r="C8" s="1186"/>
      <c r="D8" s="1187"/>
      <c r="E8" s="1187"/>
      <c r="F8" s="1187"/>
      <c r="G8" s="1187"/>
      <c r="H8" s="1187"/>
      <c r="I8" s="1187"/>
      <c r="J8" s="1187"/>
      <c r="K8" s="1188"/>
      <c r="L8" s="2254"/>
      <c r="M8" s="1147"/>
      <c r="N8" s="1146"/>
      <c r="O8" s="1146"/>
      <c r="P8" s="1146"/>
      <c r="Q8" s="1146"/>
      <c r="R8" s="1146"/>
      <c r="S8" s="1146"/>
      <c r="T8" s="1146"/>
      <c r="U8" s="1146"/>
      <c r="V8" s="1146"/>
      <c r="W8" s="1146"/>
      <c r="X8" s="1146"/>
      <c r="Y8" s="1200"/>
      <c r="Z8" s="1200"/>
      <c r="AA8" s="1200"/>
      <c r="AB8" s="1103"/>
      <c r="AC8" s="1103"/>
      <c r="AD8" s="1103"/>
      <c r="AE8" s="1103"/>
      <c r="AF8" s="1103"/>
      <c r="AG8" s="1103"/>
      <c r="AH8" s="1103"/>
      <c r="AI8" s="1103"/>
      <c r="AJ8" s="1103"/>
      <c r="AK8" s="1103"/>
      <c r="AL8" s="1103"/>
      <c r="AM8" s="1103"/>
      <c r="AN8" s="1103"/>
    </row>
    <row r="9" spans="1:40" s="1058" customFormat="1" ht="30" customHeight="1">
      <c r="B9" s="2226" t="s">
        <v>79</v>
      </c>
      <c r="C9" s="2228" t="s">
        <v>190</v>
      </c>
      <c r="D9" s="2157" t="s">
        <v>1821</v>
      </c>
      <c r="E9" s="2158"/>
      <c r="F9" s="2159"/>
      <c r="G9" s="2230" t="s">
        <v>1822</v>
      </c>
      <c r="H9" s="2230"/>
      <c r="I9" s="2230"/>
      <c r="J9" s="2230"/>
      <c r="K9" s="1120" t="s">
        <v>1823</v>
      </c>
      <c r="L9" s="2254"/>
      <c r="M9" s="1147"/>
      <c r="N9" s="2324"/>
      <c r="O9" s="2170" t="s">
        <v>190</v>
      </c>
      <c r="P9" s="2214" t="s">
        <v>1869</v>
      </c>
      <c r="Q9" s="2213"/>
      <c r="R9" s="2213"/>
      <c r="S9" s="2213"/>
      <c r="T9" s="2215"/>
      <c r="U9" s="2214" t="s">
        <v>1914</v>
      </c>
      <c r="V9" s="2213"/>
      <c r="W9" s="2215"/>
      <c r="X9" s="2214" t="s">
        <v>1960</v>
      </c>
      <c r="Y9" s="2213"/>
      <c r="Z9" s="2213"/>
      <c r="AA9" s="2214" t="s">
        <v>1862</v>
      </c>
      <c r="AB9" s="2213"/>
      <c r="AC9" s="2215"/>
      <c r="AD9" s="1103"/>
      <c r="AE9" s="1103"/>
      <c r="AF9" s="1103"/>
      <c r="AG9" s="1103"/>
      <c r="AH9" s="1103"/>
      <c r="AI9" s="1103"/>
      <c r="AJ9" s="1103"/>
      <c r="AK9" s="1103"/>
      <c r="AL9" s="1103"/>
      <c r="AM9" s="1103"/>
      <c r="AN9" s="1103"/>
    </row>
    <row r="10" spans="1:40" s="1076" customFormat="1" ht="30" customHeight="1" thickBot="1">
      <c r="B10" s="2531"/>
      <c r="C10" s="2525"/>
      <c r="D10" s="1121" t="s">
        <v>1824</v>
      </c>
      <c r="E10" s="1121" t="s">
        <v>87</v>
      </c>
      <c r="F10" s="1121" t="s">
        <v>1825</v>
      </c>
      <c r="G10" s="1121" t="s">
        <v>1826</v>
      </c>
      <c r="H10" s="1121" t="s">
        <v>1827</v>
      </c>
      <c r="I10" s="1121" t="s">
        <v>1196</v>
      </c>
      <c r="J10" s="1121" t="s">
        <v>1837</v>
      </c>
      <c r="K10" s="1123" t="s">
        <v>1829</v>
      </c>
      <c r="L10" s="2281"/>
      <c r="M10" s="1147"/>
      <c r="N10" s="2324"/>
      <c r="O10" s="2282"/>
      <c r="P10" s="1606" t="s">
        <v>1926</v>
      </c>
      <c r="Q10" s="1607" t="s">
        <v>1859</v>
      </c>
      <c r="R10" s="1607" t="s">
        <v>1860</v>
      </c>
      <c r="S10" s="1607" t="s">
        <v>1861</v>
      </c>
      <c r="T10" s="1608" t="s">
        <v>1927</v>
      </c>
      <c r="U10" s="1607" t="s">
        <v>1883</v>
      </c>
      <c r="V10" s="1607" t="s">
        <v>1833</v>
      </c>
      <c r="W10" s="1608" t="s">
        <v>1834</v>
      </c>
      <c r="X10" s="1606" t="s">
        <v>1928</v>
      </c>
      <c r="Y10" s="1607" t="s">
        <v>1929</v>
      </c>
      <c r="Z10" s="1607" t="s">
        <v>1930</v>
      </c>
      <c r="AA10" s="1606" t="s">
        <v>1931</v>
      </c>
      <c r="AB10" s="1607" t="s">
        <v>1932</v>
      </c>
      <c r="AC10" s="1608" t="s">
        <v>1933</v>
      </c>
      <c r="AD10" s="1103"/>
      <c r="AE10" s="1103"/>
      <c r="AF10" s="1103"/>
      <c r="AG10" s="1103"/>
      <c r="AH10" s="1103"/>
      <c r="AI10" s="1103"/>
      <c r="AJ10" s="1103"/>
      <c r="AK10" s="1103"/>
      <c r="AL10" s="1103"/>
      <c r="AM10" s="1103"/>
      <c r="AN10" s="1103"/>
    </row>
    <row r="11" spans="1:40" ht="30" customHeight="1">
      <c r="A11" s="1104" t="s">
        <v>2504</v>
      </c>
      <c r="B11" s="2223">
        <v>34.1</v>
      </c>
      <c r="C11" s="1903" t="s">
        <v>94</v>
      </c>
      <c r="D11" s="1210" t="s">
        <v>85</v>
      </c>
      <c r="E11" s="1629">
        <v>0</v>
      </c>
      <c r="F11" s="1856"/>
      <c r="G11" s="1615">
        <f>IF(E11=1,X11,0)</f>
        <v>0</v>
      </c>
      <c r="H11" s="1629">
        <v>0</v>
      </c>
      <c r="I11" s="1629">
        <v>0</v>
      </c>
      <c r="J11" s="1629">
        <v>0</v>
      </c>
      <c r="K11" s="1329"/>
      <c r="L11" s="2149" t="s">
        <v>1882</v>
      </c>
      <c r="M11" s="1142"/>
      <c r="N11" s="1207"/>
      <c r="O11" s="2528">
        <v>34.1</v>
      </c>
      <c r="P11" s="1160"/>
      <c r="Q11" s="1335"/>
      <c r="R11" s="1161"/>
      <c r="S11" s="1309"/>
      <c r="T11" s="1162"/>
      <c r="U11" s="1160"/>
      <c r="V11" s="1222"/>
      <c r="W11" s="1202"/>
      <c r="X11" s="1160">
        <v>4</v>
      </c>
      <c r="Y11" s="1376"/>
      <c r="Z11" s="1377"/>
      <c r="AA11" s="1160"/>
      <c r="AB11" s="1376"/>
      <c r="AC11" s="1378"/>
      <c r="AD11" s="1103"/>
      <c r="AE11" s="1103"/>
      <c r="AF11" s="1103"/>
      <c r="AG11" s="1103"/>
      <c r="AH11" s="1103"/>
      <c r="AI11" s="1103"/>
      <c r="AJ11" s="1103"/>
      <c r="AK11" s="1103"/>
      <c r="AL11" s="1103"/>
      <c r="AM11" s="1103"/>
      <c r="AN11" s="1103"/>
    </row>
    <row r="12" spans="1:40" ht="30" customHeight="1">
      <c r="A12" s="1104" t="s">
        <v>2505</v>
      </c>
      <c r="B12" s="2217"/>
      <c r="C12" s="1190" t="s">
        <v>1838</v>
      </c>
      <c r="D12" s="1210" t="s">
        <v>85</v>
      </c>
      <c r="E12" s="1193">
        <v>0</v>
      </c>
      <c r="F12" s="1375"/>
      <c r="G12" s="1210">
        <f>IF(E11=1,IF(E12=1,X12,0),0)</f>
        <v>0</v>
      </c>
      <c r="H12" s="1629">
        <v>0</v>
      </c>
      <c r="I12" s="1629">
        <v>0</v>
      </c>
      <c r="J12" s="1629">
        <v>0</v>
      </c>
      <c r="K12" s="1217"/>
      <c r="L12" s="2150"/>
      <c r="M12" s="1142"/>
      <c r="N12" s="1207"/>
      <c r="O12" s="2528"/>
      <c r="P12" s="1245"/>
      <c r="Q12" s="1248"/>
      <c r="R12" s="1246"/>
      <c r="S12" s="1315"/>
      <c r="T12" s="1247"/>
      <c r="U12" s="1290"/>
      <c r="V12" s="1248"/>
      <c r="W12" s="1249"/>
      <c r="X12" s="1245">
        <v>2</v>
      </c>
      <c r="Y12" s="1365"/>
      <c r="Z12" s="1367"/>
      <c r="AA12" s="1245"/>
      <c r="AB12" s="1365"/>
      <c r="AC12" s="1366"/>
      <c r="AE12" s="1104"/>
      <c r="AF12" s="1104"/>
      <c r="AG12" s="1104"/>
    </row>
    <row r="13" spans="1:40" ht="30" customHeight="1">
      <c r="A13" s="1104" t="s">
        <v>2506</v>
      </c>
      <c r="B13" s="1904">
        <v>34.200000000000003</v>
      </c>
      <c r="C13" s="351" t="s">
        <v>229</v>
      </c>
      <c r="D13" s="1210" t="s">
        <v>85</v>
      </c>
      <c r="E13" s="1193">
        <v>0</v>
      </c>
      <c r="F13" s="1102"/>
      <c r="G13" s="1210">
        <f>IF(E13=1,IF(F13="Simple",U13,(IF(F13="Standard",V13,(IF(F13="Complex",W13,0))))),0)</f>
        <v>0</v>
      </c>
      <c r="H13" s="1193">
        <v>0</v>
      </c>
      <c r="I13" s="1193">
        <v>0</v>
      </c>
      <c r="J13" s="1193">
        <v>0</v>
      </c>
      <c r="K13" s="1217"/>
      <c r="L13" s="2150"/>
      <c r="M13" s="1142"/>
      <c r="N13" s="1207"/>
      <c r="O13" s="1932">
        <v>34.200000000000003</v>
      </c>
      <c r="P13" s="1744"/>
      <c r="Q13" s="1227"/>
      <c r="R13" s="1151"/>
      <c r="S13" s="1314"/>
      <c r="T13" s="1153"/>
      <c r="U13" s="1154">
        <v>6</v>
      </c>
      <c r="V13" s="1227">
        <v>9</v>
      </c>
      <c r="W13" s="1152">
        <v>12</v>
      </c>
      <c r="X13" s="1150"/>
      <c r="Y13" s="1151"/>
      <c r="Z13" s="1293"/>
      <c r="AA13" s="1150"/>
      <c r="AB13" s="1151"/>
      <c r="AC13" s="1152"/>
      <c r="AE13" s="1104"/>
      <c r="AF13" s="1104"/>
      <c r="AG13" s="1104"/>
    </row>
    <row r="14" spans="1:40" ht="30" customHeight="1">
      <c r="A14" s="1104" t="s">
        <v>2507</v>
      </c>
      <c r="B14" s="1905">
        <v>34.299999999999997</v>
      </c>
      <c r="C14" s="1598" t="s">
        <v>95</v>
      </c>
      <c r="D14" s="1210" t="s">
        <v>2790</v>
      </c>
      <c r="E14" s="1064">
        <v>0</v>
      </c>
      <c r="F14" s="1375"/>
      <c r="G14" s="1215">
        <f>E14*X14</f>
        <v>0</v>
      </c>
      <c r="H14" s="1193">
        <v>0</v>
      </c>
      <c r="I14" s="1193">
        <v>0</v>
      </c>
      <c r="J14" s="1193">
        <v>0</v>
      </c>
      <c r="K14" s="1217"/>
      <c r="L14" s="2150"/>
      <c r="M14" s="1142"/>
      <c r="N14" s="1207"/>
      <c r="O14" s="1857">
        <v>34.299999999999997</v>
      </c>
      <c r="P14" s="1744"/>
      <c r="Q14" s="1227"/>
      <c r="R14" s="1151"/>
      <c r="S14" s="1293"/>
      <c r="T14" s="1152"/>
      <c r="U14" s="1150"/>
      <c r="V14" s="1228"/>
      <c r="W14" s="1153"/>
      <c r="X14" s="1150">
        <v>4</v>
      </c>
      <c r="Y14" s="1151"/>
      <c r="Z14" s="1293"/>
      <c r="AA14" s="1150"/>
      <c r="AB14" s="1151"/>
      <c r="AC14" s="1152"/>
    </row>
    <row r="15" spans="1:40" ht="30" customHeight="1">
      <c r="A15" s="1104" t="s">
        <v>2508</v>
      </c>
      <c r="B15" s="1905">
        <v>34.4</v>
      </c>
      <c r="C15" s="1598" t="s">
        <v>2509</v>
      </c>
      <c r="D15" s="1210" t="s">
        <v>2510</v>
      </c>
      <c r="E15" s="1064">
        <v>0</v>
      </c>
      <c r="F15" s="1375"/>
      <c r="G15" s="1210">
        <f>E15*X15</f>
        <v>0</v>
      </c>
      <c r="H15" s="1193">
        <v>0</v>
      </c>
      <c r="I15" s="1193">
        <v>0</v>
      </c>
      <c r="J15" s="1193">
        <v>0</v>
      </c>
      <c r="K15" s="1217"/>
      <c r="L15" s="2150"/>
      <c r="M15" s="1142"/>
      <c r="N15" s="1207"/>
      <c r="O15" s="1857">
        <v>34.4</v>
      </c>
      <c r="P15" s="1744"/>
      <c r="Q15" s="1227"/>
      <c r="R15" s="1151"/>
      <c r="S15" s="1293"/>
      <c r="T15" s="1152"/>
      <c r="U15" s="1150"/>
      <c r="V15" s="1227"/>
      <c r="W15" s="1153"/>
      <c r="X15" s="1150">
        <v>1</v>
      </c>
      <c r="Y15" s="1151"/>
      <c r="Z15" s="1293"/>
      <c r="AA15" s="1150"/>
      <c r="AB15" s="1151"/>
      <c r="AC15" s="1152"/>
    </row>
    <row r="16" spans="1:40" ht="30" customHeight="1">
      <c r="A16" s="1104" t="s">
        <v>2511</v>
      </c>
      <c r="B16" s="2244">
        <v>34.5</v>
      </c>
      <c r="C16" s="2109" t="s">
        <v>2512</v>
      </c>
      <c r="D16" s="2234" t="s">
        <v>617</v>
      </c>
      <c r="E16" s="1064">
        <v>0</v>
      </c>
      <c r="F16" s="1138" t="s">
        <v>1833</v>
      </c>
      <c r="G16" s="1210">
        <f>E16*X16</f>
        <v>0</v>
      </c>
      <c r="H16" s="1193">
        <v>0</v>
      </c>
      <c r="I16" s="1193">
        <v>0</v>
      </c>
      <c r="J16" s="1193">
        <v>0</v>
      </c>
      <c r="K16" s="1217"/>
      <c r="L16" s="2150"/>
      <c r="M16" s="1142"/>
      <c r="N16" s="1207"/>
      <c r="O16" s="2810">
        <v>34.5</v>
      </c>
      <c r="P16" s="1160"/>
      <c r="Q16" s="1335"/>
      <c r="R16" s="1161"/>
      <c r="S16" s="1309"/>
      <c r="T16" s="1162"/>
      <c r="U16" s="1160"/>
      <c r="V16" s="1380"/>
      <c r="W16" s="1381"/>
      <c r="X16" s="1160">
        <v>4</v>
      </c>
      <c r="Y16" s="1161"/>
      <c r="Z16" s="1309"/>
      <c r="AA16" s="1160"/>
      <c r="AB16" s="1161"/>
      <c r="AC16" s="1162"/>
    </row>
    <row r="17" spans="1:34" ht="30" customHeight="1">
      <c r="A17" s="1104" t="s">
        <v>2513</v>
      </c>
      <c r="B17" s="2241"/>
      <c r="C17" s="2110"/>
      <c r="D17" s="2260"/>
      <c r="E17" s="1064">
        <v>0</v>
      </c>
      <c r="F17" s="1138" t="s">
        <v>1834</v>
      </c>
      <c r="G17" s="1210">
        <f>E17*X17</f>
        <v>0</v>
      </c>
      <c r="H17" s="1193">
        <v>0</v>
      </c>
      <c r="I17" s="1193">
        <v>0</v>
      </c>
      <c r="J17" s="1193">
        <v>0</v>
      </c>
      <c r="K17" s="1217"/>
      <c r="L17" s="2150"/>
      <c r="M17" s="1142"/>
      <c r="N17" s="1207"/>
      <c r="O17" s="2811"/>
      <c r="P17" s="1412"/>
      <c r="Q17" s="1838"/>
      <c r="R17" s="1413"/>
      <c r="S17" s="1417"/>
      <c r="T17" s="1345"/>
      <c r="U17" s="1412"/>
      <c r="V17" s="1414"/>
      <c r="W17" s="1415"/>
      <c r="X17" s="1412">
        <v>8</v>
      </c>
      <c r="Y17" s="1413"/>
      <c r="Z17" s="1417"/>
      <c r="AA17" s="1412"/>
      <c r="AB17" s="1413"/>
      <c r="AC17" s="1345"/>
    </row>
    <row r="18" spans="1:34" ht="30" customHeight="1">
      <c r="A18" s="1104" t="s">
        <v>2514</v>
      </c>
      <c r="B18" s="2244">
        <v>34.6</v>
      </c>
      <c r="C18" s="2109" t="s">
        <v>2515</v>
      </c>
      <c r="D18" s="1210" t="s">
        <v>2791</v>
      </c>
      <c r="E18" s="1064">
        <v>0</v>
      </c>
      <c r="F18" s="1102"/>
      <c r="G18" s="1210">
        <f>ROUNDUP((ROUND(E18,2))*(IF(F18="Low",Q18,(IF(F18="Mid",R18,(IF(F18="Upper",S18,0)))))),0)</f>
        <v>0</v>
      </c>
      <c r="H18" s="1193">
        <v>0</v>
      </c>
      <c r="I18" s="1193">
        <v>0</v>
      </c>
      <c r="J18" s="1193">
        <v>0</v>
      </c>
      <c r="K18" s="1217"/>
      <c r="L18" s="2150"/>
      <c r="M18" s="1142"/>
      <c r="N18" s="1207"/>
      <c r="O18" s="2810">
        <v>34.6</v>
      </c>
      <c r="P18" s="1744"/>
      <c r="Q18" s="1227">
        <v>4</v>
      </c>
      <c r="R18" s="1151">
        <v>6</v>
      </c>
      <c r="S18" s="1293">
        <v>8</v>
      </c>
      <c r="T18" s="1152"/>
      <c r="U18" s="1150"/>
      <c r="V18" s="1228"/>
      <c r="W18" s="1153"/>
      <c r="X18" s="1150"/>
      <c r="Y18" s="1151"/>
      <c r="Z18" s="1293"/>
      <c r="AA18" s="1150"/>
      <c r="AB18" s="1151"/>
      <c r="AC18" s="1152"/>
    </row>
    <row r="19" spans="1:34" ht="30" customHeight="1">
      <c r="A19" s="1104" t="s">
        <v>2516</v>
      </c>
      <c r="B19" s="2242"/>
      <c r="C19" s="2111"/>
      <c r="D19" s="1215" t="s">
        <v>2517</v>
      </c>
      <c r="E19" s="1064">
        <v>0</v>
      </c>
      <c r="F19" s="1192"/>
      <c r="G19" s="1210">
        <f>E19*X19</f>
        <v>0</v>
      </c>
      <c r="H19" s="1193">
        <v>0</v>
      </c>
      <c r="I19" s="1193">
        <v>0</v>
      </c>
      <c r="J19" s="1193">
        <v>0</v>
      </c>
      <c r="K19" s="1217"/>
      <c r="L19" s="2150"/>
      <c r="M19" s="1142"/>
      <c r="N19" s="1207"/>
      <c r="O19" s="2812"/>
      <c r="P19" s="1720"/>
      <c r="Q19" s="1383"/>
      <c r="R19" s="1384"/>
      <c r="S19" s="1385"/>
      <c r="T19" s="1386"/>
      <c r="U19" s="1382"/>
      <c r="V19" s="1387"/>
      <c r="W19" s="1388"/>
      <c r="X19" s="1382">
        <v>4</v>
      </c>
      <c r="Y19" s="1384"/>
      <c r="Z19" s="1385"/>
      <c r="AA19" s="1382"/>
      <c r="AB19" s="1384"/>
      <c r="AC19" s="1386"/>
    </row>
    <row r="20" spans="1:34" ht="30" customHeight="1">
      <c r="A20" s="1104" t="s">
        <v>2518</v>
      </c>
      <c r="B20" s="1905">
        <v>34.700000000000003</v>
      </c>
      <c r="C20" s="1598" t="s">
        <v>2519</v>
      </c>
      <c r="D20" s="1210" t="s">
        <v>2790</v>
      </c>
      <c r="E20" s="1064">
        <v>0</v>
      </c>
      <c r="F20" s="1375"/>
      <c r="G20" s="1215">
        <f>E20*X20</f>
        <v>0</v>
      </c>
      <c r="H20" s="1193">
        <v>0</v>
      </c>
      <c r="I20" s="1193">
        <v>0</v>
      </c>
      <c r="J20" s="1193">
        <v>0</v>
      </c>
      <c r="K20" s="1217"/>
      <c r="L20" s="2150"/>
      <c r="M20" s="1142"/>
      <c r="N20" s="1207"/>
      <c r="O20" s="1857">
        <v>34.700000000000003</v>
      </c>
      <c r="P20" s="1382"/>
      <c r="Q20" s="1383"/>
      <c r="R20" s="1384"/>
      <c r="S20" s="1385"/>
      <c r="T20" s="1386"/>
      <c r="U20" s="1382"/>
      <c r="V20" s="1387"/>
      <c r="W20" s="1388"/>
      <c r="X20" s="1382">
        <v>2</v>
      </c>
      <c r="Y20" s="1384"/>
      <c r="Z20" s="1385"/>
      <c r="AA20" s="1382"/>
      <c r="AB20" s="1384"/>
      <c r="AC20" s="1386"/>
    </row>
    <row r="21" spans="1:34" ht="30" customHeight="1">
      <c r="A21" s="1104" t="s">
        <v>2520</v>
      </c>
      <c r="B21" s="2244">
        <v>34.799999999999997</v>
      </c>
      <c r="C21" s="2109" t="s">
        <v>659</v>
      </c>
      <c r="D21" s="2234" t="s">
        <v>2521</v>
      </c>
      <c r="E21" s="1064">
        <v>0</v>
      </c>
      <c r="F21" s="1138" t="s">
        <v>1833</v>
      </c>
      <c r="G21" s="1139">
        <f>E21*V21</f>
        <v>0</v>
      </c>
      <c r="H21" s="1193">
        <v>0</v>
      </c>
      <c r="I21" s="1193">
        <v>0</v>
      </c>
      <c r="J21" s="1193">
        <v>0</v>
      </c>
      <c r="K21" s="1217"/>
      <c r="L21" s="2150"/>
      <c r="M21" s="1142"/>
      <c r="N21" s="1204"/>
      <c r="O21" s="2810">
        <v>34.799999999999997</v>
      </c>
      <c r="P21" s="1160"/>
      <c r="Q21" s="1335"/>
      <c r="R21" s="1161"/>
      <c r="S21" s="1309"/>
      <c r="T21" s="1162"/>
      <c r="U21" s="1160"/>
      <c r="V21" s="1380">
        <v>2</v>
      </c>
      <c r="W21" s="1381"/>
      <c r="X21" s="1160"/>
      <c r="Y21" s="1161"/>
      <c r="Z21" s="1309"/>
      <c r="AA21" s="1160"/>
      <c r="AB21" s="1161"/>
      <c r="AC21" s="1162"/>
    </row>
    <row r="22" spans="1:34" ht="30" customHeight="1">
      <c r="A22" s="1104" t="s">
        <v>2522</v>
      </c>
      <c r="B22" s="2241"/>
      <c r="C22" s="2110"/>
      <c r="D22" s="2235"/>
      <c r="E22" s="1064">
        <v>0</v>
      </c>
      <c r="F22" s="1138" t="s">
        <v>1834</v>
      </c>
      <c r="G22" s="1139">
        <f>E22*W22</f>
        <v>0</v>
      </c>
      <c r="H22" s="1193">
        <v>0</v>
      </c>
      <c r="I22" s="1193">
        <v>0</v>
      </c>
      <c r="J22" s="1193">
        <v>0</v>
      </c>
      <c r="K22" s="1218"/>
      <c r="L22" s="2150"/>
      <c r="M22" s="1142"/>
      <c r="N22" s="1204"/>
      <c r="O22" s="2811"/>
      <c r="P22" s="1389"/>
      <c r="Q22" s="1336"/>
      <c r="R22" s="1164"/>
      <c r="S22" s="1165"/>
      <c r="T22" s="1390"/>
      <c r="U22" s="1389"/>
      <c r="V22" s="1391"/>
      <c r="W22" s="1392">
        <v>4</v>
      </c>
      <c r="X22" s="1389"/>
      <c r="Y22" s="1164"/>
      <c r="Z22" s="1165"/>
      <c r="AA22" s="1389"/>
      <c r="AB22" s="1164"/>
      <c r="AC22" s="1390"/>
    </row>
    <row r="23" spans="1:34" s="1078" customFormat="1" ht="30" customHeight="1">
      <c r="A23" s="1104" t="s">
        <v>2523</v>
      </c>
      <c r="B23" s="2242"/>
      <c r="C23" s="2111"/>
      <c r="D23" s="1210" t="s">
        <v>2524</v>
      </c>
      <c r="E23" s="1064">
        <v>0</v>
      </c>
      <c r="F23" s="1375"/>
      <c r="G23" s="1139">
        <f t="shared" ref="G23:G30" si="0">E23*X23</f>
        <v>0</v>
      </c>
      <c r="H23" s="1241">
        <v>0</v>
      </c>
      <c r="I23" s="1241">
        <v>0</v>
      </c>
      <c r="J23" s="1241">
        <v>0</v>
      </c>
      <c r="K23" s="1237"/>
      <c r="L23" s="2150"/>
      <c r="M23" s="1173"/>
      <c r="N23" s="1142"/>
      <c r="O23" s="2812"/>
      <c r="P23" s="1290"/>
      <c r="Q23" s="1379"/>
      <c r="R23" s="1323"/>
      <c r="S23" s="1315"/>
      <c r="T23" s="1247"/>
      <c r="U23" s="1290"/>
      <c r="V23" s="1379"/>
      <c r="W23" s="1247"/>
      <c r="X23" s="1245">
        <v>6</v>
      </c>
      <c r="Y23" s="1246"/>
      <c r="Z23" s="1393"/>
      <c r="AA23" s="1245"/>
      <c r="AB23" s="1395"/>
      <c r="AC23" s="1396"/>
      <c r="AD23" s="1106"/>
      <c r="AE23" s="1106"/>
      <c r="AF23" s="1106"/>
      <c r="AG23" s="1106"/>
      <c r="AH23" s="1106"/>
    </row>
    <row r="24" spans="1:34" s="1078" customFormat="1" ht="30" customHeight="1">
      <c r="A24" s="1104" t="s">
        <v>2525</v>
      </c>
      <c r="B24" s="1905">
        <v>34.9</v>
      </c>
      <c r="C24" s="1598" t="s">
        <v>2526</v>
      </c>
      <c r="D24" s="1215" t="s">
        <v>2527</v>
      </c>
      <c r="E24" s="1064">
        <v>0</v>
      </c>
      <c r="F24" s="1375"/>
      <c r="G24" s="1210">
        <f t="shared" si="0"/>
        <v>0</v>
      </c>
      <c r="H24" s="1241">
        <v>0</v>
      </c>
      <c r="I24" s="1241">
        <v>0</v>
      </c>
      <c r="J24" s="1241">
        <v>0</v>
      </c>
      <c r="K24" s="1238"/>
      <c r="L24" s="2150"/>
      <c r="M24" s="1173"/>
      <c r="N24" s="1142"/>
      <c r="O24" s="1857">
        <v>34.9</v>
      </c>
      <c r="P24" s="1160"/>
      <c r="Q24" s="1335"/>
      <c r="R24" s="1161"/>
      <c r="S24" s="1309"/>
      <c r="T24" s="1162"/>
      <c r="U24" s="1160"/>
      <c r="V24" s="1380"/>
      <c r="W24" s="1381"/>
      <c r="X24" s="1160">
        <v>10</v>
      </c>
      <c r="Y24" s="1161"/>
      <c r="Z24" s="1309"/>
      <c r="AA24" s="1160"/>
      <c r="AB24" s="1161"/>
      <c r="AC24" s="1162"/>
      <c r="AD24" s="1106"/>
      <c r="AE24" s="1106"/>
      <c r="AF24" s="1106"/>
      <c r="AG24" s="1106"/>
      <c r="AH24" s="1106"/>
    </row>
    <row r="25" spans="1:34" s="1078" customFormat="1" ht="30" customHeight="1">
      <c r="A25" s="1104" t="s">
        <v>2528</v>
      </c>
      <c r="B25" s="2248">
        <v>34.1</v>
      </c>
      <c r="C25" s="2109" t="s">
        <v>98</v>
      </c>
      <c r="D25" s="1210" t="s">
        <v>2529</v>
      </c>
      <c r="E25" s="1064">
        <v>0</v>
      </c>
      <c r="F25" s="1192"/>
      <c r="G25" s="1210">
        <f t="shared" si="0"/>
        <v>0</v>
      </c>
      <c r="H25" s="1241">
        <v>0</v>
      </c>
      <c r="I25" s="1241">
        <v>0</v>
      </c>
      <c r="J25" s="1241">
        <v>0</v>
      </c>
      <c r="K25" s="1238"/>
      <c r="L25" s="2150"/>
      <c r="M25" s="1173"/>
      <c r="N25" s="1142"/>
      <c r="O25" s="2813">
        <v>34.1</v>
      </c>
      <c r="P25" s="1858"/>
      <c r="Q25" s="1383"/>
      <c r="R25" s="1384"/>
      <c r="S25" s="1385"/>
      <c r="T25" s="1386"/>
      <c r="U25" s="1382"/>
      <c r="V25" s="1387"/>
      <c r="W25" s="1388"/>
      <c r="X25" s="1382">
        <v>4</v>
      </c>
      <c r="Y25" s="1384"/>
      <c r="Z25" s="1385"/>
      <c r="AA25" s="1382"/>
      <c r="AB25" s="1384"/>
      <c r="AC25" s="1386"/>
      <c r="AD25" s="1106"/>
      <c r="AE25" s="1106"/>
      <c r="AF25" s="1106"/>
      <c r="AG25" s="1106"/>
      <c r="AH25" s="1106"/>
    </row>
    <row r="26" spans="1:34" s="1078" customFormat="1" ht="30" customHeight="1">
      <c r="A26" s="1104" t="s">
        <v>2530</v>
      </c>
      <c r="B26" s="2249"/>
      <c r="C26" s="2110"/>
      <c r="D26" s="1210" t="s">
        <v>2531</v>
      </c>
      <c r="E26" s="1064">
        <v>0</v>
      </c>
      <c r="F26" s="1192"/>
      <c r="G26" s="1210">
        <f t="shared" si="0"/>
        <v>0</v>
      </c>
      <c r="H26" s="1241">
        <v>0</v>
      </c>
      <c r="I26" s="1241">
        <v>0</v>
      </c>
      <c r="J26" s="1241">
        <v>0</v>
      </c>
      <c r="K26" s="1238"/>
      <c r="L26" s="2150"/>
      <c r="M26" s="1173"/>
      <c r="N26" s="1142"/>
      <c r="O26" s="2814"/>
      <c r="P26" s="1860"/>
      <c r="Q26" s="1336"/>
      <c r="R26" s="1164"/>
      <c r="S26" s="1165"/>
      <c r="T26" s="1390"/>
      <c r="U26" s="1389"/>
      <c r="V26" s="1391"/>
      <c r="W26" s="1392"/>
      <c r="X26" s="1389">
        <v>8</v>
      </c>
      <c r="Y26" s="1164"/>
      <c r="Z26" s="1165"/>
      <c r="AA26" s="1389"/>
      <c r="AB26" s="1164"/>
      <c r="AC26" s="1390"/>
      <c r="AD26" s="1106"/>
      <c r="AE26" s="1106"/>
      <c r="AF26" s="1106"/>
      <c r="AG26" s="1106"/>
      <c r="AH26" s="1106"/>
    </row>
    <row r="27" spans="1:34" s="1078" customFormat="1" ht="55.2">
      <c r="A27" s="1104" t="s">
        <v>2532</v>
      </c>
      <c r="B27" s="2250"/>
      <c r="C27" s="2111"/>
      <c r="D27" s="1210" t="s">
        <v>2533</v>
      </c>
      <c r="E27" s="1064">
        <v>0</v>
      </c>
      <c r="F27" s="1192"/>
      <c r="G27" s="1210">
        <f t="shared" si="0"/>
        <v>0</v>
      </c>
      <c r="H27" s="1241">
        <v>0</v>
      </c>
      <c r="I27" s="1241">
        <v>0</v>
      </c>
      <c r="J27" s="1241">
        <v>0</v>
      </c>
      <c r="K27" s="1238"/>
      <c r="L27" s="2150"/>
      <c r="M27" s="1173"/>
      <c r="N27" s="1142"/>
      <c r="O27" s="2815"/>
      <c r="P27" s="1861"/>
      <c r="Q27" s="1838"/>
      <c r="R27" s="1413"/>
      <c r="S27" s="1417"/>
      <c r="T27" s="1345"/>
      <c r="U27" s="1412"/>
      <c r="V27" s="1414"/>
      <c r="W27" s="1415"/>
      <c r="X27" s="1412">
        <v>12</v>
      </c>
      <c r="Y27" s="1413"/>
      <c r="Z27" s="1417"/>
      <c r="AA27" s="1412"/>
      <c r="AB27" s="1413"/>
      <c r="AC27" s="1345"/>
      <c r="AD27" s="1106"/>
      <c r="AE27" s="1106"/>
      <c r="AF27" s="1106"/>
      <c r="AG27" s="1106"/>
      <c r="AH27" s="1106"/>
    </row>
    <row r="28" spans="1:34" s="1078" customFormat="1" ht="30" customHeight="1">
      <c r="A28" s="1104" t="s">
        <v>2534</v>
      </c>
      <c r="B28" s="1908">
        <v>34.11</v>
      </c>
      <c r="C28" s="351" t="s">
        <v>2535</v>
      </c>
      <c r="D28" s="1210" t="s">
        <v>1887</v>
      </c>
      <c r="E28" s="1064">
        <v>0</v>
      </c>
      <c r="F28" s="1192"/>
      <c r="G28" s="1210">
        <f t="shared" si="0"/>
        <v>0</v>
      </c>
      <c r="H28" s="1241">
        <v>0</v>
      </c>
      <c r="I28" s="1241">
        <v>0</v>
      </c>
      <c r="J28" s="1241">
        <v>0</v>
      </c>
      <c r="K28" s="1238"/>
      <c r="L28" s="2150"/>
      <c r="M28" s="1173"/>
      <c r="N28" s="1142"/>
      <c r="O28" s="1862">
        <v>34.11</v>
      </c>
      <c r="P28" s="1150"/>
      <c r="Q28" s="1227"/>
      <c r="R28" s="1151"/>
      <c r="S28" s="1293"/>
      <c r="T28" s="1152"/>
      <c r="U28" s="1150"/>
      <c r="V28" s="1228"/>
      <c r="W28" s="1153"/>
      <c r="X28" s="1150">
        <v>2</v>
      </c>
      <c r="Y28" s="1151"/>
      <c r="Z28" s="1293"/>
      <c r="AA28" s="1150"/>
      <c r="AB28" s="1151"/>
      <c r="AC28" s="1152"/>
      <c r="AD28" s="1106"/>
      <c r="AE28" s="1106"/>
      <c r="AF28" s="1106"/>
      <c r="AG28" s="1106"/>
      <c r="AH28" s="1106"/>
    </row>
    <row r="29" spans="1:34" s="1078" customFormat="1" ht="30" customHeight="1">
      <c r="A29" s="1104" t="s">
        <v>2536</v>
      </c>
      <c r="B29" s="1907">
        <v>34.119999999999997</v>
      </c>
      <c r="C29" s="1326" t="s">
        <v>24</v>
      </c>
      <c r="D29" s="1215" t="s">
        <v>2521</v>
      </c>
      <c r="E29" s="1064">
        <v>0</v>
      </c>
      <c r="F29" s="1192"/>
      <c r="G29" s="1210">
        <f t="shared" si="0"/>
        <v>0</v>
      </c>
      <c r="H29" s="1241">
        <v>0</v>
      </c>
      <c r="I29" s="1241">
        <v>0</v>
      </c>
      <c r="J29" s="1241">
        <v>0</v>
      </c>
      <c r="K29" s="1237"/>
      <c r="L29" s="2150"/>
      <c r="M29" s="1173"/>
      <c r="N29" s="1142"/>
      <c r="O29" s="1862">
        <v>34.119999999999997</v>
      </c>
      <c r="P29" s="1290"/>
      <c r="Q29" s="1379"/>
      <c r="R29" s="1323"/>
      <c r="S29" s="1315"/>
      <c r="T29" s="1247"/>
      <c r="U29" s="1290"/>
      <c r="V29" s="1379"/>
      <c r="W29" s="1247"/>
      <c r="X29" s="1245">
        <v>6</v>
      </c>
      <c r="Y29" s="1246"/>
      <c r="Z29" s="1393"/>
      <c r="AA29" s="1245"/>
      <c r="AB29" s="1395"/>
      <c r="AC29" s="1396"/>
      <c r="AD29" s="1106"/>
      <c r="AE29" s="1106"/>
      <c r="AF29" s="1106"/>
      <c r="AG29" s="1106"/>
      <c r="AH29" s="1106"/>
    </row>
    <row r="30" spans="1:34" s="1078" customFormat="1" ht="30" customHeight="1">
      <c r="A30" s="1104" t="s">
        <v>2537</v>
      </c>
      <c r="B30" s="1908">
        <v>34.130000000000003</v>
      </c>
      <c r="C30" s="351" t="s">
        <v>358</v>
      </c>
      <c r="D30" s="1215" t="s">
        <v>2538</v>
      </c>
      <c r="E30" s="1064">
        <v>0</v>
      </c>
      <c r="F30" s="1192"/>
      <c r="G30" s="1210">
        <f t="shared" si="0"/>
        <v>0</v>
      </c>
      <c r="H30" s="1241">
        <v>0</v>
      </c>
      <c r="I30" s="1241">
        <v>0</v>
      </c>
      <c r="J30" s="1241">
        <v>0</v>
      </c>
      <c r="K30" s="1237"/>
      <c r="L30" s="2150"/>
      <c r="M30" s="1173"/>
      <c r="N30" s="1142"/>
      <c r="O30" s="1859">
        <v>34.130000000000003</v>
      </c>
      <c r="P30" s="1290"/>
      <c r="Q30" s="1379"/>
      <c r="R30" s="1323"/>
      <c r="S30" s="1315"/>
      <c r="T30" s="1247"/>
      <c r="U30" s="1290"/>
      <c r="V30" s="1379"/>
      <c r="W30" s="1247"/>
      <c r="X30" s="1245">
        <v>2</v>
      </c>
      <c r="Y30" s="1246"/>
      <c r="Z30" s="1393"/>
      <c r="AA30" s="1245"/>
      <c r="AB30" s="1395"/>
      <c r="AC30" s="1396"/>
      <c r="AD30" s="1106"/>
      <c r="AE30" s="1106"/>
      <c r="AF30" s="1106"/>
      <c r="AG30" s="1106"/>
      <c r="AH30" s="1106"/>
    </row>
    <row r="31" spans="1:34" s="1078" customFormat="1" ht="30" customHeight="1">
      <c r="A31" s="1104" t="s">
        <v>2539</v>
      </c>
      <c r="B31" s="2248">
        <v>34.14</v>
      </c>
      <c r="C31" s="2109" t="s">
        <v>1656</v>
      </c>
      <c r="D31" s="1215" t="s">
        <v>2540</v>
      </c>
      <c r="E31" s="1193">
        <v>0</v>
      </c>
      <c r="F31" s="1863"/>
      <c r="G31" s="1615">
        <f>IF(E31=1,X31,0)</f>
        <v>0</v>
      </c>
      <c r="H31" s="1241">
        <v>0</v>
      </c>
      <c r="I31" s="1241">
        <v>0</v>
      </c>
      <c r="J31" s="1241">
        <v>0</v>
      </c>
      <c r="K31" s="1237"/>
      <c r="L31" s="2150"/>
      <c r="M31" s="1173"/>
      <c r="N31" s="1142"/>
      <c r="O31" s="2809">
        <v>34.14</v>
      </c>
      <c r="P31" s="1290"/>
      <c r="Q31" s="1379"/>
      <c r="R31" s="1323"/>
      <c r="S31" s="1315"/>
      <c r="T31" s="1247"/>
      <c r="U31" s="1290"/>
      <c r="V31" s="1379"/>
      <c r="W31" s="1247"/>
      <c r="X31" s="1245">
        <v>2</v>
      </c>
      <c r="Y31" s="1246"/>
      <c r="Z31" s="1393"/>
      <c r="AA31" s="1245"/>
      <c r="AB31" s="1395"/>
      <c r="AC31" s="1396"/>
      <c r="AD31" s="1106"/>
      <c r="AE31" s="1106"/>
      <c r="AF31" s="1106"/>
      <c r="AG31" s="1106"/>
      <c r="AH31" s="1106"/>
    </row>
    <row r="32" spans="1:34" s="1078" customFormat="1" ht="30" customHeight="1" thickBot="1">
      <c r="A32" s="1104" t="s">
        <v>2541</v>
      </c>
      <c r="B32" s="2816"/>
      <c r="C32" s="2808"/>
      <c r="D32" s="1071" t="s">
        <v>2542</v>
      </c>
      <c r="E32" s="1221">
        <v>0</v>
      </c>
      <c r="F32" s="1244"/>
      <c r="G32" s="1071">
        <f>E32*X32</f>
        <v>0</v>
      </c>
      <c r="H32" s="1196">
        <v>0</v>
      </c>
      <c r="I32" s="1196">
        <v>0</v>
      </c>
      <c r="J32" s="1196">
        <v>0</v>
      </c>
      <c r="K32" s="1219"/>
      <c r="L32" s="2218"/>
      <c r="M32" s="1173"/>
      <c r="N32" s="1142"/>
      <c r="O32" s="2809"/>
      <c r="P32" s="1864"/>
      <c r="Q32" s="1227"/>
      <c r="R32" s="1151"/>
      <c r="S32" s="1293"/>
      <c r="T32" s="1152"/>
      <c r="U32" s="1150"/>
      <c r="V32" s="1228"/>
      <c r="W32" s="1153"/>
      <c r="X32" s="1150">
        <v>6</v>
      </c>
      <c r="Y32" s="1151"/>
      <c r="Z32" s="1293"/>
      <c r="AA32" s="1150"/>
      <c r="AB32" s="1151"/>
      <c r="AC32" s="1152"/>
      <c r="AD32" s="1106"/>
      <c r="AE32" s="1106"/>
      <c r="AF32" s="1106"/>
      <c r="AG32" s="1106"/>
      <c r="AH32" s="1106"/>
    </row>
    <row r="33" spans="1:40" ht="19.2" customHeight="1" thickBot="1">
      <c r="B33" s="2246" t="s">
        <v>2564</v>
      </c>
      <c r="C33" s="2247"/>
      <c r="D33" s="2247"/>
      <c r="E33" s="2247"/>
      <c r="F33" s="2247"/>
      <c r="G33" s="1079">
        <f>SUM(G11:G32)</f>
        <v>0</v>
      </c>
      <c r="H33" s="1079">
        <f>SUM(H11:H32)</f>
        <v>0</v>
      </c>
      <c r="I33" s="1079">
        <f>SUM(I11:I32)</f>
        <v>0</v>
      </c>
      <c r="J33" s="1080">
        <f>SUM(J11:J32)</f>
        <v>0</v>
      </c>
      <c r="K33" s="1198"/>
      <c r="L33" s="2189"/>
      <c r="M33" s="1173"/>
      <c r="N33" s="1142"/>
      <c r="O33" s="1142"/>
      <c r="P33" s="1142"/>
      <c r="Q33" s="1207"/>
      <c r="R33" s="1207"/>
      <c r="S33" s="1207"/>
      <c r="T33" s="1207"/>
      <c r="U33" s="1207"/>
      <c r="V33" s="1144"/>
      <c r="W33" s="1144"/>
      <c r="X33" s="1144"/>
      <c r="Y33" s="1372"/>
      <c r="Z33" s="1372"/>
      <c r="AA33" s="1372"/>
      <c r="AB33" s="1373"/>
      <c r="AC33" s="1373"/>
    </row>
    <row r="34" spans="1:40" ht="30" customHeight="1">
      <c r="A34" s="1104" t="s">
        <v>2543</v>
      </c>
      <c r="B34" s="1134">
        <v>34.15</v>
      </c>
      <c r="C34" s="1189" t="s">
        <v>307</v>
      </c>
      <c r="D34" s="1070" t="s">
        <v>878</v>
      </c>
      <c r="E34" s="1629">
        <v>1</v>
      </c>
      <c r="F34" s="1347">
        <v>0.05</v>
      </c>
      <c r="G34" s="1578">
        <f t="shared" ref="G34:J35" si="1">IF($E34=0,0,ROUNDUP($F34*G$33,0))</f>
        <v>0</v>
      </c>
      <c r="H34" s="1578">
        <f t="shared" si="1"/>
        <v>0</v>
      </c>
      <c r="I34" s="1578">
        <f t="shared" si="1"/>
        <v>0</v>
      </c>
      <c r="J34" s="1062">
        <f t="shared" si="1"/>
        <v>0</v>
      </c>
      <c r="K34" s="1081"/>
      <c r="L34" s="2190"/>
      <c r="M34" s="1173"/>
      <c r="N34" s="1142"/>
      <c r="O34" s="1205">
        <v>34.15</v>
      </c>
      <c r="P34" s="1364"/>
      <c r="Q34" s="1228"/>
      <c r="R34" s="1206"/>
      <c r="S34" s="1314"/>
      <c r="T34" s="1153"/>
      <c r="U34" s="1154"/>
      <c r="V34" s="1228"/>
      <c r="W34" s="1153"/>
      <c r="X34" s="1150"/>
      <c r="Y34" s="1368"/>
      <c r="Z34" s="1369"/>
      <c r="AA34" s="1370"/>
      <c r="AB34" s="1369"/>
      <c r="AC34" s="1371"/>
    </row>
    <row r="35" spans="1:40" ht="30" customHeight="1" thickBot="1">
      <c r="A35" s="1104" t="s">
        <v>2544</v>
      </c>
      <c r="B35" s="1135">
        <v>34.159999999999997</v>
      </c>
      <c r="C35" s="1197" t="s">
        <v>169</v>
      </c>
      <c r="D35" s="1071" t="s">
        <v>878</v>
      </c>
      <c r="E35" s="1629">
        <v>1</v>
      </c>
      <c r="F35" s="1560">
        <v>0.05</v>
      </c>
      <c r="G35" s="1620">
        <f t="shared" si="1"/>
        <v>0</v>
      </c>
      <c r="H35" s="1620">
        <f t="shared" si="1"/>
        <v>0</v>
      </c>
      <c r="I35" s="1620">
        <f t="shared" si="1"/>
        <v>0</v>
      </c>
      <c r="J35" s="1617">
        <f t="shared" si="1"/>
        <v>0</v>
      </c>
      <c r="K35" s="1082"/>
      <c r="L35" s="2190"/>
      <c r="M35" s="1173"/>
      <c r="N35" s="1142"/>
      <c r="O35" s="1205">
        <v>34.159999999999997</v>
      </c>
      <c r="P35" s="1364"/>
      <c r="Q35" s="1228"/>
      <c r="R35" s="1206"/>
      <c r="S35" s="1314"/>
      <c r="T35" s="1153"/>
      <c r="U35" s="1154"/>
      <c r="V35" s="1228"/>
      <c r="W35" s="1153"/>
      <c r="X35" s="1150"/>
      <c r="Y35" s="1368"/>
      <c r="Z35" s="1369"/>
      <c r="AA35" s="1370"/>
      <c r="AB35" s="1368"/>
      <c r="AC35" s="1371"/>
    </row>
    <row r="36" spans="1:40" s="1076" customFormat="1" ht="20.100000000000001" customHeight="1" thickBot="1">
      <c r="A36" s="1077"/>
      <c r="B36" s="2183" t="s">
        <v>2563</v>
      </c>
      <c r="C36" s="2184"/>
      <c r="D36" s="2184"/>
      <c r="E36" s="2184"/>
      <c r="F36" s="2185"/>
      <c r="G36" s="1083">
        <f t="shared" ref="G36:I36" si="2">SUM(G33:G35)</f>
        <v>0</v>
      </c>
      <c r="H36" s="1083">
        <f t="shared" si="2"/>
        <v>0</v>
      </c>
      <c r="I36" s="1083">
        <f t="shared" si="2"/>
        <v>0</v>
      </c>
      <c r="J36" s="1083">
        <f>SUM(J33:J35)</f>
        <v>0</v>
      </c>
      <c r="K36" s="1199"/>
      <c r="L36" s="2191"/>
      <c r="M36" s="1142"/>
      <c r="N36" s="1142"/>
      <c r="O36" s="1142"/>
      <c r="P36" s="1142"/>
      <c r="Q36" s="1142"/>
      <c r="R36" s="1142"/>
      <c r="S36" s="1142"/>
      <c r="T36" s="1142"/>
      <c r="U36" s="1142"/>
      <c r="V36" s="1142"/>
      <c r="W36" s="1142"/>
      <c r="X36" s="1142"/>
      <c r="Y36" s="1203"/>
      <c r="Z36" s="1203"/>
      <c r="AA36" s="1203"/>
      <c r="AI36" s="1077"/>
      <c r="AJ36" s="1077"/>
      <c r="AK36" s="1077"/>
      <c r="AL36" s="1077"/>
      <c r="AM36" s="1077"/>
      <c r="AN36" s="1077"/>
    </row>
    <row r="37" spans="1:40" s="1076" customFormat="1">
      <c r="A37" s="1077"/>
      <c r="B37" s="1084"/>
      <c r="C37" s="1085"/>
      <c r="D37" s="1085"/>
      <c r="E37" s="1084"/>
      <c r="F37" s="1086"/>
      <c r="G37" s="1086"/>
      <c r="H37" s="1087"/>
      <c r="I37" s="1087"/>
      <c r="J37" s="1140" t="s">
        <v>1858</v>
      </c>
      <c r="K37" s="1077"/>
      <c r="L37" s="1077"/>
      <c r="M37" s="348"/>
      <c r="N37" s="348"/>
      <c r="O37" s="348"/>
      <c r="P37" s="348"/>
      <c r="Q37" s="348"/>
      <c r="R37" s="348"/>
      <c r="S37" s="348"/>
      <c r="T37" s="348"/>
      <c r="U37" s="348"/>
      <c r="V37" s="348"/>
      <c r="W37" s="348"/>
      <c r="X37" s="348"/>
      <c r="AI37" s="1077"/>
      <c r="AJ37" s="1077"/>
      <c r="AK37" s="1077"/>
      <c r="AL37" s="1077"/>
      <c r="AM37" s="1077"/>
      <c r="AN37" s="1077"/>
    </row>
  </sheetData>
  <sheetProtection algorithmName="SHA-512" hashValue="jPrpYFzj3MYvXEhbTckwhXlWCu8rcasBBmKxdYzHmWxgQNo3i7wtbNkEUYWBGAM19fmIZAM3llp7Kr99wWB1Fw==" saltValue="fjDaswleG0htEZ6y6O8FMQ==" spinCount="100000" sheet="1" formatCells="0" formatColumns="0" formatRows="0" insertColumns="0" insertRows="0"/>
  <mergeCells count="43">
    <mergeCell ref="B33:F33"/>
    <mergeCell ref="L33:L36"/>
    <mergeCell ref="B36:F36"/>
    <mergeCell ref="O16:O17"/>
    <mergeCell ref="B18:B19"/>
    <mergeCell ref="C18:C19"/>
    <mergeCell ref="O18:O19"/>
    <mergeCell ref="B21:B23"/>
    <mergeCell ref="C21:C23"/>
    <mergeCell ref="D21:D22"/>
    <mergeCell ref="O21:O23"/>
    <mergeCell ref="B25:B27"/>
    <mergeCell ref="C25:C27"/>
    <mergeCell ref="O25:O27"/>
    <mergeCell ref="B31:B32"/>
    <mergeCell ref="P9:T9"/>
    <mergeCell ref="U9:W9"/>
    <mergeCell ref="X9:Z9"/>
    <mergeCell ref="AA9:AC9"/>
    <mergeCell ref="O9:O10"/>
    <mergeCell ref="N9:N10"/>
    <mergeCell ref="B11:B12"/>
    <mergeCell ref="L11:L32"/>
    <mergeCell ref="O11:O12"/>
    <mergeCell ref="B16:B17"/>
    <mergeCell ref="C16:C17"/>
    <mergeCell ref="D16:D17"/>
    <mergeCell ref="C31:C32"/>
    <mergeCell ref="O31:O32"/>
    <mergeCell ref="B1:C3"/>
    <mergeCell ref="D1:J3"/>
    <mergeCell ref="L1:L3"/>
    <mergeCell ref="B4:C4"/>
    <mergeCell ref="D4:J4"/>
    <mergeCell ref="B5:C5"/>
    <mergeCell ref="D5:J5"/>
    <mergeCell ref="L5:L10"/>
    <mergeCell ref="B6:C6"/>
    <mergeCell ref="D6:J6"/>
    <mergeCell ref="B9:B10"/>
    <mergeCell ref="C9:C10"/>
    <mergeCell ref="D9:F9"/>
    <mergeCell ref="G9:J9"/>
  </mergeCells>
  <dataValidations count="6">
    <dataValidation type="whole" operator="greaterThanOrEqual" allowBlank="1" showInputMessage="1" showErrorMessage="1" error="Input a whole number greater than or equal to zero." sqref="E16:E17 E24" xr:uid="{820E21BF-2966-4636-8CF9-4B6E9087EB71}">
      <formula1>0</formula1>
    </dataValidation>
    <dataValidation type="whole" operator="greaterThanOrEqual" allowBlank="1" showInputMessage="1" showErrorMessage="1" error="Input a whole number greater or equal to zero." sqref="E21:E23 E19 E15 E25:E30 E32" xr:uid="{4E240433-3480-4A14-803D-4772BE22A2E7}">
      <formula1>0</formula1>
    </dataValidation>
    <dataValidation type="whole" allowBlank="1" showInputMessage="1" showErrorMessage="1" error="Enter 1 or 0._x000a_Yes=1_x000a_No=0" sqref="E34:E35 E11:E13 E31" xr:uid="{B6F6E219-C6D3-49A9-B58B-2F55A15133C3}">
      <formula1>0</formula1>
      <formula2>1</formula2>
    </dataValidation>
    <dataValidation type="list" allowBlank="1" showInputMessage="1" showErrorMessage="1" promptTitle="Complexity" prompt="What is the estimated complexity of the General Notes/Pay Item Notes Sheet?" sqref="F13" xr:uid="{3FC5BD5B-C6D2-4B2C-9482-7CE45E9E5EA9}">
      <formula1>$U$10:$W$10</formula1>
    </dataValidation>
    <dataValidation type="list" allowBlank="1" showInputMessage="1" showErrorMessage="1" promptTitle="Complexity" prompt="What is the estimated complexity of the ITS &amp; Communication Plan Sheet?" sqref="F18" xr:uid="{3EADFC5F-0510-48A7-B118-C36A23AAF8AA}">
      <formula1>$Q$10:$S$10</formula1>
    </dataValidation>
    <dataValidation type="whole" operator="greaterThanOrEqual" allowBlank="1" showInputMessage="1" showErrorMessage="1" error="Input a positive whole number." sqref="E14 E18 E20" xr:uid="{5F761FFC-721D-4C3F-AAD4-8CEBEA718922}">
      <formula1>0</formula1>
    </dataValidation>
  </dataValidations>
  <hyperlinks>
    <hyperlink ref="L4" r:id="rId1" display="Video Tutorial - A short webinar for the Drainage Plans tab" xr:uid="{1A31CD5B-6B44-4D5E-966A-F20885A90BD4}"/>
  </hyperlinks>
  <pageMargins left="0.7" right="0.7" top="0.75" bottom="0.75" header="0.3" footer="0.3"/>
  <pageSetup scale="47" fitToHeight="0" orientation="landscape" r:id="rId2"/>
  <legacyDrawing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7"/>
  <dimension ref="A1:N19"/>
  <sheetViews>
    <sheetView showGridLines="0" zoomScaleNormal="100" zoomScaleSheetLayoutView="100" workbookViewId="0"/>
  </sheetViews>
  <sheetFormatPr defaultColWidth="9.109375" defaultRowHeight="13.2"/>
  <cols>
    <col min="1" max="1" width="118.33203125" style="574" customWidth="1"/>
    <col min="2" max="16384" width="9.109375" style="566"/>
  </cols>
  <sheetData>
    <row r="1" spans="1:14" s="600" customFormat="1" ht="20.100000000000001" customHeight="1">
      <c r="A1" s="607" t="s">
        <v>1382</v>
      </c>
    </row>
    <row r="2" spans="1:14" s="600" customFormat="1" ht="20.100000000000001" customHeight="1">
      <c r="A2" s="601"/>
      <c r="N2" s="600" t="s">
        <v>400</v>
      </c>
    </row>
    <row r="3" spans="1:14" ht="84" customHeight="1">
      <c r="A3" s="567" t="s">
        <v>1383</v>
      </c>
    </row>
    <row r="4" spans="1:14">
      <c r="A4" s="567"/>
    </row>
    <row r="5" spans="1:14" s="568" customFormat="1">
      <c r="A5" s="567" t="s">
        <v>1384</v>
      </c>
    </row>
    <row r="6" spans="1:14" s="568" customFormat="1" ht="12.75" customHeight="1">
      <c r="A6" s="569" t="s">
        <v>1385</v>
      </c>
    </row>
    <row r="7" spans="1:14" s="568" customFormat="1">
      <c r="A7" s="569" t="s">
        <v>1386</v>
      </c>
      <c r="C7" s="570"/>
    </row>
    <row r="8" spans="1:14" s="568" customFormat="1">
      <c r="A8" s="571" t="s">
        <v>1387</v>
      </c>
      <c r="C8" s="570"/>
    </row>
    <row r="9" spans="1:14">
      <c r="A9" s="572"/>
      <c r="C9" s="573"/>
    </row>
    <row r="10" spans="1:14" ht="92.4">
      <c r="A10" s="574" t="s">
        <v>1388</v>
      </c>
    </row>
    <row r="12" spans="1:14" ht="72" customHeight="1">
      <c r="A12" s="574" t="s">
        <v>1389</v>
      </c>
    </row>
    <row r="14" spans="1:14" ht="92.4">
      <c r="A14" s="574" t="s">
        <v>1390</v>
      </c>
    </row>
    <row r="16" spans="1:14" ht="60.75" customHeight="1">
      <c r="A16" s="575" t="s">
        <v>1391</v>
      </c>
    </row>
    <row r="18" spans="1:1" ht="83.25" customHeight="1">
      <c r="A18" s="574" t="s">
        <v>1392</v>
      </c>
    </row>
    <row r="19" spans="1:1" ht="34.5" customHeight="1">
      <c r="A19" s="574" t="s">
        <v>1393</v>
      </c>
    </row>
  </sheetData>
  <pageMargins left="0.5" right="0.5" top="1" bottom="1" header="0.5" footer="0.34"/>
  <pageSetup orientation="landscape" r:id="rId1"/>
  <headerFooter alignWithMargins="0">
    <oddHeader>&amp;C&amp;"Arial,Bold"&amp;14&amp;U&amp;A</oddHeader>
    <oddFooter>&amp;L&amp;F
&amp;A&amp;CPage &amp;P of &amp;N&amp;R&amp;D</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8">
    <pageSetUpPr autoPageBreaks="0" fitToPage="1"/>
  </sheetPr>
  <dimension ref="A1:I84"/>
  <sheetViews>
    <sheetView showGridLines="0" showRuler="0" zoomScaleNormal="100" zoomScaleSheetLayoutView="100" workbookViewId="0"/>
  </sheetViews>
  <sheetFormatPr defaultColWidth="9.109375" defaultRowHeight="13.2"/>
  <cols>
    <col min="1" max="1" width="7" style="3" customWidth="1"/>
    <col min="2" max="2" width="50.6640625" style="565" customWidth="1"/>
    <col min="3" max="3" width="13.88671875" style="356" customWidth="1"/>
    <col min="4" max="6" width="12.6640625" style="3" customWidth="1"/>
    <col min="7" max="7" width="57.109375" style="3" customWidth="1"/>
    <col min="8" max="8" width="21.44140625" style="3" customWidth="1"/>
    <col min="9" max="9" width="12.6640625" style="3" customWidth="1"/>
    <col min="10" max="16384" width="9.109375" style="3"/>
  </cols>
  <sheetData>
    <row r="1" spans="1:9" s="288" customFormat="1" ht="20.100000000000001" customHeight="1">
      <c r="A1" s="362" t="s">
        <v>592</v>
      </c>
      <c r="B1" s="599"/>
      <c r="C1" s="430"/>
      <c r="D1" s="422"/>
      <c r="E1" s="422"/>
      <c r="F1" s="422"/>
      <c r="G1" s="422"/>
      <c r="I1" s="897" t="str">
        <f>'Project Information'!$B$3</f>
        <v>Enter project name &amp; description</v>
      </c>
    </row>
    <row r="2" spans="1:9" s="288" customFormat="1" ht="20.100000000000001" customHeight="1">
      <c r="A2" s="423"/>
      <c r="B2" s="599"/>
      <c r="C2" s="430"/>
      <c r="D2" s="422"/>
      <c r="E2" s="422"/>
      <c r="F2" s="422"/>
      <c r="G2" s="422"/>
      <c r="I2" s="897" t="str">
        <f>'Project Information'!$B$1</f>
        <v>999999-1-32-01</v>
      </c>
    </row>
    <row r="3" spans="1:9" s="225" customFormat="1" ht="14.4" thickBot="1">
      <c r="A3" s="395"/>
      <c r="B3" s="270"/>
    </row>
    <row r="4" spans="1:9" s="225" customFormat="1" ht="28.5" customHeight="1" thickBot="1">
      <c r="A4" s="2086" t="s">
        <v>1396</v>
      </c>
      <c r="B4" s="2087"/>
      <c r="C4" s="2088" t="s">
        <v>1397</v>
      </c>
      <c r="D4" s="2088"/>
      <c r="E4" s="2088"/>
      <c r="F4" s="2088"/>
      <c r="G4" s="2339" t="s">
        <v>1398</v>
      </c>
      <c r="H4" s="2340"/>
      <c r="I4" s="2341"/>
    </row>
    <row r="5" spans="1:9" s="225" customFormat="1" ht="28.5" customHeight="1">
      <c r="A5" s="2089" t="s">
        <v>1400</v>
      </c>
      <c r="B5" s="2090"/>
      <c r="C5" s="2091"/>
      <c r="D5" s="2091"/>
      <c r="E5" s="2091"/>
      <c r="F5" s="2091"/>
      <c r="G5" s="2342"/>
      <c r="H5" s="2343"/>
      <c r="I5" s="2344"/>
    </row>
    <row r="6" spans="1:9" s="225" customFormat="1" ht="28.5" customHeight="1" thickBot="1">
      <c r="A6" s="2083" t="s">
        <v>1399</v>
      </c>
      <c r="B6" s="2084"/>
      <c r="C6" s="2085"/>
      <c r="D6" s="2085"/>
      <c r="E6" s="2085"/>
      <c r="F6" s="2085"/>
      <c r="G6" s="2329"/>
      <c r="H6" s="2330"/>
      <c r="I6" s="2331"/>
    </row>
    <row r="7" spans="1:9" s="225" customFormat="1" ht="15.6">
      <c r="A7" s="898" t="s">
        <v>1430</v>
      </c>
      <c r="B7" s="270"/>
    </row>
    <row r="8" spans="1:9" s="225" customFormat="1" ht="15" customHeight="1" thickBot="1">
      <c r="A8" s="898"/>
      <c r="B8" s="270"/>
    </row>
    <row r="9" spans="1:9" ht="48" customHeight="1" thickBot="1">
      <c r="A9" s="318" t="s">
        <v>79</v>
      </c>
      <c r="B9" s="299" t="s">
        <v>190</v>
      </c>
      <c r="C9" s="266" t="s">
        <v>87</v>
      </c>
      <c r="D9" s="266" t="s">
        <v>101</v>
      </c>
      <c r="E9" s="266" t="s">
        <v>706</v>
      </c>
      <c r="F9" s="266" t="s">
        <v>102</v>
      </c>
      <c r="G9" s="2337" t="s">
        <v>164</v>
      </c>
      <c r="H9" s="2487"/>
      <c r="I9" s="2488"/>
    </row>
    <row r="10" spans="1:9" ht="20.100000000000001" customHeight="1">
      <c r="A10" s="894"/>
      <c r="B10" s="895" t="s">
        <v>308</v>
      </c>
      <c r="C10" s="895"/>
      <c r="D10" s="895"/>
      <c r="E10" s="895"/>
      <c r="F10" s="895"/>
      <c r="G10" s="2337"/>
      <c r="H10" s="2487"/>
      <c r="I10" s="2488"/>
    </row>
    <row r="11" spans="1:9" ht="30" customHeight="1">
      <c r="A11" s="893">
        <v>35.1</v>
      </c>
      <c r="B11" s="302" t="s">
        <v>356</v>
      </c>
      <c r="C11" s="273" t="s">
        <v>85</v>
      </c>
      <c r="D11" s="222">
        <v>1</v>
      </c>
      <c r="E11" s="962">
        <v>0</v>
      </c>
      <c r="F11" s="222">
        <f>ROUND(D11*E11,0)</f>
        <v>0</v>
      </c>
      <c r="G11" s="2332"/>
      <c r="H11" s="2333"/>
      <c r="I11" s="2334"/>
    </row>
    <row r="12" spans="1:9" ht="30" customHeight="1">
      <c r="A12" s="893">
        <v>35.200000000000003</v>
      </c>
      <c r="B12" s="302" t="s">
        <v>267</v>
      </c>
      <c r="C12" s="273" t="s">
        <v>85</v>
      </c>
      <c r="D12" s="219">
        <v>1</v>
      </c>
      <c r="E12" s="962">
        <v>0</v>
      </c>
      <c r="F12" s="222">
        <f t="shared" ref="F12:F36" si="0">ROUND((E12*D12),0)</f>
        <v>0</v>
      </c>
      <c r="G12" s="2332"/>
      <c r="H12" s="2333"/>
      <c r="I12" s="2334"/>
    </row>
    <row r="13" spans="1:9" ht="30" customHeight="1">
      <c r="A13" s="893">
        <v>35.299999999999997</v>
      </c>
      <c r="B13" s="302" t="s">
        <v>25</v>
      </c>
      <c r="C13" s="273" t="s">
        <v>26</v>
      </c>
      <c r="D13" s="962">
        <v>0</v>
      </c>
      <c r="E13" s="962">
        <v>0</v>
      </c>
      <c r="F13" s="222">
        <f t="shared" si="0"/>
        <v>0</v>
      </c>
      <c r="G13" s="2332"/>
      <c r="H13" s="2333"/>
      <c r="I13" s="2334"/>
    </row>
    <row r="14" spans="1:9" ht="30" customHeight="1">
      <c r="A14" s="893">
        <v>35.4</v>
      </c>
      <c r="B14" s="302" t="s">
        <v>1445</v>
      </c>
      <c r="C14" s="273" t="s">
        <v>1446</v>
      </c>
      <c r="D14" s="962">
        <v>0</v>
      </c>
      <c r="E14" s="962">
        <v>0</v>
      </c>
      <c r="F14" s="219">
        <f t="shared" si="0"/>
        <v>0</v>
      </c>
      <c r="G14" s="2332"/>
      <c r="H14" s="2333"/>
      <c r="I14" s="2334"/>
    </row>
    <row r="15" spans="1:9" ht="30" customHeight="1">
      <c r="A15" s="914" t="s">
        <v>1546</v>
      </c>
      <c r="B15" s="302" t="s">
        <v>268</v>
      </c>
      <c r="C15" s="273" t="s">
        <v>141</v>
      </c>
      <c r="D15" s="962">
        <v>0</v>
      </c>
      <c r="E15" s="962">
        <v>0</v>
      </c>
      <c r="F15" s="222">
        <f t="shared" si="0"/>
        <v>0</v>
      </c>
      <c r="G15" s="2332"/>
      <c r="H15" s="2333"/>
      <c r="I15" s="2334"/>
    </row>
    <row r="16" spans="1:9" ht="30" customHeight="1">
      <c r="A16" s="914" t="s">
        <v>1547</v>
      </c>
      <c r="B16" s="302" t="s">
        <v>27</v>
      </c>
      <c r="C16" s="273" t="s">
        <v>309</v>
      </c>
      <c r="D16" s="962">
        <v>0</v>
      </c>
      <c r="E16" s="962">
        <v>0</v>
      </c>
      <c r="F16" s="222">
        <f t="shared" si="0"/>
        <v>0</v>
      </c>
      <c r="G16" s="2332"/>
      <c r="H16" s="2333"/>
      <c r="I16" s="2334"/>
    </row>
    <row r="17" spans="1:9" ht="30" customHeight="1">
      <c r="A17" s="914" t="s">
        <v>1548</v>
      </c>
      <c r="B17" s="302" t="s">
        <v>28</v>
      </c>
      <c r="C17" s="273" t="s">
        <v>141</v>
      </c>
      <c r="D17" s="962">
        <v>0</v>
      </c>
      <c r="E17" s="962">
        <v>0</v>
      </c>
      <c r="F17" s="222">
        <f t="shared" si="0"/>
        <v>0</v>
      </c>
      <c r="G17" s="2332"/>
      <c r="H17" s="2333"/>
      <c r="I17" s="2334"/>
    </row>
    <row r="18" spans="1:9" ht="30" customHeight="1">
      <c r="A18" s="914" t="s">
        <v>1549</v>
      </c>
      <c r="B18" s="302" t="s">
        <v>29</v>
      </c>
      <c r="C18" s="273" t="s">
        <v>141</v>
      </c>
      <c r="D18" s="962">
        <v>0</v>
      </c>
      <c r="E18" s="962">
        <v>0</v>
      </c>
      <c r="F18" s="222">
        <f t="shared" si="0"/>
        <v>0</v>
      </c>
      <c r="G18" s="2332"/>
      <c r="H18" s="2333"/>
      <c r="I18" s="2334"/>
    </row>
    <row r="19" spans="1:9" ht="30" customHeight="1">
      <c r="A19" s="914" t="s">
        <v>1550</v>
      </c>
      <c r="B19" s="302" t="s">
        <v>9</v>
      </c>
      <c r="C19" s="273" t="s">
        <v>141</v>
      </c>
      <c r="D19" s="962">
        <v>0</v>
      </c>
      <c r="E19" s="962">
        <v>0</v>
      </c>
      <c r="F19" s="222">
        <f t="shared" si="0"/>
        <v>0</v>
      </c>
      <c r="G19" s="2332"/>
      <c r="H19" s="2333"/>
      <c r="I19" s="2334"/>
    </row>
    <row r="20" spans="1:9" ht="30" customHeight="1">
      <c r="A20" s="914" t="s">
        <v>1551</v>
      </c>
      <c r="B20" s="302" t="s">
        <v>30</v>
      </c>
      <c r="C20" s="273" t="s">
        <v>31</v>
      </c>
      <c r="D20" s="962">
        <v>0</v>
      </c>
      <c r="E20" s="962">
        <v>0</v>
      </c>
      <c r="F20" s="222">
        <f t="shared" si="0"/>
        <v>0</v>
      </c>
      <c r="G20" s="2332"/>
      <c r="H20" s="2333"/>
      <c r="I20" s="2334"/>
    </row>
    <row r="21" spans="1:9" ht="30" customHeight="1">
      <c r="A21" s="914" t="s">
        <v>1552</v>
      </c>
      <c r="B21" s="302" t="s">
        <v>32</v>
      </c>
      <c r="C21" s="273" t="s">
        <v>31</v>
      </c>
      <c r="D21" s="962">
        <v>0</v>
      </c>
      <c r="E21" s="962">
        <v>0</v>
      </c>
      <c r="F21" s="222">
        <f t="shared" si="0"/>
        <v>0</v>
      </c>
      <c r="G21" s="2332"/>
      <c r="H21" s="2333"/>
      <c r="I21" s="2334"/>
    </row>
    <row r="22" spans="1:9" ht="30" customHeight="1">
      <c r="A22" s="914" t="s">
        <v>1553</v>
      </c>
      <c r="B22" s="302" t="s">
        <v>10</v>
      </c>
      <c r="C22" s="273" t="s">
        <v>85</v>
      </c>
      <c r="D22" s="219">
        <v>1</v>
      </c>
      <c r="E22" s="962">
        <v>0</v>
      </c>
      <c r="F22" s="222">
        <f t="shared" si="0"/>
        <v>0</v>
      </c>
      <c r="G22" s="2332" t="s">
        <v>1045</v>
      </c>
      <c r="H22" s="2333"/>
      <c r="I22" s="2334"/>
    </row>
    <row r="23" spans="1:9" ht="30" customHeight="1">
      <c r="A23" s="914" t="s">
        <v>1554</v>
      </c>
      <c r="B23" s="302" t="s">
        <v>11</v>
      </c>
      <c r="C23" s="273" t="s">
        <v>31</v>
      </c>
      <c r="D23" s="962">
        <v>0</v>
      </c>
      <c r="E23" s="962">
        <v>0</v>
      </c>
      <c r="F23" s="222">
        <f t="shared" si="0"/>
        <v>0</v>
      </c>
      <c r="G23" s="2332"/>
      <c r="H23" s="2333"/>
      <c r="I23" s="2334"/>
    </row>
    <row r="24" spans="1:9" ht="30" customHeight="1">
      <c r="A24" s="914" t="s">
        <v>1555</v>
      </c>
      <c r="B24" s="302" t="s">
        <v>12</v>
      </c>
      <c r="C24" s="273" t="s">
        <v>26</v>
      </c>
      <c r="D24" s="962">
        <v>0</v>
      </c>
      <c r="E24" s="962">
        <v>0</v>
      </c>
      <c r="F24" s="222">
        <f t="shared" si="0"/>
        <v>0</v>
      </c>
      <c r="G24" s="2332"/>
      <c r="H24" s="2333"/>
      <c r="I24" s="2334"/>
    </row>
    <row r="25" spans="1:9" ht="30" customHeight="1">
      <c r="A25" s="914" t="s">
        <v>1556</v>
      </c>
      <c r="B25" s="302" t="s">
        <v>13</v>
      </c>
      <c r="C25" s="273" t="s">
        <v>141</v>
      </c>
      <c r="D25" s="962">
        <v>0</v>
      </c>
      <c r="E25" s="962">
        <v>0</v>
      </c>
      <c r="F25" s="222">
        <f t="shared" si="0"/>
        <v>0</v>
      </c>
      <c r="G25" s="2332"/>
      <c r="H25" s="2333"/>
      <c r="I25" s="2334"/>
    </row>
    <row r="26" spans="1:9" ht="30" customHeight="1">
      <c r="A26" s="914" t="s">
        <v>1557</v>
      </c>
      <c r="B26" s="302" t="s">
        <v>269</v>
      </c>
      <c r="C26" s="273" t="s">
        <v>34</v>
      </c>
      <c r="D26" s="962">
        <v>0</v>
      </c>
      <c r="E26" s="962">
        <v>0</v>
      </c>
      <c r="F26" s="222">
        <f t="shared" si="0"/>
        <v>0</v>
      </c>
      <c r="G26" s="2332"/>
      <c r="H26" s="2333"/>
      <c r="I26" s="2334"/>
    </row>
    <row r="27" spans="1:9" ht="30" customHeight="1">
      <c r="A27" s="914" t="s">
        <v>1558</v>
      </c>
      <c r="B27" s="302" t="s">
        <v>14</v>
      </c>
      <c r="C27" s="273" t="s">
        <v>31</v>
      </c>
      <c r="D27" s="962">
        <v>0</v>
      </c>
      <c r="E27" s="962">
        <v>0</v>
      </c>
      <c r="F27" s="222">
        <f t="shared" si="0"/>
        <v>0</v>
      </c>
      <c r="G27" s="2332" t="s">
        <v>1158</v>
      </c>
      <c r="H27" s="2333"/>
      <c r="I27" s="2334"/>
    </row>
    <row r="28" spans="1:9" ht="30" customHeight="1">
      <c r="A28" s="914" t="s">
        <v>1559</v>
      </c>
      <c r="B28" s="302" t="s">
        <v>15</v>
      </c>
      <c r="C28" s="273" t="s">
        <v>35</v>
      </c>
      <c r="D28" s="962">
        <v>0</v>
      </c>
      <c r="E28" s="962">
        <v>0</v>
      </c>
      <c r="F28" s="222">
        <f t="shared" si="0"/>
        <v>0</v>
      </c>
      <c r="G28" s="2332"/>
      <c r="H28" s="2333"/>
      <c r="I28" s="2334"/>
    </row>
    <row r="29" spans="1:9" ht="30" customHeight="1">
      <c r="A29" s="914" t="s">
        <v>1447</v>
      </c>
      <c r="B29" s="265" t="s">
        <v>1598</v>
      </c>
      <c r="C29" s="315" t="s">
        <v>85</v>
      </c>
      <c r="D29" s="219">
        <v>1</v>
      </c>
      <c r="E29" s="962">
        <v>0</v>
      </c>
      <c r="F29" s="222">
        <f>ROUND((E29*D29),0)</f>
        <v>0</v>
      </c>
      <c r="G29" s="2332"/>
      <c r="H29" s="2333"/>
      <c r="I29" s="2334"/>
    </row>
    <row r="30" spans="1:9" ht="30" customHeight="1">
      <c r="A30" s="914" t="s">
        <v>1560</v>
      </c>
      <c r="B30" s="302" t="s">
        <v>36</v>
      </c>
      <c r="C30" s="273" t="s">
        <v>141</v>
      </c>
      <c r="D30" s="962">
        <v>0</v>
      </c>
      <c r="E30" s="962">
        <v>0</v>
      </c>
      <c r="F30" s="222">
        <f t="shared" si="0"/>
        <v>0</v>
      </c>
      <c r="G30" s="2332" t="s">
        <v>1159</v>
      </c>
      <c r="H30" s="2333"/>
      <c r="I30" s="2334"/>
    </row>
    <row r="31" spans="1:9" ht="30" customHeight="1">
      <c r="A31" s="914" t="s">
        <v>1561</v>
      </c>
      <c r="B31" s="302" t="s">
        <v>37</v>
      </c>
      <c r="C31" s="273" t="s">
        <v>85</v>
      </c>
      <c r="D31" s="219">
        <v>1</v>
      </c>
      <c r="E31" s="962">
        <v>0</v>
      </c>
      <c r="F31" s="222">
        <f t="shared" si="0"/>
        <v>0</v>
      </c>
      <c r="G31" s="2332"/>
      <c r="H31" s="2333"/>
      <c r="I31" s="2334"/>
    </row>
    <row r="32" spans="1:9" ht="30" customHeight="1">
      <c r="A32" s="914" t="s">
        <v>1562</v>
      </c>
      <c r="B32" s="302" t="s">
        <v>114</v>
      </c>
      <c r="C32" s="273" t="s">
        <v>85</v>
      </c>
      <c r="D32" s="219">
        <v>1</v>
      </c>
      <c r="E32" s="962">
        <v>0</v>
      </c>
      <c r="F32" s="222">
        <f>ROUND((E32*D32),0)</f>
        <v>0</v>
      </c>
      <c r="G32" s="2332"/>
      <c r="H32" s="2333"/>
      <c r="I32" s="2334"/>
    </row>
    <row r="33" spans="1:9" ht="30" customHeight="1">
      <c r="A33" s="914" t="s">
        <v>1563</v>
      </c>
      <c r="B33" s="302" t="s">
        <v>115</v>
      </c>
      <c r="C33" s="273" t="s">
        <v>85</v>
      </c>
      <c r="D33" s="222">
        <v>1</v>
      </c>
      <c r="E33" s="962">
        <v>0</v>
      </c>
      <c r="F33" s="222">
        <f>ROUND((E33*D33),0)</f>
        <v>0</v>
      </c>
      <c r="G33" s="2332"/>
      <c r="H33" s="2333"/>
      <c r="I33" s="2334"/>
    </row>
    <row r="34" spans="1:9" ht="30" customHeight="1">
      <c r="A34" s="914" t="s">
        <v>1564</v>
      </c>
      <c r="B34" s="302" t="s">
        <v>692</v>
      </c>
      <c r="C34" s="273" t="s">
        <v>141</v>
      </c>
      <c r="D34" s="962">
        <v>0</v>
      </c>
      <c r="E34" s="962">
        <v>0</v>
      </c>
      <c r="F34" s="222">
        <f>ROUND((E34*D34),0)</f>
        <v>0</v>
      </c>
      <c r="G34" s="2332"/>
      <c r="H34" s="2333"/>
      <c r="I34" s="2334"/>
    </row>
    <row r="35" spans="1:9" ht="30" customHeight="1">
      <c r="A35" s="914" t="s">
        <v>1565</v>
      </c>
      <c r="B35" s="302" t="s">
        <v>270</v>
      </c>
      <c r="C35" s="273" t="s">
        <v>38</v>
      </c>
      <c r="D35" s="962">
        <v>0</v>
      </c>
      <c r="E35" s="962">
        <v>0</v>
      </c>
      <c r="F35" s="222">
        <f t="shared" si="0"/>
        <v>0</v>
      </c>
      <c r="G35" s="2332"/>
      <c r="H35" s="2333"/>
      <c r="I35" s="2334"/>
    </row>
    <row r="36" spans="1:9" ht="30" customHeight="1" thickBot="1">
      <c r="A36" s="914" t="s">
        <v>1566</v>
      </c>
      <c r="B36" s="302" t="s">
        <v>271</v>
      </c>
      <c r="C36" s="273" t="s">
        <v>38</v>
      </c>
      <c r="D36" s="962">
        <v>0</v>
      </c>
      <c r="E36" s="962">
        <v>0</v>
      </c>
      <c r="F36" s="222">
        <f t="shared" si="0"/>
        <v>0</v>
      </c>
      <c r="G36" s="2332"/>
      <c r="H36" s="2333"/>
      <c r="I36" s="2334"/>
    </row>
    <row r="37" spans="1:9" ht="20.100000000000001" customHeight="1" thickBot="1">
      <c r="A37" s="2438" t="s">
        <v>445</v>
      </c>
      <c r="B37" s="2439"/>
      <c r="C37" s="2439"/>
      <c r="D37" s="2439"/>
      <c r="E37" s="2439"/>
      <c r="F37" s="247">
        <f>SUM(F11:F36)</f>
        <v>0</v>
      </c>
      <c r="G37" s="2337"/>
      <c r="H37" s="2487"/>
      <c r="I37" s="2488"/>
    </row>
    <row r="38" spans="1:9" ht="20.100000000000001" customHeight="1">
      <c r="A38" s="894"/>
      <c r="B38" s="895" t="s">
        <v>149</v>
      </c>
      <c r="C38" s="895"/>
      <c r="D38" s="895"/>
      <c r="E38" s="895"/>
      <c r="F38" s="896"/>
      <c r="G38" s="2337"/>
      <c r="H38" s="2487"/>
      <c r="I38" s="2488"/>
    </row>
    <row r="39" spans="1:9" ht="30" customHeight="1">
      <c r="A39" s="914" t="s">
        <v>1567</v>
      </c>
      <c r="B39" s="302" t="s">
        <v>267</v>
      </c>
      <c r="C39" s="273" t="s">
        <v>85</v>
      </c>
      <c r="D39" s="219">
        <v>1</v>
      </c>
      <c r="E39" s="962">
        <v>0</v>
      </c>
      <c r="F39" s="222">
        <f t="shared" ref="F39:F59" si="1">ROUND((E39*D39),0)</f>
        <v>0</v>
      </c>
      <c r="G39" s="2332"/>
      <c r="H39" s="2333"/>
      <c r="I39" s="2334"/>
    </row>
    <row r="40" spans="1:9" ht="30" customHeight="1">
      <c r="A40" s="914" t="s">
        <v>1568</v>
      </c>
      <c r="B40" s="302" t="s">
        <v>25</v>
      </c>
      <c r="C40" s="273" t="s">
        <v>26</v>
      </c>
      <c r="D40" s="962">
        <v>0</v>
      </c>
      <c r="E40" s="962">
        <v>0</v>
      </c>
      <c r="F40" s="222">
        <f t="shared" si="1"/>
        <v>0</v>
      </c>
      <c r="G40" s="2332"/>
      <c r="H40" s="2333"/>
      <c r="I40" s="2334"/>
    </row>
    <row r="41" spans="1:9" ht="30" customHeight="1">
      <c r="A41" s="914" t="s">
        <v>1569</v>
      </c>
      <c r="B41" s="302" t="s">
        <v>268</v>
      </c>
      <c r="C41" s="273" t="s">
        <v>141</v>
      </c>
      <c r="D41" s="962">
        <v>0</v>
      </c>
      <c r="E41" s="962">
        <v>0</v>
      </c>
      <c r="F41" s="222">
        <f t="shared" si="1"/>
        <v>0</v>
      </c>
      <c r="G41" s="2332"/>
      <c r="H41" s="2333"/>
      <c r="I41" s="2334"/>
    </row>
    <row r="42" spans="1:9" ht="30" customHeight="1">
      <c r="A42" s="914" t="s">
        <v>1570</v>
      </c>
      <c r="B42" s="302" t="s">
        <v>27</v>
      </c>
      <c r="C42" s="273" t="s">
        <v>309</v>
      </c>
      <c r="D42" s="962">
        <v>0</v>
      </c>
      <c r="E42" s="962">
        <v>0</v>
      </c>
      <c r="F42" s="222">
        <f t="shared" si="1"/>
        <v>0</v>
      </c>
      <c r="G42" s="2332"/>
      <c r="H42" s="2333"/>
      <c r="I42" s="2334"/>
    </row>
    <row r="43" spans="1:9" ht="30" customHeight="1">
      <c r="A43" s="914" t="s">
        <v>1571</v>
      </c>
      <c r="B43" s="302" t="s">
        <v>28</v>
      </c>
      <c r="C43" s="273" t="s">
        <v>141</v>
      </c>
      <c r="D43" s="962">
        <v>0</v>
      </c>
      <c r="E43" s="962">
        <v>0</v>
      </c>
      <c r="F43" s="222">
        <f t="shared" si="1"/>
        <v>0</v>
      </c>
      <c r="G43" s="2332"/>
      <c r="H43" s="2333"/>
      <c r="I43" s="2334"/>
    </row>
    <row r="44" spans="1:9" ht="30" customHeight="1">
      <c r="A44" s="914" t="s">
        <v>1572</v>
      </c>
      <c r="B44" s="302" t="s">
        <v>272</v>
      </c>
      <c r="C44" s="273" t="s">
        <v>141</v>
      </c>
      <c r="D44" s="962">
        <v>0</v>
      </c>
      <c r="E44" s="962">
        <v>0</v>
      </c>
      <c r="F44" s="222">
        <f>ROUND((E44*D44),0)</f>
        <v>0</v>
      </c>
      <c r="G44" s="2332"/>
      <c r="H44" s="2333"/>
      <c r="I44" s="2334"/>
    </row>
    <row r="45" spans="1:9" ht="30" customHeight="1">
      <c r="A45" s="914" t="s">
        <v>1573</v>
      </c>
      <c r="B45" s="302" t="s">
        <v>30</v>
      </c>
      <c r="C45" s="273" t="s">
        <v>31</v>
      </c>
      <c r="D45" s="962">
        <v>0</v>
      </c>
      <c r="E45" s="962">
        <v>0</v>
      </c>
      <c r="F45" s="222">
        <f t="shared" si="1"/>
        <v>0</v>
      </c>
      <c r="G45" s="2332"/>
      <c r="H45" s="2333"/>
      <c r="I45" s="2334"/>
    </row>
    <row r="46" spans="1:9" ht="30" customHeight="1">
      <c r="A46" s="914" t="s">
        <v>1574</v>
      </c>
      <c r="B46" s="302" t="s">
        <v>39</v>
      </c>
      <c r="C46" s="273" t="s">
        <v>31</v>
      </c>
      <c r="D46" s="962">
        <v>0</v>
      </c>
      <c r="E46" s="962">
        <v>0</v>
      </c>
      <c r="F46" s="222">
        <f t="shared" si="1"/>
        <v>0</v>
      </c>
      <c r="G46" s="2332"/>
      <c r="H46" s="2333"/>
      <c r="I46" s="2334"/>
    </row>
    <row r="47" spans="1:9" ht="30" customHeight="1">
      <c r="A47" s="914" t="s">
        <v>1575</v>
      </c>
      <c r="B47" s="302" t="s">
        <v>116</v>
      </c>
      <c r="C47" s="273" t="s">
        <v>31</v>
      </c>
      <c r="D47" s="962">
        <v>0</v>
      </c>
      <c r="E47" s="962">
        <v>0</v>
      </c>
      <c r="F47" s="222">
        <f t="shared" si="1"/>
        <v>0</v>
      </c>
      <c r="G47" s="2332"/>
      <c r="H47" s="2333"/>
      <c r="I47" s="2334"/>
    </row>
    <row r="48" spans="1:9" ht="30" customHeight="1">
      <c r="A48" s="914" t="s">
        <v>1576</v>
      </c>
      <c r="B48" s="302" t="s">
        <v>273</v>
      </c>
      <c r="C48" s="273" t="s">
        <v>141</v>
      </c>
      <c r="D48" s="962">
        <v>0</v>
      </c>
      <c r="E48" s="962">
        <v>0</v>
      </c>
      <c r="F48" s="222">
        <f t="shared" si="1"/>
        <v>0</v>
      </c>
      <c r="G48" s="2332"/>
      <c r="H48" s="2333"/>
      <c r="I48" s="2334"/>
    </row>
    <row r="49" spans="1:9" ht="30" customHeight="1">
      <c r="A49" s="914" t="s">
        <v>1577</v>
      </c>
      <c r="B49" s="302" t="s">
        <v>117</v>
      </c>
      <c r="C49" s="273" t="s">
        <v>40</v>
      </c>
      <c r="D49" s="962">
        <v>0</v>
      </c>
      <c r="E49" s="962">
        <v>0</v>
      </c>
      <c r="F49" s="222">
        <f t="shared" si="1"/>
        <v>0</v>
      </c>
      <c r="G49" s="2332"/>
      <c r="H49" s="2333"/>
      <c r="I49" s="2334"/>
    </row>
    <row r="50" spans="1:9" ht="30" customHeight="1">
      <c r="A50" s="914" t="s">
        <v>1578</v>
      </c>
      <c r="B50" s="302" t="s">
        <v>41</v>
      </c>
      <c r="C50" s="273" t="s">
        <v>40</v>
      </c>
      <c r="D50" s="962">
        <v>0</v>
      </c>
      <c r="E50" s="962">
        <v>0</v>
      </c>
      <c r="F50" s="222">
        <f t="shared" si="1"/>
        <v>0</v>
      </c>
      <c r="G50" s="2332" t="s">
        <v>1156</v>
      </c>
      <c r="H50" s="2333"/>
      <c r="I50" s="2334"/>
    </row>
    <row r="51" spans="1:9" ht="30" customHeight="1">
      <c r="A51" s="914" t="s">
        <v>1579</v>
      </c>
      <c r="B51" s="302" t="s">
        <v>310</v>
      </c>
      <c r="C51" s="273" t="s">
        <v>40</v>
      </c>
      <c r="D51" s="962">
        <v>0</v>
      </c>
      <c r="E51" s="962">
        <v>0</v>
      </c>
      <c r="F51" s="222">
        <f>ROUND((E51*D51),0)</f>
        <v>0</v>
      </c>
      <c r="G51" s="2332"/>
      <c r="H51" s="2333"/>
      <c r="I51" s="2334"/>
    </row>
    <row r="52" spans="1:9" ht="30" customHeight="1">
      <c r="A52" s="914" t="s">
        <v>1580</v>
      </c>
      <c r="B52" s="302" t="s">
        <v>118</v>
      </c>
      <c r="C52" s="273" t="s">
        <v>40</v>
      </c>
      <c r="D52" s="962">
        <v>0</v>
      </c>
      <c r="E52" s="962">
        <v>0</v>
      </c>
      <c r="F52" s="222">
        <f t="shared" si="1"/>
        <v>0</v>
      </c>
      <c r="G52" s="2332" t="s">
        <v>1157</v>
      </c>
      <c r="H52" s="2333"/>
      <c r="I52" s="2334"/>
    </row>
    <row r="53" spans="1:9" ht="30" customHeight="1">
      <c r="A53" s="914" t="s">
        <v>1581</v>
      </c>
      <c r="B53" s="302" t="s">
        <v>42</v>
      </c>
      <c r="C53" s="273" t="s">
        <v>43</v>
      </c>
      <c r="D53" s="962">
        <v>0</v>
      </c>
      <c r="E53" s="962">
        <v>0</v>
      </c>
      <c r="F53" s="222">
        <f t="shared" si="1"/>
        <v>0</v>
      </c>
      <c r="G53" s="2332"/>
      <c r="H53" s="2333"/>
      <c r="I53" s="2334"/>
    </row>
    <row r="54" spans="1:9" ht="30" customHeight="1">
      <c r="A54" s="914" t="s">
        <v>1582</v>
      </c>
      <c r="B54" s="302" t="s">
        <v>119</v>
      </c>
      <c r="C54" s="273" t="s">
        <v>43</v>
      </c>
      <c r="D54" s="962">
        <v>0</v>
      </c>
      <c r="E54" s="962">
        <v>0</v>
      </c>
      <c r="F54" s="222">
        <f t="shared" si="1"/>
        <v>0</v>
      </c>
      <c r="G54" s="2332" t="s">
        <v>1157</v>
      </c>
      <c r="H54" s="2333"/>
      <c r="I54" s="2334"/>
    </row>
    <row r="55" spans="1:9" ht="41.4">
      <c r="A55" s="914" t="s">
        <v>1583</v>
      </c>
      <c r="B55" s="302" t="s">
        <v>121</v>
      </c>
      <c r="C55" s="273" t="s">
        <v>26</v>
      </c>
      <c r="D55" s="962">
        <v>0</v>
      </c>
      <c r="E55" s="962">
        <v>0</v>
      </c>
      <c r="F55" s="222">
        <f t="shared" si="1"/>
        <v>0</v>
      </c>
      <c r="G55" s="2332"/>
      <c r="H55" s="2333"/>
      <c r="I55" s="2334"/>
    </row>
    <row r="56" spans="1:9" ht="30" customHeight="1">
      <c r="A56" s="914" t="s">
        <v>1584</v>
      </c>
      <c r="B56" s="302" t="s">
        <v>44</v>
      </c>
      <c r="C56" s="273" t="s">
        <v>141</v>
      </c>
      <c r="D56" s="962">
        <v>0</v>
      </c>
      <c r="E56" s="962">
        <v>0</v>
      </c>
      <c r="F56" s="222">
        <f t="shared" si="1"/>
        <v>0</v>
      </c>
      <c r="G56" s="2332"/>
      <c r="H56" s="2333"/>
      <c r="I56" s="2334"/>
    </row>
    <row r="57" spans="1:9" ht="30" customHeight="1">
      <c r="A57" s="914" t="s">
        <v>1585</v>
      </c>
      <c r="B57" s="302" t="s">
        <v>693</v>
      </c>
      <c r="C57" s="273" t="s">
        <v>141</v>
      </c>
      <c r="D57" s="962">
        <v>0</v>
      </c>
      <c r="E57" s="962">
        <v>0</v>
      </c>
      <c r="F57" s="222">
        <f t="shared" si="1"/>
        <v>0</v>
      </c>
      <c r="G57" s="2332"/>
      <c r="H57" s="2333"/>
      <c r="I57" s="2334"/>
    </row>
    <row r="58" spans="1:9" ht="30" customHeight="1">
      <c r="A58" s="914" t="s">
        <v>1586</v>
      </c>
      <c r="B58" s="302" t="s">
        <v>274</v>
      </c>
      <c r="C58" s="273" t="s">
        <v>141</v>
      </c>
      <c r="D58" s="962">
        <v>0</v>
      </c>
      <c r="E58" s="962">
        <v>0</v>
      </c>
      <c r="F58" s="222">
        <f t="shared" si="1"/>
        <v>0</v>
      </c>
      <c r="G58" s="2332"/>
      <c r="H58" s="2333"/>
      <c r="I58" s="2334"/>
    </row>
    <row r="59" spans="1:9" ht="30" customHeight="1">
      <c r="A59" s="914" t="s">
        <v>1587</v>
      </c>
      <c r="B59" s="302" t="s">
        <v>120</v>
      </c>
      <c r="C59" s="273" t="s">
        <v>141</v>
      </c>
      <c r="D59" s="962">
        <v>0</v>
      </c>
      <c r="E59" s="962">
        <v>0</v>
      </c>
      <c r="F59" s="222">
        <f t="shared" si="1"/>
        <v>0</v>
      </c>
      <c r="G59" s="2332"/>
      <c r="H59" s="2333"/>
      <c r="I59" s="2334"/>
    </row>
    <row r="60" spans="1:9" ht="30" customHeight="1">
      <c r="A60" s="914" t="s">
        <v>1588</v>
      </c>
      <c r="B60" s="302" t="s">
        <v>271</v>
      </c>
      <c r="C60" s="273" t="s">
        <v>31</v>
      </c>
      <c r="D60" s="962">
        <v>0</v>
      </c>
      <c r="E60" s="962">
        <v>0</v>
      </c>
      <c r="F60" s="222">
        <f>ROUND((E60*D60),0)</f>
        <v>0</v>
      </c>
      <c r="G60" s="2332"/>
      <c r="H60" s="2333"/>
      <c r="I60" s="2334"/>
    </row>
    <row r="61" spans="1:9" ht="30" customHeight="1" thickBot="1">
      <c r="A61" s="914" t="s">
        <v>1589</v>
      </c>
      <c r="B61" s="302" t="s">
        <v>582</v>
      </c>
      <c r="C61" s="273" t="s">
        <v>85</v>
      </c>
      <c r="D61" s="222">
        <v>1</v>
      </c>
      <c r="E61" s="962">
        <v>0</v>
      </c>
      <c r="F61" s="222">
        <f>ROUND((E61*D61),0)</f>
        <v>0</v>
      </c>
      <c r="G61" s="2332"/>
      <c r="H61" s="2333"/>
      <c r="I61" s="2334"/>
    </row>
    <row r="62" spans="1:9" ht="20.100000000000001" customHeight="1" thickBot="1">
      <c r="A62" s="2794" t="s">
        <v>444</v>
      </c>
      <c r="B62" s="2795"/>
      <c r="C62" s="2795"/>
      <c r="D62" s="2795"/>
      <c r="E62" s="2795"/>
      <c r="F62" s="247">
        <f>SUM(F39:F61)</f>
        <v>0</v>
      </c>
      <c r="G62" s="2337"/>
      <c r="H62" s="2487"/>
      <c r="I62" s="2488"/>
    </row>
    <row r="63" spans="1:9" ht="20.100000000000001" customHeight="1">
      <c r="A63" s="2438" t="s">
        <v>311</v>
      </c>
      <c r="B63" s="2439"/>
      <c r="C63" s="2439"/>
      <c r="D63" s="2439"/>
      <c r="E63" s="2439"/>
      <c r="F63" s="247">
        <f>F62+F37</f>
        <v>0</v>
      </c>
      <c r="G63" s="2337"/>
      <c r="H63" s="2487"/>
      <c r="I63" s="2488"/>
    </row>
    <row r="64" spans="1:9" ht="30" customHeight="1">
      <c r="A64" s="914" t="s">
        <v>1590</v>
      </c>
      <c r="B64" s="302" t="s">
        <v>1637</v>
      </c>
      <c r="C64" s="273" t="s">
        <v>141</v>
      </c>
      <c r="D64" s="962">
        <v>0</v>
      </c>
      <c r="E64" s="962">
        <v>0</v>
      </c>
      <c r="F64" s="222">
        <f>ROUND((E64*D64),0)</f>
        <v>0</v>
      </c>
      <c r="G64" s="2332"/>
      <c r="H64" s="2333"/>
      <c r="I64" s="2334"/>
    </row>
    <row r="65" spans="1:9" ht="30" customHeight="1">
      <c r="A65" s="914" t="s">
        <v>1591</v>
      </c>
      <c r="B65" s="302" t="s">
        <v>133</v>
      </c>
      <c r="C65" s="273" t="s">
        <v>85</v>
      </c>
      <c r="D65" s="222">
        <v>1</v>
      </c>
      <c r="E65" s="962">
        <v>0</v>
      </c>
      <c r="F65" s="222">
        <f>ROUND(D65*E65,0)</f>
        <v>0</v>
      </c>
      <c r="G65" s="2332"/>
      <c r="H65" s="2333"/>
      <c r="I65" s="2334"/>
    </row>
    <row r="66" spans="1:9" ht="30" customHeight="1">
      <c r="A66" s="914" t="s">
        <v>1592</v>
      </c>
      <c r="B66" s="302" t="s">
        <v>82</v>
      </c>
      <c r="C66" s="220" t="s">
        <v>85</v>
      </c>
      <c r="D66" s="222">
        <v>1</v>
      </c>
      <c r="E66" s="222">
        <f>F82</f>
        <v>0</v>
      </c>
      <c r="F66" s="222">
        <f>ROUND(D66*E66,0)</f>
        <v>0</v>
      </c>
      <c r="G66" s="2332" t="s">
        <v>583</v>
      </c>
      <c r="H66" s="2333"/>
      <c r="I66" s="2334"/>
    </row>
    <row r="67" spans="1:9" ht="30" customHeight="1">
      <c r="A67" s="914" t="s">
        <v>1593</v>
      </c>
      <c r="B67" s="302" t="s">
        <v>307</v>
      </c>
      <c r="C67" s="273" t="s">
        <v>85</v>
      </c>
      <c r="D67" s="542" t="s">
        <v>878</v>
      </c>
      <c r="E67" s="965">
        <v>0</v>
      </c>
      <c r="F67" s="222">
        <f>ROUND(E67*F63,0)</f>
        <v>0</v>
      </c>
      <c r="G67" s="2332"/>
      <c r="H67" s="2333"/>
      <c r="I67" s="2334"/>
    </row>
    <row r="68" spans="1:9" ht="30" customHeight="1" thickBot="1">
      <c r="A68" s="914" t="s">
        <v>1448</v>
      </c>
      <c r="B68" s="302" t="s">
        <v>169</v>
      </c>
      <c r="C68" s="273" t="s">
        <v>85</v>
      </c>
      <c r="D68" s="782" t="s">
        <v>878</v>
      </c>
      <c r="E68" s="965">
        <v>0</v>
      </c>
      <c r="F68" s="222">
        <f>ROUND(E68*F63,0)</f>
        <v>0</v>
      </c>
      <c r="G68" s="2332"/>
      <c r="H68" s="2333"/>
      <c r="I68" s="2334"/>
    </row>
    <row r="69" spans="1:9" ht="20.100000000000001" customHeight="1">
      <c r="A69" s="2794" t="s">
        <v>645</v>
      </c>
      <c r="B69" s="2795"/>
      <c r="C69" s="2795"/>
      <c r="D69" s="2795"/>
      <c r="E69" s="2795"/>
      <c r="F69" s="247">
        <f>SUM(F64:F68)</f>
        <v>0</v>
      </c>
      <c r="G69" s="2337"/>
      <c r="H69" s="2487"/>
      <c r="I69" s="2488"/>
    </row>
    <row r="70" spans="1:9" ht="30" customHeight="1" thickBot="1">
      <c r="A70" s="914" t="s">
        <v>1596</v>
      </c>
      <c r="B70" s="302" t="s">
        <v>78</v>
      </c>
      <c r="C70" s="273" t="s">
        <v>85</v>
      </c>
      <c r="D70" s="782" t="s">
        <v>878</v>
      </c>
      <c r="E70" s="965">
        <v>0</v>
      </c>
      <c r="F70" s="222">
        <f>ROUND(E70*(F69+F63),0)</f>
        <v>0</v>
      </c>
      <c r="G70" s="2332"/>
      <c r="H70" s="2333"/>
      <c r="I70" s="2334"/>
    </row>
    <row r="71" spans="1:9" ht="20.100000000000001" customHeight="1" thickBot="1">
      <c r="A71" s="2436" t="s">
        <v>1186</v>
      </c>
      <c r="B71" s="2437"/>
      <c r="C71" s="2437"/>
      <c r="D71" s="2437"/>
      <c r="E71" s="2437"/>
      <c r="F71" s="248">
        <f>SUM(F70,F69,F63)</f>
        <v>0</v>
      </c>
      <c r="G71" s="2337"/>
      <c r="H71" s="2487"/>
      <c r="I71" s="2488"/>
    </row>
    <row r="72" spans="1:9" ht="20.100000000000001" customHeight="1" thickBot="1">
      <c r="A72" s="337"/>
      <c r="B72" s="337"/>
      <c r="C72" s="337"/>
      <c r="D72" s="337"/>
      <c r="E72" s="337"/>
      <c r="F72" s="338"/>
      <c r="G72" s="338"/>
      <c r="H72" s="144"/>
      <c r="I72" s="4"/>
    </row>
    <row r="73" spans="1:9" s="268" customFormat="1" ht="36.75" customHeight="1" thickBot="1">
      <c r="A73" s="2389" t="s">
        <v>82</v>
      </c>
      <c r="B73" s="2088"/>
      <c r="C73" s="279" t="s">
        <v>87</v>
      </c>
      <c r="D73" s="279" t="s">
        <v>101</v>
      </c>
      <c r="E73" s="279" t="s">
        <v>706</v>
      </c>
      <c r="F73" s="279" t="s">
        <v>102</v>
      </c>
      <c r="G73" s="279" t="s">
        <v>164</v>
      </c>
      <c r="H73" s="279" t="s">
        <v>575</v>
      </c>
      <c r="I73" s="280" t="s">
        <v>576</v>
      </c>
    </row>
    <row r="74" spans="1:9" s="268" customFormat="1" ht="20.100000000000001" customHeight="1">
      <c r="A74" s="2817" t="s">
        <v>136</v>
      </c>
      <c r="B74" s="2788"/>
      <c r="C74" s="340" t="s">
        <v>141</v>
      </c>
      <c r="D74" s="964">
        <v>0</v>
      </c>
      <c r="E74" s="964">
        <v>0</v>
      </c>
      <c r="F74" s="324">
        <f>E74*D74</f>
        <v>0</v>
      </c>
      <c r="G74" s="861"/>
      <c r="H74" s="889"/>
      <c r="I74" s="977">
        <v>0</v>
      </c>
    </row>
    <row r="75" spans="1:9" s="268" customFormat="1" ht="20.100000000000001" customHeight="1">
      <c r="A75" s="2093" t="s">
        <v>137</v>
      </c>
      <c r="B75" s="2094"/>
      <c r="C75" s="220" t="s">
        <v>141</v>
      </c>
      <c r="D75" s="962">
        <v>0</v>
      </c>
      <c r="E75" s="962">
        <v>0</v>
      </c>
      <c r="F75" s="219">
        <f>E75*D75</f>
        <v>0</v>
      </c>
      <c r="G75" s="859"/>
      <c r="H75" s="623"/>
      <c r="I75" s="978">
        <v>0</v>
      </c>
    </row>
    <row r="76" spans="1:9" s="268" customFormat="1" ht="20.100000000000001" customHeight="1">
      <c r="A76" s="2093" t="s">
        <v>138</v>
      </c>
      <c r="B76" s="2094"/>
      <c r="C76" s="220" t="s">
        <v>141</v>
      </c>
      <c r="D76" s="962">
        <v>0</v>
      </c>
      <c r="E76" s="962">
        <v>0</v>
      </c>
      <c r="F76" s="219">
        <f>E76*D76</f>
        <v>0</v>
      </c>
      <c r="G76" s="859"/>
      <c r="H76" s="623"/>
      <c r="I76" s="978">
        <v>0</v>
      </c>
    </row>
    <row r="77" spans="1:9" s="268" customFormat="1" ht="20.100000000000001" customHeight="1">
      <c r="A77" s="2093" t="s">
        <v>139</v>
      </c>
      <c r="B77" s="2094"/>
      <c r="C77" s="220" t="s">
        <v>141</v>
      </c>
      <c r="D77" s="962">
        <v>0</v>
      </c>
      <c r="E77" s="962">
        <v>0</v>
      </c>
      <c r="F77" s="219">
        <f>E77*D77</f>
        <v>0</v>
      </c>
      <c r="G77" s="859"/>
      <c r="H77" s="623"/>
      <c r="I77" s="978">
        <v>0</v>
      </c>
    </row>
    <row r="78" spans="1:9" s="268" customFormat="1" ht="20.100000000000001" customHeight="1">
      <c r="A78" s="2093" t="s">
        <v>231</v>
      </c>
      <c r="B78" s="2094"/>
      <c r="C78" s="220" t="s">
        <v>141</v>
      </c>
      <c r="D78" s="962">
        <v>0</v>
      </c>
      <c r="E78" s="962">
        <v>0</v>
      </c>
      <c r="F78" s="219">
        <f>E78*D78</f>
        <v>0</v>
      </c>
      <c r="G78" s="859"/>
      <c r="H78" s="623"/>
      <c r="I78" s="978">
        <v>0</v>
      </c>
    </row>
    <row r="79" spans="1:9" s="268" customFormat="1" ht="20.100000000000001" customHeight="1" thickBot="1">
      <c r="A79" s="2607" t="s">
        <v>238</v>
      </c>
      <c r="B79" s="2608"/>
      <c r="C79" s="613"/>
      <c r="D79" s="613"/>
      <c r="E79" s="613"/>
      <c r="F79" s="614">
        <f>SUM(F74:F78)</f>
        <v>0</v>
      </c>
      <c r="G79" s="860"/>
      <c r="H79" s="890" t="s">
        <v>1402</v>
      </c>
      <c r="I79" s="250">
        <f>SUM(I74:I78)</f>
        <v>0</v>
      </c>
    </row>
    <row r="80" spans="1:9" s="268" customFormat="1" ht="20.100000000000001" customHeight="1" thickTop="1">
      <c r="A80" s="2073" t="s">
        <v>861</v>
      </c>
      <c r="B80" s="2074"/>
      <c r="C80" s="340" t="s">
        <v>141</v>
      </c>
      <c r="D80" s="964">
        <v>0</v>
      </c>
      <c r="E80" s="964">
        <v>0</v>
      </c>
      <c r="F80" s="324">
        <f>E80*D80</f>
        <v>0</v>
      </c>
      <c r="G80" s="2796" t="s">
        <v>1403</v>
      </c>
      <c r="H80" s="2797"/>
      <c r="I80" s="293" t="s">
        <v>1116</v>
      </c>
    </row>
    <row r="81" spans="1:9" s="268" customFormat="1" ht="20.100000000000001" customHeight="1" thickBot="1">
      <c r="A81" s="2596" t="s">
        <v>155</v>
      </c>
      <c r="B81" s="2597"/>
      <c r="C81" s="343" t="s">
        <v>141</v>
      </c>
      <c r="D81" s="966">
        <v>0</v>
      </c>
      <c r="E81" s="966">
        <v>0</v>
      </c>
      <c r="F81" s="328">
        <f>E81*D81</f>
        <v>0</v>
      </c>
      <c r="G81" s="2798" t="s">
        <v>1404</v>
      </c>
      <c r="H81" s="2799"/>
      <c r="I81" s="294" t="s">
        <v>1116</v>
      </c>
    </row>
    <row r="82" spans="1:9" s="288" customFormat="1" ht="20.100000000000001" customHeight="1" thickTop="1" thickBot="1">
      <c r="A82" s="2067" t="s">
        <v>156</v>
      </c>
      <c r="B82" s="2068"/>
      <c r="C82" s="287"/>
      <c r="D82" s="287"/>
      <c r="E82" s="287"/>
      <c r="F82" s="251">
        <f>SUM(F79:F81)</f>
        <v>0</v>
      </c>
      <c r="G82" s="1002"/>
      <c r="H82" s="557" t="s">
        <v>1414</v>
      </c>
      <c r="I82" s="296">
        <f>I79</f>
        <v>0</v>
      </c>
    </row>
    <row r="83" spans="1:9" s="268" customFormat="1" ht="15.6">
      <c r="A83" s="891"/>
      <c r="B83" s="288"/>
      <c r="C83" s="710"/>
      <c r="D83" s="710"/>
      <c r="E83" s="710"/>
      <c r="F83" s="892" t="s">
        <v>1817</v>
      </c>
      <c r="G83" s="892"/>
      <c r="H83" s="576"/>
      <c r="I83" s="892" t="s">
        <v>1405</v>
      </c>
    </row>
    <row r="84" spans="1:9">
      <c r="A84" s="4"/>
      <c r="B84" s="564"/>
      <c r="C84" s="341"/>
      <c r="D84" s="4"/>
      <c r="E84" s="4"/>
      <c r="F84" s="4"/>
      <c r="G84" s="4"/>
      <c r="H84" s="4"/>
      <c r="I84" s="4"/>
    </row>
  </sheetData>
  <mergeCells count="89">
    <mergeCell ref="G4:I4"/>
    <mergeCell ref="G5:I5"/>
    <mergeCell ref="A80:B80"/>
    <mergeCell ref="A81:B81"/>
    <mergeCell ref="A82:B82"/>
    <mergeCell ref="A75:B75"/>
    <mergeCell ref="A76:B76"/>
    <mergeCell ref="A77:B77"/>
    <mergeCell ref="A78:B78"/>
    <mergeCell ref="A79:B79"/>
    <mergeCell ref="A37:E37"/>
    <mergeCell ref="A62:E62"/>
    <mergeCell ref="A69:E69"/>
    <mergeCell ref="A71:E71"/>
    <mergeCell ref="A63:E63"/>
    <mergeCell ref="A6:B6"/>
    <mergeCell ref="C6:F6"/>
    <mergeCell ref="A73:B73"/>
    <mergeCell ref="A74:B74"/>
    <mergeCell ref="A4:B4"/>
    <mergeCell ref="C4:F4"/>
    <mergeCell ref="A5:B5"/>
    <mergeCell ref="C5:F5"/>
    <mergeCell ref="G59:I59"/>
    <mergeCell ref="G54:I54"/>
    <mergeCell ref="G44:I44"/>
    <mergeCell ref="G45:I45"/>
    <mergeCell ref="G46:I46"/>
    <mergeCell ref="G47:I47"/>
    <mergeCell ref="G48:I48"/>
    <mergeCell ref="G53:I53"/>
    <mergeCell ref="G55:I55"/>
    <mergeCell ref="G56:I56"/>
    <mergeCell ref="G57:I57"/>
    <mergeCell ref="G58:I58"/>
    <mergeCell ref="G52:I52"/>
    <mergeCell ref="G50:I50"/>
    <mergeCell ref="G49:I49"/>
    <mergeCell ref="G51:I51"/>
    <mergeCell ref="G6:I6"/>
    <mergeCell ref="G9:I9"/>
    <mergeCell ref="G10:I10"/>
    <mergeCell ref="G37:I37"/>
    <mergeCell ref="G38:I38"/>
    <mergeCell ref="G28:I28"/>
    <mergeCell ref="G29:I29"/>
    <mergeCell ref="G31:I31"/>
    <mergeCell ref="G32:I32"/>
    <mergeCell ref="G33:I33"/>
    <mergeCell ref="G34:I34"/>
    <mergeCell ref="G35:I35"/>
    <mergeCell ref="G36:I36"/>
    <mergeCell ref="G22:I22"/>
    <mergeCell ref="G27:I27"/>
    <mergeCell ref="G30:I30"/>
    <mergeCell ref="G69:I69"/>
    <mergeCell ref="G71:I71"/>
    <mergeCell ref="G80:H80"/>
    <mergeCell ref="G68:I68"/>
    <mergeCell ref="G70:I70"/>
    <mergeCell ref="G81:H81"/>
    <mergeCell ref="G11:I11"/>
    <mergeCell ref="G12:I12"/>
    <mergeCell ref="G13:I13"/>
    <mergeCell ref="G14:I14"/>
    <mergeCell ref="G15:I15"/>
    <mergeCell ref="G16:I16"/>
    <mergeCell ref="G17:I17"/>
    <mergeCell ref="G18:I18"/>
    <mergeCell ref="G19:I19"/>
    <mergeCell ref="G20:I20"/>
    <mergeCell ref="G21:I21"/>
    <mergeCell ref="G23:I23"/>
    <mergeCell ref="G24:I24"/>
    <mergeCell ref="G25:I25"/>
    <mergeCell ref="G26:I26"/>
    <mergeCell ref="G60:I60"/>
    <mergeCell ref="G61:I61"/>
    <mergeCell ref="G64:I64"/>
    <mergeCell ref="G65:I65"/>
    <mergeCell ref="G67:I67"/>
    <mergeCell ref="G66:I66"/>
    <mergeCell ref="G62:I62"/>
    <mergeCell ref="G63:I63"/>
    <mergeCell ref="G39:I39"/>
    <mergeCell ref="G40:I40"/>
    <mergeCell ref="G41:I41"/>
    <mergeCell ref="G42:I42"/>
    <mergeCell ref="G43:I43"/>
  </mergeCells>
  <phoneticPr fontId="0" type="noConversion"/>
  <dataValidations disablePrompts="1" count="1">
    <dataValidation type="list" allowBlank="1" showInputMessage="1" showErrorMessage="1" sqref="H74:H78" xr:uid="{00000000-0002-0000-3800-000000000000}">
      <formula1>yesno</formula1>
    </dataValidation>
  </dataValidations>
  <printOptions horizontalCentered="1"/>
  <pageMargins left="0.5" right="0.5" top="1" bottom="1" header="0.5" footer="0.34"/>
  <pageSetup scale="59" fitToHeight="3" orientation="landscape" horizontalDpi="300" verticalDpi="300" r:id="rId1"/>
  <headerFooter alignWithMargins="0">
    <oddHeader>&amp;C&amp;"Arial,Bold"&amp;14&amp;U&amp;A</oddHeader>
    <oddFooter>&amp;L&amp;F
&amp;A&amp;CPage &amp;P of &amp;N&amp;R&amp;D</oddFooter>
  </headerFooter>
  <rowBreaks count="2" manualBreakCount="2">
    <brk id="36" max="7" man="1"/>
    <brk id="62"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Q106"/>
  <sheetViews>
    <sheetView showGridLines="0" showRuler="0" zoomScale="55" zoomScaleNormal="55" zoomScaleSheetLayoutView="55" zoomScalePageLayoutView="25" workbookViewId="0">
      <selection sqref="A1:Q1"/>
    </sheetView>
  </sheetViews>
  <sheetFormatPr defaultColWidth="11.109375" defaultRowHeight="15"/>
  <cols>
    <col min="1" max="1" width="71.44140625" style="21" customWidth="1"/>
    <col min="2" max="17" width="17.6640625" style="21" customWidth="1"/>
    <col min="18" max="16384" width="11.109375" style="21"/>
  </cols>
  <sheetData>
    <row r="1" spans="1:17" ht="24.6">
      <c r="A1" s="2025" t="s">
        <v>465</v>
      </c>
      <c r="B1" s="2025"/>
      <c r="C1" s="2025"/>
      <c r="D1" s="2025"/>
      <c r="E1" s="2025"/>
      <c r="F1" s="2025"/>
      <c r="G1" s="2025"/>
      <c r="H1" s="2025"/>
      <c r="I1" s="2025"/>
      <c r="J1" s="2025"/>
      <c r="K1" s="2025"/>
      <c r="L1" s="2025"/>
      <c r="M1" s="2025"/>
      <c r="N1" s="2025"/>
      <c r="O1" s="2025"/>
      <c r="P1" s="2025"/>
      <c r="Q1" s="2025"/>
    </row>
    <row r="2" spans="1:17" ht="15" customHeight="1">
      <c r="D2" s="22"/>
      <c r="E2" s="22"/>
      <c r="F2" s="22"/>
      <c r="G2" s="22"/>
      <c r="H2" s="22"/>
      <c r="J2" s="22"/>
    </row>
    <row r="3" spans="1:17" s="60" customFormat="1" ht="20.399999999999999">
      <c r="A3" s="60" t="s">
        <v>519</v>
      </c>
      <c r="B3" s="80" t="str">
        <f>'Project Information'!B1</f>
        <v>999999-1-32-01</v>
      </c>
      <c r="C3" s="81"/>
      <c r="K3" s="82"/>
      <c r="M3" s="87" t="s">
        <v>520</v>
      </c>
      <c r="N3" s="119" t="str">
        <f>'Project Information'!B3</f>
        <v>Enter project name &amp; description</v>
      </c>
      <c r="O3" s="81"/>
      <c r="P3" s="84"/>
      <c r="Q3" s="83"/>
    </row>
    <row r="4" spans="1:17" s="60" customFormat="1" ht="20.399999999999999">
      <c r="O4" s="85"/>
      <c r="P4" s="85"/>
    </row>
    <row r="5" spans="1:17" s="60" customFormat="1" ht="20.399999999999999">
      <c r="A5" s="60" t="s">
        <v>523</v>
      </c>
      <c r="B5" s="83" t="str">
        <f>'Project Information'!L1</f>
        <v>54321</v>
      </c>
      <c r="C5" s="83"/>
      <c r="J5" s="60" t="s">
        <v>522</v>
      </c>
      <c r="K5" s="86">
        <f ca="1">TODAY()</f>
        <v>45751</v>
      </c>
      <c r="M5" s="87" t="s">
        <v>521</v>
      </c>
      <c r="N5" s="81" t="str">
        <f>'Project Information'!B2</f>
        <v>Enter name of prime or subconsultant</v>
      </c>
      <c r="O5" s="81"/>
      <c r="P5" s="81"/>
      <c r="Q5" s="83"/>
    </row>
    <row r="6" spans="1:17" ht="15.6" thickBot="1"/>
    <row r="7" spans="1:17" s="60" customFormat="1" ht="21" customHeight="1" thickTop="1">
      <c r="A7" s="2035" t="s">
        <v>1401</v>
      </c>
      <c r="B7" s="2022" t="s">
        <v>463</v>
      </c>
      <c r="C7" s="256"/>
      <c r="D7" s="256"/>
      <c r="E7" s="256"/>
      <c r="F7" s="256"/>
      <c r="G7" s="256"/>
      <c r="H7" s="256"/>
      <c r="I7" s="256"/>
      <c r="J7" s="256"/>
      <c r="K7" s="256"/>
      <c r="L7" s="256"/>
      <c r="M7" s="256"/>
      <c r="N7" s="257"/>
      <c r="O7" s="256" t="s">
        <v>400</v>
      </c>
      <c r="P7" s="257"/>
      <c r="Q7" s="257"/>
    </row>
    <row r="8" spans="1:17" s="60" customFormat="1" ht="21">
      <c r="A8" s="2036"/>
      <c r="B8" s="2023"/>
      <c r="C8" s="258"/>
      <c r="D8" s="258"/>
      <c r="E8" s="258"/>
      <c r="F8" s="258"/>
      <c r="G8" s="258"/>
      <c r="H8" s="259" t="s">
        <v>466</v>
      </c>
      <c r="I8" s="258"/>
      <c r="J8" s="258"/>
      <c r="K8" s="258"/>
      <c r="L8" s="258"/>
      <c r="M8" s="258"/>
      <c r="N8" s="260"/>
      <c r="O8" s="2029" t="s">
        <v>530</v>
      </c>
      <c r="P8" s="2030"/>
      <c r="Q8" s="260"/>
    </row>
    <row r="9" spans="1:17" s="60" customFormat="1" ht="20.100000000000001" customHeight="1" thickBot="1">
      <c r="A9" s="2036"/>
      <c r="B9" s="2024"/>
      <c r="C9" s="261"/>
      <c r="D9" s="261"/>
      <c r="E9" s="261"/>
      <c r="F9" s="261"/>
      <c r="G9" s="261"/>
      <c r="H9" s="261"/>
      <c r="I9" s="261"/>
      <c r="J9" s="261"/>
      <c r="K9" s="261"/>
      <c r="L9" s="261"/>
      <c r="M9" s="261"/>
      <c r="N9" s="262"/>
      <c r="O9" s="2029" t="s">
        <v>464</v>
      </c>
      <c r="P9" s="2030"/>
      <c r="Q9" s="941" t="s">
        <v>526</v>
      </c>
    </row>
    <row r="10" spans="1:17" s="60" customFormat="1" ht="41.4" thickTop="1">
      <c r="A10" s="2036"/>
      <c r="B10" s="263" t="s">
        <v>769</v>
      </c>
      <c r="C10" s="960" t="s">
        <v>535</v>
      </c>
      <c r="D10" s="960" t="s">
        <v>539</v>
      </c>
      <c r="E10" s="960" t="s">
        <v>540</v>
      </c>
      <c r="F10" s="960" t="s">
        <v>541</v>
      </c>
      <c r="G10" s="960" t="s">
        <v>542</v>
      </c>
      <c r="H10" s="960" t="s">
        <v>543</v>
      </c>
      <c r="I10" s="960" t="s">
        <v>544</v>
      </c>
      <c r="J10" s="960" t="s">
        <v>545</v>
      </c>
      <c r="K10" s="960" t="s">
        <v>546</v>
      </c>
      <c r="L10" s="960" t="s">
        <v>548</v>
      </c>
      <c r="M10" s="960" t="s">
        <v>549</v>
      </c>
      <c r="N10" s="960" t="s">
        <v>547</v>
      </c>
      <c r="O10" s="2033" t="s">
        <v>462</v>
      </c>
      <c r="P10" s="2034"/>
      <c r="Q10" s="942"/>
    </row>
    <row r="11" spans="1:17" s="60" customFormat="1" ht="20.399999999999999">
      <c r="A11" s="2037"/>
      <c r="B11" s="264" t="s">
        <v>514</v>
      </c>
      <c r="C11" s="264" t="s">
        <v>514</v>
      </c>
      <c r="D11" s="264" t="s">
        <v>514</v>
      </c>
      <c r="E11" s="264" t="s">
        <v>514</v>
      </c>
      <c r="F11" s="264" t="s">
        <v>514</v>
      </c>
      <c r="G11" s="264" t="s">
        <v>514</v>
      </c>
      <c r="H11" s="264" t="s">
        <v>514</v>
      </c>
      <c r="I11" s="264" t="s">
        <v>514</v>
      </c>
      <c r="J11" s="264" t="s">
        <v>514</v>
      </c>
      <c r="K11" s="264" t="s">
        <v>514</v>
      </c>
      <c r="L11" s="264" t="s">
        <v>514</v>
      </c>
      <c r="M11" s="264" t="s">
        <v>514</v>
      </c>
      <c r="N11" s="264" t="s">
        <v>514</v>
      </c>
      <c r="O11" s="943"/>
      <c r="P11" s="264"/>
      <c r="Q11" s="264" t="s">
        <v>527</v>
      </c>
    </row>
    <row r="12" spans="1:17" ht="30" customHeight="1">
      <c r="A12" s="50" t="s">
        <v>2588</v>
      </c>
      <c r="B12" s="57">
        <f>Summary!P5</f>
        <v>0</v>
      </c>
      <c r="C12" s="27">
        <f>ROUND($B$12*C65,0)</f>
        <v>0</v>
      </c>
      <c r="D12" s="27">
        <f t="shared" ref="D12:N12" si="0">ROUND($B$12*D65,0)</f>
        <v>0</v>
      </c>
      <c r="E12" s="27">
        <f t="shared" si="0"/>
        <v>0</v>
      </c>
      <c r="F12" s="27">
        <f t="shared" si="0"/>
        <v>0</v>
      </c>
      <c r="G12" s="27">
        <f t="shared" si="0"/>
        <v>0</v>
      </c>
      <c r="H12" s="27">
        <f t="shared" si="0"/>
        <v>0</v>
      </c>
      <c r="I12" s="27">
        <f t="shared" si="0"/>
        <v>0</v>
      </c>
      <c r="J12" s="27">
        <f t="shared" si="0"/>
        <v>0</v>
      </c>
      <c r="K12" s="27">
        <f t="shared" si="0"/>
        <v>0</v>
      </c>
      <c r="L12" s="27">
        <f t="shared" si="0"/>
        <v>0</v>
      </c>
      <c r="M12" s="27">
        <f t="shared" si="0"/>
        <v>0</v>
      </c>
      <c r="N12" s="27">
        <f t="shared" si="0"/>
        <v>0</v>
      </c>
      <c r="O12" s="927">
        <f>SUM(C12:N12)</f>
        <v>0</v>
      </c>
      <c r="P12" s="26">
        <f>ROUND(SUM(C12:N12)*1.1,0)</f>
        <v>0</v>
      </c>
      <c r="Q12" s="928"/>
    </row>
    <row r="13" spans="1:17" ht="30" customHeight="1">
      <c r="A13" s="50" t="s">
        <v>551</v>
      </c>
      <c r="B13" s="57">
        <f>Summary!P6</f>
        <v>0</v>
      </c>
      <c r="C13" s="27">
        <f>ROUND($B$13*C66,0)</f>
        <v>0</v>
      </c>
      <c r="D13" s="27">
        <f t="shared" ref="D13:N13" si="1">ROUND($B$13*D66,0)</f>
        <v>0</v>
      </c>
      <c r="E13" s="27">
        <f t="shared" si="1"/>
        <v>0</v>
      </c>
      <c r="F13" s="27">
        <f t="shared" si="1"/>
        <v>0</v>
      </c>
      <c r="G13" s="27">
        <f t="shared" si="1"/>
        <v>0</v>
      </c>
      <c r="H13" s="27">
        <f t="shared" si="1"/>
        <v>0</v>
      </c>
      <c r="I13" s="27">
        <f t="shared" si="1"/>
        <v>0</v>
      </c>
      <c r="J13" s="27">
        <f t="shared" si="1"/>
        <v>0</v>
      </c>
      <c r="K13" s="27">
        <f t="shared" si="1"/>
        <v>0</v>
      </c>
      <c r="L13" s="27">
        <f t="shared" si="1"/>
        <v>0</v>
      </c>
      <c r="M13" s="27">
        <f t="shared" si="1"/>
        <v>0</v>
      </c>
      <c r="N13" s="27">
        <f t="shared" si="1"/>
        <v>0</v>
      </c>
      <c r="O13" s="927">
        <f>SUM(C13:N13)</f>
        <v>0</v>
      </c>
      <c r="P13" s="26">
        <f t="shared" ref="P13:P42" si="2">ROUND(SUM(C13:N13)*1.1,0)</f>
        <v>0</v>
      </c>
      <c r="Q13" s="928"/>
    </row>
    <row r="14" spans="1:17" ht="30" customHeight="1">
      <c r="A14" s="50" t="s">
        <v>552</v>
      </c>
      <c r="B14" s="57">
        <f>Summary!P7</f>
        <v>0</v>
      </c>
      <c r="C14" s="27">
        <f>ROUND($B$14*C67,0)</f>
        <v>0</v>
      </c>
      <c r="D14" s="27">
        <f t="shared" ref="D14:N14" si="3">ROUND($B$14*D67,0)</f>
        <v>0</v>
      </c>
      <c r="E14" s="27">
        <f t="shared" si="3"/>
        <v>0</v>
      </c>
      <c r="F14" s="27">
        <f t="shared" si="3"/>
        <v>0</v>
      </c>
      <c r="G14" s="27">
        <f t="shared" si="3"/>
        <v>0</v>
      </c>
      <c r="H14" s="27">
        <f t="shared" si="3"/>
        <v>0</v>
      </c>
      <c r="I14" s="27">
        <f t="shared" si="3"/>
        <v>0</v>
      </c>
      <c r="J14" s="27">
        <f t="shared" si="3"/>
        <v>0</v>
      </c>
      <c r="K14" s="27">
        <f t="shared" si="3"/>
        <v>0</v>
      </c>
      <c r="L14" s="27">
        <f t="shared" si="3"/>
        <v>0</v>
      </c>
      <c r="M14" s="27">
        <f t="shared" si="3"/>
        <v>0</v>
      </c>
      <c r="N14" s="27">
        <f t="shared" si="3"/>
        <v>0</v>
      </c>
      <c r="O14" s="929">
        <f>SUM(C14:N14)</f>
        <v>0</v>
      </c>
      <c r="P14" s="26">
        <f t="shared" si="2"/>
        <v>0</v>
      </c>
      <c r="Q14" s="928"/>
    </row>
    <row r="15" spans="1:17" ht="30" customHeight="1">
      <c r="A15" s="50" t="s">
        <v>1433</v>
      </c>
      <c r="B15" s="57">
        <f>Summary!P8</f>
        <v>0</v>
      </c>
      <c r="C15" s="27">
        <f>ROUND($B$15*C68,0)</f>
        <v>0</v>
      </c>
      <c r="D15" s="27">
        <f t="shared" ref="D15:N15" si="4">ROUND($B$15*D68,0)</f>
        <v>0</v>
      </c>
      <c r="E15" s="27">
        <f t="shared" si="4"/>
        <v>0</v>
      </c>
      <c r="F15" s="27">
        <f t="shared" si="4"/>
        <v>0</v>
      </c>
      <c r="G15" s="27">
        <f t="shared" si="4"/>
        <v>0</v>
      </c>
      <c r="H15" s="27">
        <f t="shared" si="4"/>
        <v>0</v>
      </c>
      <c r="I15" s="27">
        <f t="shared" si="4"/>
        <v>0</v>
      </c>
      <c r="J15" s="27">
        <f t="shared" si="4"/>
        <v>0</v>
      </c>
      <c r="K15" s="27">
        <f t="shared" si="4"/>
        <v>0</v>
      </c>
      <c r="L15" s="27">
        <f t="shared" si="4"/>
        <v>0</v>
      </c>
      <c r="M15" s="27">
        <f t="shared" si="4"/>
        <v>0</v>
      </c>
      <c r="N15" s="27">
        <f t="shared" si="4"/>
        <v>0</v>
      </c>
      <c r="O15" s="929">
        <f t="shared" ref="O15:O42" si="5">SUM(C15:N15)</f>
        <v>0</v>
      </c>
      <c r="P15" s="26">
        <f t="shared" si="2"/>
        <v>0</v>
      </c>
      <c r="Q15" s="928"/>
    </row>
    <row r="16" spans="1:17" ht="30" customHeight="1">
      <c r="A16" s="50" t="s">
        <v>1432</v>
      </c>
      <c r="B16" s="57">
        <f>Summary!P9</f>
        <v>0</v>
      </c>
      <c r="C16" s="27">
        <f>ROUND($B$16*C69,0)</f>
        <v>0</v>
      </c>
      <c r="D16" s="27">
        <f t="shared" ref="D16:N16" si="6">ROUND($B$16*D69,0)</f>
        <v>0</v>
      </c>
      <c r="E16" s="27">
        <f t="shared" si="6"/>
        <v>0</v>
      </c>
      <c r="F16" s="27">
        <f t="shared" si="6"/>
        <v>0</v>
      </c>
      <c r="G16" s="27">
        <f t="shared" si="6"/>
        <v>0</v>
      </c>
      <c r="H16" s="27">
        <f t="shared" si="6"/>
        <v>0</v>
      </c>
      <c r="I16" s="27">
        <f t="shared" si="6"/>
        <v>0</v>
      </c>
      <c r="J16" s="27">
        <f t="shared" si="6"/>
        <v>0</v>
      </c>
      <c r="K16" s="27">
        <f t="shared" si="6"/>
        <v>0</v>
      </c>
      <c r="L16" s="27">
        <f t="shared" si="6"/>
        <v>0</v>
      </c>
      <c r="M16" s="27">
        <f t="shared" si="6"/>
        <v>0</v>
      </c>
      <c r="N16" s="27">
        <f t="shared" si="6"/>
        <v>0</v>
      </c>
      <c r="O16" s="929">
        <f>SUM(C16:N16)</f>
        <v>0</v>
      </c>
      <c r="P16" s="26">
        <f>ROUND(SUM(C16:N16)*1.1,0)</f>
        <v>0</v>
      </c>
      <c r="Q16" s="930"/>
    </row>
    <row r="17" spans="1:17" ht="30" customHeight="1">
      <c r="A17" s="50" t="s">
        <v>2586</v>
      </c>
      <c r="B17" s="57">
        <f>Summary!P10</f>
        <v>0</v>
      </c>
      <c r="C17" s="27">
        <f>ROUND($B$17*C70,0)</f>
        <v>0</v>
      </c>
      <c r="D17" s="27">
        <f t="shared" ref="D17:N17" si="7">ROUND($B$17*D70,0)</f>
        <v>0</v>
      </c>
      <c r="E17" s="27">
        <f t="shared" si="7"/>
        <v>0</v>
      </c>
      <c r="F17" s="27">
        <f t="shared" si="7"/>
        <v>0</v>
      </c>
      <c r="G17" s="27">
        <f t="shared" si="7"/>
        <v>0</v>
      </c>
      <c r="H17" s="27">
        <f t="shared" si="7"/>
        <v>0</v>
      </c>
      <c r="I17" s="27">
        <f t="shared" si="7"/>
        <v>0</v>
      </c>
      <c r="J17" s="27">
        <f t="shared" si="7"/>
        <v>0</v>
      </c>
      <c r="K17" s="27">
        <f t="shared" si="7"/>
        <v>0</v>
      </c>
      <c r="L17" s="27">
        <f t="shared" si="7"/>
        <v>0</v>
      </c>
      <c r="M17" s="27">
        <f t="shared" si="7"/>
        <v>0</v>
      </c>
      <c r="N17" s="27">
        <f t="shared" si="7"/>
        <v>0</v>
      </c>
      <c r="O17" s="929">
        <f>SUM(C17:N17)</f>
        <v>0</v>
      </c>
      <c r="P17" s="26">
        <f>ROUND(SUM(C17:N17)*1.1,0)</f>
        <v>0</v>
      </c>
      <c r="Q17" s="930"/>
    </row>
    <row r="18" spans="1:17" ht="30" customHeight="1">
      <c r="A18" s="50" t="s">
        <v>553</v>
      </c>
      <c r="B18" s="57">
        <f>Summary!P11</f>
        <v>0</v>
      </c>
      <c r="C18" s="27">
        <f>ROUND($B$18*C71,0)</f>
        <v>0</v>
      </c>
      <c r="D18" s="27">
        <f t="shared" ref="D18:N18" si="8">ROUND($B$18*D71,0)</f>
        <v>0</v>
      </c>
      <c r="E18" s="27">
        <f t="shared" si="8"/>
        <v>0</v>
      </c>
      <c r="F18" s="27">
        <f t="shared" si="8"/>
        <v>0</v>
      </c>
      <c r="G18" s="27">
        <f t="shared" si="8"/>
        <v>0</v>
      </c>
      <c r="H18" s="27">
        <f t="shared" si="8"/>
        <v>0</v>
      </c>
      <c r="I18" s="27">
        <f t="shared" si="8"/>
        <v>0</v>
      </c>
      <c r="J18" s="27">
        <f t="shared" si="8"/>
        <v>0</v>
      </c>
      <c r="K18" s="27">
        <f t="shared" si="8"/>
        <v>0</v>
      </c>
      <c r="L18" s="27">
        <f t="shared" si="8"/>
        <v>0</v>
      </c>
      <c r="M18" s="27">
        <f t="shared" si="8"/>
        <v>0</v>
      </c>
      <c r="N18" s="27">
        <f t="shared" si="8"/>
        <v>0</v>
      </c>
      <c r="O18" s="929">
        <f t="shared" si="5"/>
        <v>0</v>
      </c>
      <c r="P18" s="26">
        <f t="shared" si="2"/>
        <v>0</v>
      </c>
      <c r="Q18" s="928"/>
    </row>
    <row r="19" spans="1:17" ht="30" customHeight="1">
      <c r="A19" s="50" t="s">
        <v>1679</v>
      </c>
      <c r="B19" s="57">
        <f>Summary!P12</f>
        <v>0</v>
      </c>
      <c r="C19" s="27">
        <f>ROUND($B$19*C72,0)</f>
        <v>0</v>
      </c>
      <c r="D19" s="27">
        <f t="shared" ref="D19:N19" si="9">ROUND($B$19*D72,0)</f>
        <v>0</v>
      </c>
      <c r="E19" s="27">
        <f t="shared" si="9"/>
        <v>0</v>
      </c>
      <c r="F19" s="27">
        <f t="shared" si="9"/>
        <v>0</v>
      </c>
      <c r="G19" s="27">
        <f t="shared" si="9"/>
        <v>0</v>
      </c>
      <c r="H19" s="27">
        <f t="shared" si="9"/>
        <v>0</v>
      </c>
      <c r="I19" s="27">
        <f t="shared" si="9"/>
        <v>0</v>
      </c>
      <c r="J19" s="27">
        <f t="shared" si="9"/>
        <v>0</v>
      </c>
      <c r="K19" s="27">
        <f t="shared" si="9"/>
        <v>0</v>
      </c>
      <c r="L19" s="27">
        <f t="shared" si="9"/>
        <v>0</v>
      </c>
      <c r="M19" s="27">
        <f t="shared" si="9"/>
        <v>0</v>
      </c>
      <c r="N19" s="27">
        <f t="shared" si="9"/>
        <v>0</v>
      </c>
      <c r="O19" s="929">
        <f t="shared" si="5"/>
        <v>0</v>
      </c>
      <c r="P19" s="26">
        <f t="shared" si="2"/>
        <v>0</v>
      </c>
      <c r="Q19" s="928"/>
    </row>
    <row r="20" spans="1:17" ht="30" customHeight="1">
      <c r="A20" s="151" t="s">
        <v>518</v>
      </c>
      <c r="B20" s="57">
        <f>Summary!P13</f>
        <v>0</v>
      </c>
      <c r="C20" s="27">
        <f>ROUND($B$20*C73,0)</f>
        <v>0</v>
      </c>
      <c r="D20" s="27">
        <f t="shared" ref="D20:N20" si="10">ROUND($B$20*D73,0)</f>
        <v>0</v>
      </c>
      <c r="E20" s="27">
        <f t="shared" si="10"/>
        <v>0</v>
      </c>
      <c r="F20" s="27">
        <f t="shared" si="10"/>
        <v>0</v>
      </c>
      <c r="G20" s="27">
        <f t="shared" si="10"/>
        <v>0</v>
      </c>
      <c r="H20" s="27">
        <f t="shared" si="10"/>
        <v>0</v>
      </c>
      <c r="I20" s="27">
        <f t="shared" si="10"/>
        <v>0</v>
      </c>
      <c r="J20" s="27">
        <f t="shared" si="10"/>
        <v>0</v>
      </c>
      <c r="K20" s="27">
        <f t="shared" si="10"/>
        <v>0</v>
      </c>
      <c r="L20" s="27">
        <f t="shared" si="10"/>
        <v>0</v>
      </c>
      <c r="M20" s="27">
        <f t="shared" si="10"/>
        <v>0</v>
      </c>
      <c r="N20" s="27">
        <f t="shared" si="10"/>
        <v>0</v>
      </c>
      <c r="O20" s="929">
        <f t="shared" si="5"/>
        <v>0</v>
      </c>
      <c r="P20" s="26">
        <f t="shared" si="2"/>
        <v>0</v>
      </c>
      <c r="Q20" s="928"/>
    </row>
    <row r="21" spans="1:17" ht="30" customHeight="1">
      <c r="A21" s="50" t="s">
        <v>968</v>
      </c>
      <c r="B21" s="57">
        <f>Summary!P14</f>
        <v>0</v>
      </c>
      <c r="C21" s="27">
        <f>ROUND($B$21*C74,0)</f>
        <v>0</v>
      </c>
      <c r="D21" s="27">
        <f t="shared" ref="D21:N21" si="11">ROUND($B$21*D74,0)</f>
        <v>0</v>
      </c>
      <c r="E21" s="27">
        <f t="shared" si="11"/>
        <v>0</v>
      </c>
      <c r="F21" s="27">
        <f t="shared" si="11"/>
        <v>0</v>
      </c>
      <c r="G21" s="27">
        <f t="shared" si="11"/>
        <v>0</v>
      </c>
      <c r="H21" s="27">
        <f t="shared" si="11"/>
        <v>0</v>
      </c>
      <c r="I21" s="27">
        <f t="shared" si="11"/>
        <v>0</v>
      </c>
      <c r="J21" s="27">
        <f t="shared" si="11"/>
        <v>0</v>
      </c>
      <c r="K21" s="27">
        <f t="shared" si="11"/>
        <v>0</v>
      </c>
      <c r="L21" s="27">
        <f t="shared" si="11"/>
        <v>0</v>
      </c>
      <c r="M21" s="27">
        <f t="shared" si="11"/>
        <v>0</v>
      </c>
      <c r="N21" s="27">
        <f t="shared" si="11"/>
        <v>0</v>
      </c>
      <c r="O21" s="929">
        <f t="shared" si="5"/>
        <v>0</v>
      </c>
      <c r="P21" s="26">
        <f t="shared" si="2"/>
        <v>0</v>
      </c>
      <c r="Q21" s="928"/>
    </row>
    <row r="22" spans="1:17" ht="30" customHeight="1">
      <c r="A22" s="50" t="s">
        <v>554</v>
      </c>
      <c r="B22" s="57">
        <f>Summary!P15</f>
        <v>0</v>
      </c>
      <c r="C22" s="27">
        <f>ROUND($B$22*C75,0)</f>
        <v>0</v>
      </c>
      <c r="D22" s="27">
        <f t="shared" ref="D22:N22" si="12">ROUND($B$22*D75,0)</f>
        <v>0</v>
      </c>
      <c r="E22" s="27">
        <f t="shared" si="12"/>
        <v>0</v>
      </c>
      <c r="F22" s="27">
        <f t="shared" si="12"/>
        <v>0</v>
      </c>
      <c r="G22" s="27">
        <f t="shared" si="12"/>
        <v>0</v>
      </c>
      <c r="H22" s="27">
        <f t="shared" si="12"/>
        <v>0</v>
      </c>
      <c r="I22" s="27">
        <f t="shared" si="12"/>
        <v>0</v>
      </c>
      <c r="J22" s="27">
        <f t="shared" si="12"/>
        <v>0</v>
      </c>
      <c r="K22" s="27">
        <f t="shared" si="12"/>
        <v>0</v>
      </c>
      <c r="L22" s="27">
        <f t="shared" si="12"/>
        <v>0</v>
      </c>
      <c r="M22" s="27">
        <f t="shared" si="12"/>
        <v>0</v>
      </c>
      <c r="N22" s="27">
        <f t="shared" si="12"/>
        <v>0</v>
      </c>
      <c r="O22" s="929">
        <f t="shared" si="5"/>
        <v>0</v>
      </c>
      <c r="P22" s="26">
        <f t="shared" si="2"/>
        <v>0</v>
      </c>
      <c r="Q22" s="928"/>
    </row>
    <row r="23" spans="1:17" ht="30" customHeight="1">
      <c r="A23" s="50" t="s">
        <v>969</v>
      </c>
      <c r="B23" s="57">
        <f>Summary!P16</f>
        <v>0</v>
      </c>
      <c r="C23" s="27">
        <f>ROUND($B$23*C76,0)</f>
        <v>0</v>
      </c>
      <c r="D23" s="27">
        <f t="shared" ref="D23:N23" si="13">ROUND($B$23*D76,0)</f>
        <v>0</v>
      </c>
      <c r="E23" s="27">
        <f t="shared" si="13"/>
        <v>0</v>
      </c>
      <c r="F23" s="27">
        <f t="shared" si="13"/>
        <v>0</v>
      </c>
      <c r="G23" s="27">
        <f t="shared" si="13"/>
        <v>0</v>
      </c>
      <c r="H23" s="27">
        <f t="shared" si="13"/>
        <v>0</v>
      </c>
      <c r="I23" s="27">
        <f t="shared" si="13"/>
        <v>0</v>
      </c>
      <c r="J23" s="27">
        <f t="shared" si="13"/>
        <v>0</v>
      </c>
      <c r="K23" s="27">
        <f t="shared" si="13"/>
        <v>0</v>
      </c>
      <c r="L23" s="27">
        <f t="shared" si="13"/>
        <v>0</v>
      </c>
      <c r="M23" s="27">
        <f t="shared" si="13"/>
        <v>0</v>
      </c>
      <c r="N23" s="27">
        <f t="shared" si="13"/>
        <v>0</v>
      </c>
      <c r="O23" s="929">
        <f t="shared" si="5"/>
        <v>0</v>
      </c>
      <c r="P23" s="26">
        <f t="shared" si="2"/>
        <v>0</v>
      </c>
      <c r="Q23" s="928"/>
    </row>
    <row r="24" spans="1:17" ht="30" customHeight="1">
      <c r="A24" s="50" t="s">
        <v>970</v>
      </c>
      <c r="B24" s="57">
        <f>Summary!P17</f>
        <v>0</v>
      </c>
      <c r="C24" s="27">
        <f>ROUND($B$24*C77,0)</f>
        <v>0</v>
      </c>
      <c r="D24" s="27">
        <f t="shared" ref="D24:N24" si="14">ROUND($B$24*D77,0)</f>
        <v>0</v>
      </c>
      <c r="E24" s="27">
        <f t="shared" si="14"/>
        <v>0</v>
      </c>
      <c r="F24" s="27">
        <f t="shared" si="14"/>
        <v>0</v>
      </c>
      <c r="G24" s="27">
        <f t="shared" si="14"/>
        <v>0</v>
      </c>
      <c r="H24" s="27">
        <f t="shared" si="14"/>
        <v>0</v>
      </c>
      <c r="I24" s="27">
        <f t="shared" si="14"/>
        <v>0</v>
      </c>
      <c r="J24" s="27">
        <f t="shared" si="14"/>
        <v>0</v>
      </c>
      <c r="K24" s="27">
        <f t="shared" si="14"/>
        <v>0</v>
      </c>
      <c r="L24" s="27">
        <f t="shared" si="14"/>
        <v>0</v>
      </c>
      <c r="M24" s="27">
        <f t="shared" si="14"/>
        <v>0</v>
      </c>
      <c r="N24" s="27">
        <f t="shared" si="14"/>
        <v>0</v>
      </c>
      <c r="O24" s="929">
        <f t="shared" si="5"/>
        <v>0</v>
      </c>
      <c r="P24" s="26">
        <f t="shared" si="2"/>
        <v>0</v>
      </c>
      <c r="Q24" s="928"/>
    </row>
    <row r="25" spans="1:17" ht="30" customHeight="1">
      <c r="A25" s="50" t="s">
        <v>971</v>
      </c>
      <c r="B25" s="57">
        <f>Summary!P18</f>
        <v>0</v>
      </c>
      <c r="C25" s="27">
        <f>ROUND($B$25*C78,0)</f>
        <v>0</v>
      </c>
      <c r="D25" s="27">
        <f t="shared" ref="D25:N25" si="15">ROUND($B$25*D78,0)</f>
        <v>0</v>
      </c>
      <c r="E25" s="27">
        <f t="shared" si="15"/>
        <v>0</v>
      </c>
      <c r="F25" s="27">
        <f t="shared" si="15"/>
        <v>0</v>
      </c>
      <c r="G25" s="27">
        <f t="shared" si="15"/>
        <v>0</v>
      </c>
      <c r="H25" s="27">
        <f t="shared" si="15"/>
        <v>0</v>
      </c>
      <c r="I25" s="27">
        <f t="shared" si="15"/>
        <v>0</v>
      </c>
      <c r="J25" s="27">
        <f t="shared" si="15"/>
        <v>0</v>
      </c>
      <c r="K25" s="27">
        <f t="shared" si="15"/>
        <v>0</v>
      </c>
      <c r="L25" s="27">
        <f t="shared" si="15"/>
        <v>0</v>
      </c>
      <c r="M25" s="27">
        <f t="shared" si="15"/>
        <v>0</v>
      </c>
      <c r="N25" s="27">
        <f t="shared" si="15"/>
        <v>0</v>
      </c>
      <c r="O25" s="929">
        <f t="shared" si="5"/>
        <v>0</v>
      </c>
      <c r="P25" s="26">
        <f t="shared" si="2"/>
        <v>0</v>
      </c>
      <c r="Q25" s="928"/>
    </row>
    <row r="26" spans="1:17" ht="30" customHeight="1">
      <c r="A26" s="50" t="s">
        <v>972</v>
      </c>
      <c r="B26" s="57">
        <f>Summary!P19</f>
        <v>0</v>
      </c>
      <c r="C26" s="27">
        <f>ROUND($B$26*C79,0)</f>
        <v>0</v>
      </c>
      <c r="D26" s="27">
        <f t="shared" ref="D26:N26" si="16">ROUND($B$26*D79,0)</f>
        <v>0</v>
      </c>
      <c r="E26" s="27">
        <f t="shared" si="16"/>
        <v>0</v>
      </c>
      <c r="F26" s="27">
        <f t="shared" si="16"/>
        <v>0</v>
      </c>
      <c r="G26" s="27">
        <f t="shared" si="16"/>
        <v>0</v>
      </c>
      <c r="H26" s="27">
        <f t="shared" si="16"/>
        <v>0</v>
      </c>
      <c r="I26" s="27">
        <f t="shared" si="16"/>
        <v>0</v>
      </c>
      <c r="J26" s="27">
        <f t="shared" si="16"/>
        <v>0</v>
      </c>
      <c r="K26" s="27">
        <f t="shared" si="16"/>
        <v>0</v>
      </c>
      <c r="L26" s="27">
        <f t="shared" si="16"/>
        <v>0</v>
      </c>
      <c r="M26" s="27">
        <f t="shared" si="16"/>
        <v>0</v>
      </c>
      <c r="N26" s="27">
        <f t="shared" si="16"/>
        <v>0</v>
      </c>
      <c r="O26" s="929">
        <f t="shared" si="5"/>
        <v>0</v>
      </c>
      <c r="P26" s="26">
        <f t="shared" si="2"/>
        <v>0</v>
      </c>
      <c r="Q26" s="928"/>
    </row>
    <row r="27" spans="1:17" ht="30" customHeight="1">
      <c r="A27" s="50" t="s">
        <v>555</v>
      </c>
      <c r="B27" s="57">
        <f>Summary!P20</f>
        <v>0</v>
      </c>
      <c r="C27" s="27">
        <f>ROUND($B$27*C80,0)</f>
        <v>0</v>
      </c>
      <c r="D27" s="27">
        <f t="shared" ref="D27:N27" si="17">ROUND($B$27*D80,0)</f>
        <v>0</v>
      </c>
      <c r="E27" s="27">
        <f t="shared" si="17"/>
        <v>0</v>
      </c>
      <c r="F27" s="27">
        <f t="shared" si="17"/>
        <v>0</v>
      </c>
      <c r="G27" s="27">
        <f t="shared" si="17"/>
        <v>0</v>
      </c>
      <c r="H27" s="27">
        <f t="shared" si="17"/>
        <v>0</v>
      </c>
      <c r="I27" s="27">
        <f t="shared" si="17"/>
        <v>0</v>
      </c>
      <c r="J27" s="27">
        <f t="shared" si="17"/>
        <v>0</v>
      </c>
      <c r="K27" s="27">
        <f t="shared" si="17"/>
        <v>0</v>
      </c>
      <c r="L27" s="27">
        <f t="shared" si="17"/>
        <v>0</v>
      </c>
      <c r="M27" s="27">
        <f t="shared" si="17"/>
        <v>0</v>
      </c>
      <c r="N27" s="27">
        <f t="shared" si="17"/>
        <v>0</v>
      </c>
      <c r="O27" s="929">
        <f t="shared" si="5"/>
        <v>0</v>
      </c>
      <c r="P27" s="26">
        <f t="shared" si="2"/>
        <v>0</v>
      </c>
      <c r="Q27" s="928"/>
    </row>
    <row r="28" spans="1:17" ht="30" customHeight="1">
      <c r="A28" s="50" t="s">
        <v>558</v>
      </c>
      <c r="B28" s="57">
        <f>Summary!P21</f>
        <v>0</v>
      </c>
      <c r="C28" s="27">
        <f>ROUND($B$28*C81,0)</f>
        <v>0</v>
      </c>
      <c r="D28" s="27">
        <f t="shared" ref="D28:N28" si="18">ROUND($B$28*D81,0)</f>
        <v>0</v>
      </c>
      <c r="E28" s="27">
        <f t="shared" si="18"/>
        <v>0</v>
      </c>
      <c r="F28" s="27">
        <f t="shared" si="18"/>
        <v>0</v>
      </c>
      <c r="G28" s="27">
        <f t="shared" si="18"/>
        <v>0</v>
      </c>
      <c r="H28" s="27">
        <f t="shared" si="18"/>
        <v>0</v>
      </c>
      <c r="I28" s="27">
        <f t="shared" si="18"/>
        <v>0</v>
      </c>
      <c r="J28" s="27">
        <f t="shared" si="18"/>
        <v>0</v>
      </c>
      <c r="K28" s="27">
        <f t="shared" si="18"/>
        <v>0</v>
      </c>
      <c r="L28" s="27">
        <f t="shared" si="18"/>
        <v>0</v>
      </c>
      <c r="M28" s="27">
        <f t="shared" si="18"/>
        <v>0</v>
      </c>
      <c r="N28" s="27">
        <f t="shared" si="18"/>
        <v>0</v>
      </c>
      <c r="O28" s="929">
        <f t="shared" si="5"/>
        <v>0</v>
      </c>
      <c r="P28" s="26">
        <f t="shared" si="2"/>
        <v>0</v>
      </c>
      <c r="Q28" s="928"/>
    </row>
    <row r="29" spans="1:17" ht="30" customHeight="1">
      <c r="A29" s="50" t="s">
        <v>559</v>
      </c>
      <c r="B29" s="57">
        <f>Summary!P22</f>
        <v>0</v>
      </c>
      <c r="C29" s="27">
        <f>ROUND($B$29*C82,0)</f>
        <v>0</v>
      </c>
      <c r="D29" s="27">
        <f t="shared" ref="D29:N29" si="19">ROUND($B$29*D82,0)</f>
        <v>0</v>
      </c>
      <c r="E29" s="27">
        <f t="shared" si="19"/>
        <v>0</v>
      </c>
      <c r="F29" s="27">
        <f t="shared" si="19"/>
        <v>0</v>
      </c>
      <c r="G29" s="27">
        <f t="shared" si="19"/>
        <v>0</v>
      </c>
      <c r="H29" s="27">
        <f t="shared" si="19"/>
        <v>0</v>
      </c>
      <c r="I29" s="27">
        <f t="shared" si="19"/>
        <v>0</v>
      </c>
      <c r="J29" s="27">
        <f t="shared" si="19"/>
        <v>0</v>
      </c>
      <c r="K29" s="27">
        <f t="shared" si="19"/>
        <v>0</v>
      </c>
      <c r="L29" s="27">
        <f t="shared" si="19"/>
        <v>0</v>
      </c>
      <c r="M29" s="27">
        <f t="shared" si="19"/>
        <v>0</v>
      </c>
      <c r="N29" s="27">
        <f t="shared" si="19"/>
        <v>0</v>
      </c>
      <c r="O29" s="929">
        <f t="shared" si="5"/>
        <v>0</v>
      </c>
      <c r="P29" s="26">
        <f t="shared" si="2"/>
        <v>0</v>
      </c>
      <c r="Q29" s="928"/>
    </row>
    <row r="30" spans="1:17" ht="30" customHeight="1">
      <c r="A30" s="50" t="s">
        <v>973</v>
      </c>
      <c r="B30" s="57">
        <f>Summary!P23</f>
        <v>0</v>
      </c>
      <c r="C30" s="27">
        <f>ROUND($B$30*C83,0)</f>
        <v>0</v>
      </c>
      <c r="D30" s="27">
        <f t="shared" ref="D30:N30" si="20">ROUND($B$30*D83,0)</f>
        <v>0</v>
      </c>
      <c r="E30" s="27">
        <f t="shared" si="20"/>
        <v>0</v>
      </c>
      <c r="F30" s="27">
        <f t="shared" si="20"/>
        <v>0</v>
      </c>
      <c r="G30" s="27">
        <f t="shared" si="20"/>
        <v>0</v>
      </c>
      <c r="H30" s="27">
        <f t="shared" si="20"/>
        <v>0</v>
      </c>
      <c r="I30" s="27">
        <f t="shared" si="20"/>
        <v>0</v>
      </c>
      <c r="J30" s="27">
        <f t="shared" si="20"/>
        <v>0</v>
      </c>
      <c r="K30" s="27">
        <f t="shared" si="20"/>
        <v>0</v>
      </c>
      <c r="L30" s="27">
        <f t="shared" si="20"/>
        <v>0</v>
      </c>
      <c r="M30" s="27">
        <f t="shared" si="20"/>
        <v>0</v>
      </c>
      <c r="N30" s="27">
        <f t="shared" si="20"/>
        <v>0</v>
      </c>
      <c r="O30" s="929">
        <f t="shared" si="5"/>
        <v>0</v>
      </c>
      <c r="P30" s="26">
        <f t="shared" si="2"/>
        <v>0</v>
      </c>
      <c r="Q30" s="928"/>
    </row>
    <row r="31" spans="1:17" ht="30" customHeight="1">
      <c r="A31" s="50" t="s">
        <v>974</v>
      </c>
      <c r="B31" s="57">
        <f>Summary!P24</f>
        <v>0</v>
      </c>
      <c r="C31" s="27">
        <f>ROUND($B$31*C84,0)</f>
        <v>0</v>
      </c>
      <c r="D31" s="27">
        <f t="shared" ref="D31:N31" si="21">ROUND($B$31*D84,0)</f>
        <v>0</v>
      </c>
      <c r="E31" s="27">
        <f t="shared" si="21"/>
        <v>0</v>
      </c>
      <c r="F31" s="27">
        <f t="shared" si="21"/>
        <v>0</v>
      </c>
      <c r="G31" s="27">
        <f t="shared" si="21"/>
        <v>0</v>
      </c>
      <c r="H31" s="27">
        <f t="shared" si="21"/>
        <v>0</v>
      </c>
      <c r="I31" s="27">
        <f t="shared" si="21"/>
        <v>0</v>
      </c>
      <c r="J31" s="27">
        <f t="shared" si="21"/>
        <v>0</v>
      </c>
      <c r="K31" s="27">
        <f t="shared" si="21"/>
        <v>0</v>
      </c>
      <c r="L31" s="27">
        <f t="shared" si="21"/>
        <v>0</v>
      </c>
      <c r="M31" s="27">
        <f t="shared" si="21"/>
        <v>0</v>
      </c>
      <c r="N31" s="27">
        <f t="shared" si="21"/>
        <v>0</v>
      </c>
      <c r="O31" s="929">
        <f t="shared" si="5"/>
        <v>0</v>
      </c>
      <c r="P31" s="26">
        <f t="shared" si="2"/>
        <v>0</v>
      </c>
      <c r="Q31" s="928"/>
    </row>
    <row r="32" spans="1:17" ht="30" customHeight="1">
      <c r="A32" s="50" t="s">
        <v>560</v>
      </c>
      <c r="B32" s="57">
        <f>Summary!P25</f>
        <v>0</v>
      </c>
      <c r="C32" s="27">
        <f>ROUND($B$32*C85,0)</f>
        <v>0</v>
      </c>
      <c r="D32" s="27">
        <f t="shared" ref="D32:N32" si="22">ROUND($B$32*D85,0)</f>
        <v>0</v>
      </c>
      <c r="E32" s="27">
        <f t="shared" si="22"/>
        <v>0</v>
      </c>
      <c r="F32" s="27">
        <f t="shared" si="22"/>
        <v>0</v>
      </c>
      <c r="G32" s="27">
        <f t="shared" si="22"/>
        <v>0</v>
      </c>
      <c r="H32" s="27">
        <f t="shared" si="22"/>
        <v>0</v>
      </c>
      <c r="I32" s="27">
        <f t="shared" si="22"/>
        <v>0</v>
      </c>
      <c r="J32" s="27">
        <f t="shared" si="22"/>
        <v>0</v>
      </c>
      <c r="K32" s="27">
        <f t="shared" si="22"/>
        <v>0</v>
      </c>
      <c r="L32" s="27">
        <f t="shared" si="22"/>
        <v>0</v>
      </c>
      <c r="M32" s="27">
        <f t="shared" si="22"/>
        <v>0</v>
      </c>
      <c r="N32" s="27">
        <f t="shared" si="22"/>
        <v>0</v>
      </c>
      <c r="O32" s="929">
        <f t="shared" si="5"/>
        <v>0</v>
      </c>
      <c r="P32" s="26">
        <f t="shared" si="2"/>
        <v>0</v>
      </c>
      <c r="Q32" s="928"/>
    </row>
    <row r="33" spans="1:17" ht="30" customHeight="1">
      <c r="A33" s="50" t="s">
        <v>561</v>
      </c>
      <c r="B33" s="57">
        <f>Summary!P26</f>
        <v>0</v>
      </c>
      <c r="C33" s="27">
        <f>ROUND($B$33*C86,0)</f>
        <v>0</v>
      </c>
      <c r="D33" s="27">
        <f t="shared" ref="D33:N33" si="23">ROUND($B$33*D86,0)</f>
        <v>0</v>
      </c>
      <c r="E33" s="27">
        <f t="shared" si="23"/>
        <v>0</v>
      </c>
      <c r="F33" s="27">
        <f t="shared" si="23"/>
        <v>0</v>
      </c>
      <c r="G33" s="27">
        <f t="shared" si="23"/>
        <v>0</v>
      </c>
      <c r="H33" s="27">
        <f t="shared" si="23"/>
        <v>0</v>
      </c>
      <c r="I33" s="27">
        <f t="shared" si="23"/>
        <v>0</v>
      </c>
      <c r="J33" s="27">
        <f t="shared" si="23"/>
        <v>0</v>
      </c>
      <c r="K33" s="27">
        <f t="shared" si="23"/>
        <v>0</v>
      </c>
      <c r="L33" s="27">
        <f t="shared" si="23"/>
        <v>0</v>
      </c>
      <c r="M33" s="27">
        <f t="shared" si="23"/>
        <v>0</v>
      </c>
      <c r="N33" s="27">
        <f t="shared" si="23"/>
        <v>0</v>
      </c>
      <c r="O33" s="929">
        <f t="shared" si="5"/>
        <v>0</v>
      </c>
      <c r="P33" s="26">
        <f t="shared" si="2"/>
        <v>0</v>
      </c>
      <c r="Q33" s="928"/>
    </row>
    <row r="34" spans="1:17" ht="30" customHeight="1">
      <c r="A34" s="50" t="s">
        <v>562</v>
      </c>
      <c r="B34" s="57">
        <f>Summary!P27</f>
        <v>0</v>
      </c>
      <c r="C34" s="27">
        <f>ROUND($B$34*C87,0)</f>
        <v>0</v>
      </c>
      <c r="D34" s="27">
        <f t="shared" ref="D34:N34" si="24">ROUND($B$34*D87,0)</f>
        <v>0</v>
      </c>
      <c r="E34" s="27">
        <f t="shared" si="24"/>
        <v>0</v>
      </c>
      <c r="F34" s="27">
        <f t="shared" si="24"/>
        <v>0</v>
      </c>
      <c r="G34" s="27">
        <f t="shared" si="24"/>
        <v>0</v>
      </c>
      <c r="H34" s="27">
        <f t="shared" si="24"/>
        <v>0</v>
      </c>
      <c r="I34" s="27">
        <f t="shared" si="24"/>
        <v>0</v>
      </c>
      <c r="J34" s="27">
        <f t="shared" si="24"/>
        <v>0</v>
      </c>
      <c r="K34" s="27">
        <f t="shared" si="24"/>
        <v>0</v>
      </c>
      <c r="L34" s="27">
        <f t="shared" si="24"/>
        <v>0</v>
      </c>
      <c r="M34" s="27">
        <f t="shared" si="24"/>
        <v>0</v>
      </c>
      <c r="N34" s="27">
        <f t="shared" si="24"/>
        <v>0</v>
      </c>
      <c r="O34" s="929">
        <f t="shared" si="5"/>
        <v>0</v>
      </c>
      <c r="P34" s="26">
        <f t="shared" si="2"/>
        <v>0</v>
      </c>
      <c r="Q34" s="928"/>
    </row>
    <row r="35" spans="1:17" ht="30" customHeight="1">
      <c r="A35" s="50" t="s">
        <v>563</v>
      </c>
      <c r="B35" s="57">
        <f>Summary!P28</f>
        <v>0</v>
      </c>
      <c r="C35" s="27">
        <f>ROUND($B$35*C88,0)</f>
        <v>0</v>
      </c>
      <c r="D35" s="27">
        <f t="shared" ref="D35:N35" si="25">ROUND($B$35*D88,0)</f>
        <v>0</v>
      </c>
      <c r="E35" s="27">
        <f t="shared" si="25"/>
        <v>0</v>
      </c>
      <c r="F35" s="27">
        <f t="shared" si="25"/>
        <v>0</v>
      </c>
      <c r="G35" s="27">
        <f t="shared" si="25"/>
        <v>0</v>
      </c>
      <c r="H35" s="27">
        <f t="shared" si="25"/>
        <v>0</v>
      </c>
      <c r="I35" s="27">
        <f t="shared" si="25"/>
        <v>0</v>
      </c>
      <c r="J35" s="27">
        <f t="shared" si="25"/>
        <v>0</v>
      </c>
      <c r="K35" s="27">
        <f t="shared" si="25"/>
        <v>0</v>
      </c>
      <c r="L35" s="27">
        <f t="shared" si="25"/>
        <v>0</v>
      </c>
      <c r="M35" s="27">
        <f t="shared" si="25"/>
        <v>0</v>
      </c>
      <c r="N35" s="27">
        <f t="shared" si="25"/>
        <v>0</v>
      </c>
      <c r="O35" s="929">
        <f t="shared" si="5"/>
        <v>0</v>
      </c>
      <c r="P35" s="26">
        <f t="shared" si="2"/>
        <v>0</v>
      </c>
      <c r="Q35" s="928"/>
    </row>
    <row r="36" spans="1:17" ht="30" customHeight="1">
      <c r="A36" s="50" t="s">
        <v>1680</v>
      </c>
      <c r="B36" s="57">
        <f>Summary!P29</f>
        <v>0</v>
      </c>
      <c r="C36" s="27">
        <f>ROUND($B$36*C89,0)</f>
        <v>0</v>
      </c>
      <c r="D36" s="27">
        <f t="shared" ref="D36:N36" si="26">ROUND($B$36*D89,0)</f>
        <v>0</v>
      </c>
      <c r="E36" s="27">
        <f t="shared" si="26"/>
        <v>0</v>
      </c>
      <c r="F36" s="27">
        <f t="shared" si="26"/>
        <v>0</v>
      </c>
      <c r="G36" s="27">
        <f t="shared" si="26"/>
        <v>0</v>
      </c>
      <c r="H36" s="27">
        <f t="shared" si="26"/>
        <v>0</v>
      </c>
      <c r="I36" s="27">
        <f t="shared" si="26"/>
        <v>0</v>
      </c>
      <c r="J36" s="27">
        <f t="shared" si="26"/>
        <v>0</v>
      </c>
      <c r="K36" s="27">
        <f t="shared" si="26"/>
        <v>0</v>
      </c>
      <c r="L36" s="27">
        <f t="shared" si="26"/>
        <v>0</v>
      </c>
      <c r="M36" s="27">
        <f t="shared" si="26"/>
        <v>0</v>
      </c>
      <c r="N36" s="27">
        <f t="shared" si="26"/>
        <v>0</v>
      </c>
      <c r="O36" s="929">
        <f t="shared" si="5"/>
        <v>0</v>
      </c>
      <c r="P36" s="26">
        <f t="shared" si="2"/>
        <v>0</v>
      </c>
      <c r="Q36" s="928"/>
    </row>
    <row r="37" spans="1:17" ht="30" customHeight="1">
      <c r="A37" s="50" t="s">
        <v>1681</v>
      </c>
      <c r="B37" s="57">
        <f>Summary!P30</f>
        <v>0</v>
      </c>
      <c r="C37" s="27">
        <f>ROUND($B$37*C90,0)</f>
        <v>0</v>
      </c>
      <c r="D37" s="27">
        <f t="shared" ref="D37:N37" si="27">ROUND($B$37*D90,0)</f>
        <v>0</v>
      </c>
      <c r="E37" s="27">
        <f t="shared" si="27"/>
        <v>0</v>
      </c>
      <c r="F37" s="27">
        <f t="shared" si="27"/>
        <v>0</v>
      </c>
      <c r="G37" s="27">
        <f t="shared" si="27"/>
        <v>0</v>
      </c>
      <c r="H37" s="27">
        <f t="shared" si="27"/>
        <v>0</v>
      </c>
      <c r="I37" s="27">
        <f t="shared" si="27"/>
        <v>0</v>
      </c>
      <c r="J37" s="27">
        <f t="shared" si="27"/>
        <v>0</v>
      </c>
      <c r="K37" s="27">
        <f t="shared" si="27"/>
        <v>0</v>
      </c>
      <c r="L37" s="27">
        <f t="shared" si="27"/>
        <v>0</v>
      </c>
      <c r="M37" s="27">
        <f t="shared" si="27"/>
        <v>0</v>
      </c>
      <c r="N37" s="27">
        <f t="shared" si="27"/>
        <v>0</v>
      </c>
      <c r="O37" s="929">
        <f t="shared" si="5"/>
        <v>0</v>
      </c>
      <c r="P37" s="26">
        <f t="shared" si="2"/>
        <v>0</v>
      </c>
      <c r="Q37" s="928"/>
    </row>
    <row r="38" spans="1:17" ht="30" customHeight="1">
      <c r="A38" s="50" t="s">
        <v>531</v>
      </c>
      <c r="B38" s="57">
        <f>Summary!P31</f>
        <v>0</v>
      </c>
      <c r="C38" s="27">
        <f>ROUND($B$38*C91,0)</f>
        <v>0</v>
      </c>
      <c r="D38" s="27">
        <f t="shared" ref="D38:N38" si="28">ROUND($B$38*D91,0)</f>
        <v>0</v>
      </c>
      <c r="E38" s="27">
        <f t="shared" si="28"/>
        <v>0</v>
      </c>
      <c r="F38" s="27">
        <f t="shared" si="28"/>
        <v>0</v>
      </c>
      <c r="G38" s="27">
        <f t="shared" si="28"/>
        <v>0</v>
      </c>
      <c r="H38" s="27">
        <f t="shared" si="28"/>
        <v>0</v>
      </c>
      <c r="I38" s="27">
        <f t="shared" si="28"/>
        <v>0</v>
      </c>
      <c r="J38" s="27">
        <f t="shared" si="28"/>
        <v>0</v>
      </c>
      <c r="K38" s="27">
        <f t="shared" si="28"/>
        <v>0</v>
      </c>
      <c r="L38" s="27">
        <f t="shared" si="28"/>
        <v>0</v>
      </c>
      <c r="M38" s="27">
        <f t="shared" si="28"/>
        <v>0</v>
      </c>
      <c r="N38" s="27">
        <f t="shared" si="28"/>
        <v>0</v>
      </c>
      <c r="O38" s="929">
        <f t="shared" si="5"/>
        <v>0</v>
      </c>
      <c r="P38" s="26">
        <f t="shared" si="2"/>
        <v>0</v>
      </c>
      <c r="Q38" s="928"/>
    </row>
    <row r="39" spans="1:17" ht="30" customHeight="1">
      <c r="A39" s="50" t="s">
        <v>565</v>
      </c>
      <c r="B39" s="57">
        <f>Summary!P32</f>
        <v>0</v>
      </c>
      <c r="C39" s="27">
        <f>ROUND($B$39*C92,0)</f>
        <v>0</v>
      </c>
      <c r="D39" s="27">
        <f t="shared" ref="D39:N39" si="29">ROUND($B$39*D92,0)</f>
        <v>0</v>
      </c>
      <c r="E39" s="27">
        <f t="shared" si="29"/>
        <v>0</v>
      </c>
      <c r="F39" s="27">
        <f t="shared" si="29"/>
        <v>0</v>
      </c>
      <c r="G39" s="27">
        <f t="shared" si="29"/>
        <v>0</v>
      </c>
      <c r="H39" s="27">
        <f t="shared" si="29"/>
        <v>0</v>
      </c>
      <c r="I39" s="27">
        <f t="shared" si="29"/>
        <v>0</v>
      </c>
      <c r="J39" s="27">
        <f t="shared" si="29"/>
        <v>0</v>
      </c>
      <c r="K39" s="27">
        <f t="shared" si="29"/>
        <v>0</v>
      </c>
      <c r="L39" s="27">
        <f t="shared" si="29"/>
        <v>0</v>
      </c>
      <c r="M39" s="27">
        <f t="shared" si="29"/>
        <v>0</v>
      </c>
      <c r="N39" s="27">
        <f t="shared" si="29"/>
        <v>0</v>
      </c>
      <c r="O39" s="929">
        <f t="shared" si="5"/>
        <v>0</v>
      </c>
      <c r="P39" s="26">
        <f t="shared" si="2"/>
        <v>0</v>
      </c>
      <c r="Q39" s="928"/>
    </row>
    <row r="40" spans="1:17" ht="30" customHeight="1">
      <c r="A40" s="50" t="s">
        <v>564</v>
      </c>
      <c r="B40" s="57">
        <f>Summary!P33</f>
        <v>0</v>
      </c>
      <c r="C40" s="27">
        <f>ROUND($B$40*C93,0)</f>
        <v>0</v>
      </c>
      <c r="D40" s="27">
        <f t="shared" ref="D40:N40" si="30">ROUND($B$40*D93,0)</f>
        <v>0</v>
      </c>
      <c r="E40" s="27">
        <f t="shared" si="30"/>
        <v>0</v>
      </c>
      <c r="F40" s="27">
        <f t="shared" si="30"/>
        <v>0</v>
      </c>
      <c r="G40" s="27">
        <f t="shared" si="30"/>
        <v>0</v>
      </c>
      <c r="H40" s="27">
        <f t="shared" si="30"/>
        <v>0</v>
      </c>
      <c r="I40" s="27">
        <f t="shared" si="30"/>
        <v>0</v>
      </c>
      <c r="J40" s="27">
        <f t="shared" si="30"/>
        <v>0</v>
      </c>
      <c r="K40" s="27">
        <f t="shared" si="30"/>
        <v>0</v>
      </c>
      <c r="L40" s="27">
        <f t="shared" si="30"/>
        <v>0</v>
      </c>
      <c r="M40" s="27">
        <f t="shared" si="30"/>
        <v>0</v>
      </c>
      <c r="N40" s="27">
        <f t="shared" si="30"/>
        <v>0</v>
      </c>
      <c r="O40" s="929">
        <f t="shared" si="5"/>
        <v>0</v>
      </c>
      <c r="P40" s="26">
        <f t="shared" si="2"/>
        <v>0</v>
      </c>
      <c r="Q40" s="928"/>
    </row>
    <row r="41" spans="1:17" s="181" customFormat="1" ht="30" customHeight="1">
      <c r="A41" s="153" t="s">
        <v>1155</v>
      </c>
      <c r="B41" s="141">
        <f>Summary!P34</f>
        <v>0</v>
      </c>
      <c r="C41" s="27">
        <f>ROUND($B$41*C94,0)</f>
        <v>0</v>
      </c>
      <c r="D41" s="27">
        <f t="shared" ref="D41:N41" si="31">ROUND($B$41*D94,0)</f>
        <v>0</v>
      </c>
      <c r="E41" s="27">
        <f t="shared" si="31"/>
        <v>0</v>
      </c>
      <c r="F41" s="27">
        <f t="shared" si="31"/>
        <v>0</v>
      </c>
      <c r="G41" s="27">
        <f t="shared" si="31"/>
        <v>0</v>
      </c>
      <c r="H41" s="27">
        <f t="shared" si="31"/>
        <v>0</v>
      </c>
      <c r="I41" s="27">
        <f t="shared" si="31"/>
        <v>0</v>
      </c>
      <c r="J41" s="27">
        <f t="shared" si="31"/>
        <v>0</v>
      </c>
      <c r="K41" s="27">
        <f t="shared" si="31"/>
        <v>0</v>
      </c>
      <c r="L41" s="27">
        <f t="shared" si="31"/>
        <v>0</v>
      </c>
      <c r="M41" s="27">
        <f t="shared" si="31"/>
        <v>0</v>
      </c>
      <c r="N41" s="27">
        <f t="shared" si="31"/>
        <v>0</v>
      </c>
      <c r="O41" s="929">
        <f t="shared" si="5"/>
        <v>0</v>
      </c>
      <c r="P41" s="26">
        <f t="shared" si="2"/>
        <v>0</v>
      </c>
      <c r="Q41" s="931"/>
    </row>
    <row r="42" spans="1:17" ht="30" customHeight="1">
      <c r="A42" s="152" t="s">
        <v>566</v>
      </c>
      <c r="B42" s="57">
        <f>Summary!P35</f>
        <v>0</v>
      </c>
      <c r="C42" s="27">
        <f>ROUND($B$42*C95,0)</f>
        <v>0</v>
      </c>
      <c r="D42" s="27">
        <f>ROUND($B$42*D95,0)</f>
        <v>0</v>
      </c>
      <c r="E42" s="27">
        <f>ROUND($B$42*E95,0)</f>
        <v>0</v>
      </c>
      <c r="F42" s="27">
        <f>ROUND($B$42*F95,0)</f>
        <v>0</v>
      </c>
      <c r="G42" s="27">
        <f t="shared" ref="G42:N42" si="32">ROUND($B$42*G95,0)</f>
        <v>0</v>
      </c>
      <c r="H42" s="27">
        <f t="shared" si="32"/>
        <v>0</v>
      </c>
      <c r="I42" s="27">
        <f t="shared" si="32"/>
        <v>0</v>
      </c>
      <c r="J42" s="27">
        <f t="shared" si="32"/>
        <v>0</v>
      </c>
      <c r="K42" s="27">
        <f t="shared" si="32"/>
        <v>0</v>
      </c>
      <c r="L42" s="27">
        <f t="shared" si="32"/>
        <v>0</v>
      </c>
      <c r="M42" s="27">
        <f t="shared" si="32"/>
        <v>0</v>
      </c>
      <c r="N42" s="27">
        <f t="shared" si="32"/>
        <v>0</v>
      </c>
      <c r="O42" s="929">
        <f t="shared" si="5"/>
        <v>0</v>
      </c>
      <c r="P42" s="26">
        <f t="shared" si="2"/>
        <v>0</v>
      </c>
      <c r="Q42" s="928"/>
    </row>
    <row r="43" spans="1:17" ht="30" customHeight="1">
      <c r="A43" s="153" t="s">
        <v>556</v>
      </c>
      <c r="B43" s="57">
        <f>Summary!P36</f>
        <v>0</v>
      </c>
      <c r="C43" s="27">
        <f>ROUND($B$43*C96,0)</f>
        <v>0</v>
      </c>
      <c r="D43" s="27">
        <f>ROUND($B$43*D96,0)</f>
        <v>0</v>
      </c>
      <c r="E43" s="27">
        <f>ROUND($B$43*E96,0)</f>
        <v>0</v>
      </c>
      <c r="F43" s="27">
        <f>ROUND($B$43*F96,0)</f>
        <v>0</v>
      </c>
      <c r="G43" s="27">
        <f t="shared" ref="G43:N43" si="33">ROUND($B$43*G96,0)</f>
        <v>0</v>
      </c>
      <c r="H43" s="27">
        <f t="shared" si="33"/>
        <v>0</v>
      </c>
      <c r="I43" s="27">
        <f t="shared" si="33"/>
        <v>0</v>
      </c>
      <c r="J43" s="27">
        <f t="shared" si="33"/>
        <v>0</v>
      </c>
      <c r="K43" s="27">
        <f t="shared" si="33"/>
        <v>0</v>
      </c>
      <c r="L43" s="27">
        <f t="shared" si="33"/>
        <v>0</v>
      </c>
      <c r="M43" s="27">
        <f t="shared" si="33"/>
        <v>0</v>
      </c>
      <c r="N43" s="27">
        <f t="shared" si="33"/>
        <v>0</v>
      </c>
      <c r="O43" s="929">
        <f>SUM(C43:N43)</f>
        <v>0</v>
      </c>
      <c r="P43" s="26">
        <f>ROUND(SUM(C43:N43)*1.1,0)</f>
        <v>0</v>
      </c>
      <c r="Q43" s="928"/>
    </row>
    <row r="44" spans="1:17" ht="30" customHeight="1">
      <c r="A44" s="153" t="s">
        <v>557</v>
      </c>
      <c r="B44" s="57">
        <f>Summary!P37</f>
        <v>0</v>
      </c>
      <c r="C44" s="27">
        <f>ROUND($B$44*C97,0)</f>
        <v>0</v>
      </c>
      <c r="D44" s="27">
        <f>ROUND($B$44*D97,0)</f>
        <v>0</v>
      </c>
      <c r="E44" s="27">
        <f>ROUND($B$44*E97,0)</f>
        <v>0</v>
      </c>
      <c r="F44" s="27">
        <f>ROUND($B$44*F97,0)</f>
        <v>0</v>
      </c>
      <c r="G44" s="27">
        <f t="shared" ref="G44:N44" si="34">ROUND($B$44*G97,0)</f>
        <v>0</v>
      </c>
      <c r="H44" s="27">
        <f t="shared" si="34"/>
        <v>0</v>
      </c>
      <c r="I44" s="27">
        <f t="shared" si="34"/>
        <v>0</v>
      </c>
      <c r="J44" s="27">
        <f t="shared" si="34"/>
        <v>0</v>
      </c>
      <c r="K44" s="27">
        <f t="shared" si="34"/>
        <v>0</v>
      </c>
      <c r="L44" s="27">
        <f t="shared" si="34"/>
        <v>0</v>
      </c>
      <c r="M44" s="27">
        <f t="shared" si="34"/>
        <v>0</v>
      </c>
      <c r="N44" s="27">
        <f t="shared" si="34"/>
        <v>0</v>
      </c>
      <c r="O44" s="929">
        <f>SUM(C44:N44)</f>
        <v>0</v>
      </c>
      <c r="P44" s="26">
        <f>ROUND(SUM(C44:N44)*1.1,0)</f>
        <v>0</v>
      </c>
      <c r="Q44" s="928"/>
    </row>
    <row r="45" spans="1:17" ht="30" customHeight="1">
      <c r="A45" s="153" t="s">
        <v>227</v>
      </c>
      <c r="B45" s="57">
        <f>Summary!P38</f>
        <v>0</v>
      </c>
      <c r="C45" s="27">
        <f>ROUND($B$45*C98,0)</f>
        <v>0</v>
      </c>
      <c r="D45" s="27">
        <f>ROUND($B$45*D98,0)</f>
        <v>0</v>
      </c>
      <c r="E45" s="27">
        <f>ROUND($B$45*E98,0)</f>
        <v>0</v>
      </c>
      <c r="F45" s="27">
        <f>ROUND($B$45*F98,0)</f>
        <v>0</v>
      </c>
      <c r="G45" s="27">
        <f t="shared" ref="G45:N45" si="35">ROUND($B$45*G98,0)</f>
        <v>0</v>
      </c>
      <c r="H45" s="27">
        <f t="shared" si="35"/>
        <v>0</v>
      </c>
      <c r="I45" s="27">
        <f t="shared" si="35"/>
        <v>0</v>
      </c>
      <c r="J45" s="27">
        <f t="shared" si="35"/>
        <v>0</v>
      </c>
      <c r="K45" s="27">
        <f t="shared" si="35"/>
        <v>0</v>
      </c>
      <c r="L45" s="27">
        <f t="shared" si="35"/>
        <v>0</v>
      </c>
      <c r="M45" s="27">
        <f t="shared" si="35"/>
        <v>0</v>
      </c>
      <c r="N45" s="27">
        <f t="shared" si="35"/>
        <v>0</v>
      </c>
      <c r="O45" s="929">
        <f>SUM(C45:N45)</f>
        <v>0</v>
      </c>
      <c r="P45" s="26">
        <f>ROUND(SUM(C45:N45)*1.1,0)</f>
        <v>0</v>
      </c>
      <c r="Q45" s="928"/>
    </row>
    <row r="46" spans="1:17" s="181" customFormat="1" ht="30" customHeight="1">
      <c r="A46" s="50" t="s">
        <v>1120</v>
      </c>
      <c r="B46" s="57">
        <f>Summary!P39</f>
        <v>0</v>
      </c>
      <c r="C46" s="27">
        <f t="shared" ref="C46:N46" si="36">ROUND($B$46*C99,0)</f>
        <v>0</v>
      </c>
      <c r="D46" s="27">
        <f t="shared" si="36"/>
        <v>0</v>
      </c>
      <c r="E46" s="27">
        <f t="shared" si="36"/>
        <v>0</v>
      </c>
      <c r="F46" s="27">
        <f t="shared" si="36"/>
        <v>0</v>
      </c>
      <c r="G46" s="27">
        <f t="shared" si="36"/>
        <v>0</v>
      </c>
      <c r="H46" s="27">
        <f t="shared" si="36"/>
        <v>0</v>
      </c>
      <c r="I46" s="27">
        <f t="shared" si="36"/>
        <v>0</v>
      </c>
      <c r="J46" s="27">
        <f t="shared" si="36"/>
        <v>0</v>
      </c>
      <c r="K46" s="27">
        <f t="shared" si="36"/>
        <v>0</v>
      </c>
      <c r="L46" s="27">
        <f t="shared" si="36"/>
        <v>0</v>
      </c>
      <c r="M46" s="27">
        <f t="shared" si="36"/>
        <v>0</v>
      </c>
      <c r="N46" s="27">
        <f t="shared" si="36"/>
        <v>0</v>
      </c>
      <c r="O46" s="929">
        <f>SUM(C46:N46)</f>
        <v>0</v>
      </c>
      <c r="P46" s="26">
        <f>ROUND(SUM(C46:N46)*1.1,0)</f>
        <v>0</v>
      </c>
      <c r="Q46" s="931"/>
    </row>
    <row r="47" spans="1:17" ht="30" customHeight="1">
      <c r="A47" s="49" t="s">
        <v>528</v>
      </c>
      <c r="B47" s="27">
        <f t="shared" ref="B47:P47" si="37">SUM(B12:B46)</f>
        <v>0</v>
      </c>
      <c r="C47" s="27">
        <f t="shared" si="37"/>
        <v>0</v>
      </c>
      <c r="D47" s="27">
        <f t="shared" si="37"/>
        <v>0</v>
      </c>
      <c r="E47" s="27">
        <f t="shared" si="37"/>
        <v>0</v>
      </c>
      <c r="F47" s="27">
        <f t="shared" si="37"/>
        <v>0</v>
      </c>
      <c r="G47" s="27">
        <f t="shared" si="37"/>
        <v>0</v>
      </c>
      <c r="H47" s="27">
        <f t="shared" si="37"/>
        <v>0</v>
      </c>
      <c r="I47" s="27">
        <f t="shared" si="37"/>
        <v>0</v>
      </c>
      <c r="J47" s="27">
        <f t="shared" si="37"/>
        <v>0</v>
      </c>
      <c r="K47" s="27">
        <f t="shared" si="37"/>
        <v>0</v>
      </c>
      <c r="L47" s="27">
        <f t="shared" si="37"/>
        <v>0</v>
      </c>
      <c r="M47" s="27">
        <f t="shared" si="37"/>
        <v>0</v>
      </c>
      <c r="N47" s="27">
        <f t="shared" si="37"/>
        <v>0</v>
      </c>
      <c r="O47" s="932">
        <f t="shared" si="37"/>
        <v>0</v>
      </c>
      <c r="P47" s="933">
        <f t="shared" si="37"/>
        <v>0</v>
      </c>
      <c r="Q47" s="934"/>
    </row>
    <row r="48" spans="1:17" ht="30" customHeight="1">
      <c r="J48" s="58" t="s">
        <v>529</v>
      </c>
      <c r="K48" s="59"/>
      <c r="L48" s="60"/>
      <c r="M48" s="56"/>
      <c r="N48" s="24"/>
      <c r="O48" s="935"/>
      <c r="P48" s="936"/>
      <c r="Q48" s="937"/>
    </row>
    <row r="49" spans="1:17" ht="30" customHeight="1">
      <c r="A49" s="173" t="s">
        <v>605</v>
      </c>
      <c r="B49" s="28"/>
      <c r="C49" s="29"/>
      <c r="D49" s="29"/>
      <c r="E49" s="29"/>
      <c r="F49" s="29"/>
      <c r="G49" s="29"/>
      <c r="H49" s="29"/>
      <c r="I49" s="28"/>
      <c r="J49" s="61">
        <f>Summary!C41</f>
        <v>0</v>
      </c>
      <c r="K49" s="62" t="s">
        <v>1604</v>
      </c>
      <c r="L49" s="60"/>
      <c r="M49" s="2031" t="s">
        <v>228</v>
      </c>
      <c r="N49" s="2032"/>
      <c r="O49" s="938">
        <f>O47</f>
        <v>0</v>
      </c>
      <c r="P49" s="939">
        <f>P47</f>
        <v>0</v>
      </c>
      <c r="Q49" s="940"/>
    </row>
    <row r="50" spans="1:17" ht="20.399999999999999">
      <c r="A50" s="174" t="s">
        <v>1171</v>
      </c>
      <c r="B50" s="28"/>
      <c r="C50" s="29"/>
      <c r="D50" s="29"/>
      <c r="E50" s="29"/>
      <c r="F50" s="29"/>
      <c r="G50" s="29"/>
      <c r="H50" s="128"/>
      <c r="I50" s="28"/>
      <c r="J50" s="75"/>
      <c r="K50" s="62"/>
      <c r="L50" s="60"/>
      <c r="M50" s="76"/>
      <c r="N50" s="76"/>
      <c r="O50" s="74"/>
      <c r="P50" s="74"/>
    </row>
    <row r="51" spans="1:17" ht="20.399999999999999">
      <c r="A51" s="1930" t="s">
        <v>2616</v>
      </c>
      <c r="B51" s="28"/>
      <c r="C51" s="176"/>
      <c r="D51" s="29"/>
      <c r="E51" s="29"/>
      <c r="F51" s="29"/>
      <c r="G51" s="29"/>
      <c r="H51" s="128"/>
      <c r="I51" s="28"/>
      <c r="J51" s="75"/>
      <c r="K51" s="62"/>
      <c r="L51" s="60"/>
      <c r="M51" s="76"/>
      <c r="N51" s="76"/>
      <c r="O51" s="74"/>
      <c r="P51" s="74"/>
    </row>
    <row r="52" spans="1:17" ht="20.399999999999999">
      <c r="A52" s="944" t="s">
        <v>1595</v>
      </c>
      <c r="B52" s="28"/>
      <c r="C52" s="29"/>
      <c r="D52" s="29"/>
      <c r="E52" s="29"/>
      <c r="F52" s="29"/>
      <c r="G52" s="29"/>
      <c r="H52" s="128"/>
      <c r="I52" s="28"/>
      <c r="J52" s="75"/>
      <c r="K52" s="62"/>
      <c r="L52" s="60"/>
      <c r="M52" s="76"/>
      <c r="N52" s="76"/>
      <c r="O52" s="74"/>
      <c r="P52" s="74"/>
    </row>
    <row r="53" spans="1:17" ht="20.399999999999999">
      <c r="A53" s="944" t="s">
        <v>1594</v>
      </c>
      <c r="B53" s="28"/>
      <c r="C53" s="29"/>
      <c r="D53" s="29"/>
      <c r="E53" s="29"/>
      <c r="F53" s="29"/>
      <c r="G53" s="29"/>
      <c r="H53" s="128"/>
      <c r="I53" s="28"/>
      <c r="J53" s="75"/>
      <c r="K53" s="62"/>
      <c r="L53" s="60"/>
      <c r="M53" s="76"/>
      <c r="N53" s="76"/>
      <c r="O53" s="74"/>
      <c r="P53" s="74"/>
    </row>
    <row r="54" spans="1:17" ht="20.399999999999999">
      <c r="A54" s="174" t="s">
        <v>1170</v>
      </c>
      <c r="B54" s="28"/>
      <c r="C54" s="29"/>
      <c r="D54" s="29"/>
      <c r="E54" s="29"/>
      <c r="F54" s="29"/>
      <c r="G54" s="29"/>
      <c r="H54" s="128"/>
      <c r="I54" s="28"/>
      <c r="J54" s="75"/>
      <c r="K54" s="62"/>
      <c r="L54" s="60"/>
      <c r="M54" s="76"/>
      <c r="N54" s="76"/>
      <c r="O54" s="74"/>
      <c r="P54" s="74"/>
    </row>
    <row r="55" spans="1:17" ht="30.75" customHeight="1">
      <c r="A55" s="28"/>
      <c r="B55" s="28"/>
      <c r="C55" s="29"/>
      <c r="D55" s="29"/>
      <c r="E55" s="29"/>
      <c r="F55" s="29"/>
      <c r="G55" s="29"/>
      <c r="H55" s="29"/>
      <c r="I55" s="28"/>
      <c r="J55" s="75"/>
      <c r="K55" s="62"/>
      <c r="L55" s="60"/>
      <c r="M55" s="76"/>
      <c r="N55" s="76"/>
      <c r="O55" s="74"/>
      <c r="P55" s="74"/>
    </row>
    <row r="56" spans="1:17">
      <c r="O56" s="30"/>
      <c r="P56" s="30"/>
    </row>
    <row r="57" spans="1:17" ht="24.6">
      <c r="A57" s="2025" t="s">
        <v>465</v>
      </c>
      <c r="B57" s="2025"/>
      <c r="C57" s="2025"/>
      <c r="D57" s="2025"/>
      <c r="E57" s="2025"/>
      <c r="F57" s="2025"/>
      <c r="G57" s="2025"/>
      <c r="H57" s="2025"/>
      <c r="I57" s="2025"/>
      <c r="J57" s="2025"/>
      <c r="K57" s="2025"/>
      <c r="L57" s="2025"/>
      <c r="M57" s="2025"/>
      <c r="N57" s="2025"/>
      <c r="O57" s="2025"/>
      <c r="P57" s="2025"/>
      <c r="Q57" s="2025"/>
    </row>
    <row r="58" spans="1:17" s="88" customFormat="1" ht="20.399999999999999">
      <c r="D58" s="22"/>
      <c r="E58" s="22"/>
      <c r="F58" s="22"/>
      <c r="G58" s="22"/>
      <c r="H58" s="22"/>
      <c r="J58" s="22"/>
    </row>
    <row r="59" spans="1:17" s="88" customFormat="1" ht="20.399999999999999">
      <c r="A59" s="88" t="s">
        <v>519</v>
      </c>
      <c r="B59" s="89" t="str">
        <f>B3</f>
        <v>999999-1-32-01</v>
      </c>
      <c r="C59" s="90"/>
      <c r="K59" s="91"/>
      <c r="N59" s="88" t="s">
        <v>520</v>
      </c>
      <c r="O59" s="92" t="str">
        <f>N3</f>
        <v>Enter project name &amp; description</v>
      </c>
      <c r="P59" s="93"/>
      <c r="Q59" s="92"/>
    </row>
    <row r="60" spans="1:17" s="88" customFormat="1" ht="20.399999999999999">
      <c r="O60" s="94"/>
      <c r="P60" s="94"/>
    </row>
    <row r="61" spans="1:17" s="88" customFormat="1" ht="20.399999999999999">
      <c r="A61" s="88" t="s">
        <v>523</v>
      </c>
      <c r="B61" s="92" t="str">
        <f>B5</f>
        <v>54321</v>
      </c>
      <c r="C61" s="92"/>
      <c r="J61" s="88" t="s">
        <v>522</v>
      </c>
      <c r="K61" s="95">
        <f ca="1">TODAY()</f>
        <v>45751</v>
      </c>
      <c r="N61" s="96" t="s">
        <v>532</v>
      </c>
      <c r="O61" s="90" t="str">
        <f>N5</f>
        <v>Enter name of prime or subconsultant</v>
      </c>
      <c r="P61" s="90"/>
      <c r="Q61" s="92"/>
    </row>
    <row r="62" spans="1:17" s="88" customFormat="1" ht="21" thickBot="1">
      <c r="O62" s="97"/>
      <c r="P62" s="97"/>
    </row>
    <row r="63" spans="1:17" ht="30" customHeight="1" thickTop="1">
      <c r="A63" s="2026" t="s">
        <v>468</v>
      </c>
      <c r="B63" s="2027"/>
      <c r="C63" s="2027"/>
      <c r="D63" s="2027"/>
      <c r="E63" s="2027"/>
      <c r="F63" s="2027"/>
      <c r="G63" s="2027"/>
      <c r="H63" s="2027"/>
      <c r="I63" s="2027"/>
      <c r="J63" s="2027"/>
      <c r="K63" s="2027"/>
      <c r="L63" s="2027"/>
      <c r="M63" s="2027"/>
      <c r="N63" s="2027"/>
      <c r="O63" s="2028"/>
      <c r="P63" s="30"/>
    </row>
    <row r="64" spans="1:17" s="60" customFormat="1" ht="70.5" customHeight="1">
      <c r="A64" s="98"/>
      <c r="B64" s="77" t="s">
        <v>467</v>
      </c>
      <c r="C64" s="99" t="str">
        <f t="shared" ref="C64:N64" si="38">C10</f>
        <v>Project Manager</v>
      </c>
      <c r="D64" s="99" t="str">
        <f t="shared" si="38"/>
        <v>Staff Classi- fication 2</v>
      </c>
      <c r="E64" s="99" t="str">
        <f t="shared" si="38"/>
        <v>Staff Classi- fication 3</v>
      </c>
      <c r="F64" s="99" t="str">
        <f t="shared" si="38"/>
        <v>Staff Classi- fication 4</v>
      </c>
      <c r="G64" s="99" t="str">
        <f t="shared" si="38"/>
        <v>Staff Classi- fication 5</v>
      </c>
      <c r="H64" s="99" t="str">
        <f t="shared" si="38"/>
        <v>Staff Classi- fication 6</v>
      </c>
      <c r="I64" s="99" t="str">
        <f t="shared" si="38"/>
        <v>Staff Classi- fication 7</v>
      </c>
      <c r="J64" s="99" t="str">
        <f t="shared" si="38"/>
        <v>Staff Classi- fication 8</v>
      </c>
      <c r="K64" s="99" t="str">
        <f t="shared" si="38"/>
        <v>Staff Classi- fication 9</v>
      </c>
      <c r="L64" s="99" t="str">
        <f t="shared" si="38"/>
        <v>Staff Classi- fication 10</v>
      </c>
      <c r="M64" s="99" t="str">
        <f t="shared" si="38"/>
        <v>Staff Classi- fication 11</v>
      </c>
      <c r="N64" s="99" t="str">
        <f t="shared" si="38"/>
        <v>Staff Classi- fication 12</v>
      </c>
      <c r="O64" s="100" t="s">
        <v>879</v>
      </c>
      <c r="P64" s="101"/>
    </row>
    <row r="65" spans="1:16" ht="27.9" customHeight="1">
      <c r="A65" s="50" t="str">
        <f t="shared" ref="A65:A99" si="39">A12</f>
        <v>3. Project Common and Project General Tasks</v>
      </c>
      <c r="B65" s="57">
        <f>Summary!P5</f>
        <v>0</v>
      </c>
      <c r="C65" s="961">
        <v>0</v>
      </c>
      <c r="D65" s="961">
        <v>0</v>
      </c>
      <c r="E65" s="961">
        <v>0</v>
      </c>
      <c r="F65" s="961">
        <v>0</v>
      </c>
      <c r="G65" s="961">
        <v>0</v>
      </c>
      <c r="H65" s="961">
        <v>0</v>
      </c>
      <c r="I65" s="961">
        <v>0</v>
      </c>
      <c r="J65" s="961">
        <v>0</v>
      </c>
      <c r="K65" s="961">
        <v>0</v>
      </c>
      <c r="L65" s="961">
        <v>0</v>
      </c>
      <c r="M65" s="961">
        <v>0</v>
      </c>
      <c r="N65" s="961">
        <v>0</v>
      </c>
      <c r="O65" s="63">
        <f>SUM(C65:N65)</f>
        <v>0</v>
      </c>
      <c r="P65" s="30"/>
    </row>
    <row r="66" spans="1:16" ht="27.9" customHeight="1">
      <c r="A66" s="50" t="str">
        <f t="shared" si="39"/>
        <v>4. Roadway Analysis</v>
      </c>
      <c r="B66" s="57">
        <f>Summary!P6</f>
        <v>0</v>
      </c>
      <c r="C66" s="961">
        <v>0</v>
      </c>
      <c r="D66" s="961">
        <v>0</v>
      </c>
      <c r="E66" s="961">
        <v>0</v>
      </c>
      <c r="F66" s="961">
        <v>0</v>
      </c>
      <c r="G66" s="961">
        <v>0</v>
      </c>
      <c r="H66" s="961">
        <v>0</v>
      </c>
      <c r="I66" s="961">
        <v>0</v>
      </c>
      <c r="J66" s="961">
        <v>0</v>
      </c>
      <c r="K66" s="961">
        <v>0</v>
      </c>
      <c r="L66" s="961">
        <v>0</v>
      </c>
      <c r="M66" s="961">
        <v>0</v>
      </c>
      <c r="N66" s="961">
        <v>0</v>
      </c>
      <c r="O66" s="63">
        <f t="shared" ref="O66:O98" si="40">SUM(C66:N66)</f>
        <v>0</v>
      </c>
      <c r="P66" s="30"/>
    </row>
    <row r="67" spans="1:16" ht="27.9" customHeight="1">
      <c r="A67" s="50" t="str">
        <f t="shared" si="39"/>
        <v>5. Roadway Plans</v>
      </c>
      <c r="B67" s="57">
        <f>Summary!P7</f>
        <v>0</v>
      </c>
      <c r="C67" s="961">
        <v>0</v>
      </c>
      <c r="D67" s="961">
        <v>0</v>
      </c>
      <c r="E67" s="961">
        <v>0</v>
      </c>
      <c r="F67" s="961">
        <v>0</v>
      </c>
      <c r="G67" s="961">
        <v>0</v>
      </c>
      <c r="H67" s="961">
        <v>0</v>
      </c>
      <c r="I67" s="961">
        <v>0</v>
      </c>
      <c r="J67" s="961">
        <v>0</v>
      </c>
      <c r="K67" s="961">
        <v>0</v>
      </c>
      <c r="L67" s="961">
        <v>0</v>
      </c>
      <c r="M67" s="961">
        <v>0</v>
      </c>
      <c r="N67" s="961">
        <v>0</v>
      </c>
      <c r="O67" s="63">
        <f t="shared" si="40"/>
        <v>0</v>
      </c>
      <c r="P67" s="30"/>
    </row>
    <row r="68" spans="1:16" ht="27.9" customHeight="1">
      <c r="A68" s="50" t="str">
        <f t="shared" si="39"/>
        <v>6a. Drainage Analysis</v>
      </c>
      <c r="B68" s="57">
        <f>Summary!P8</f>
        <v>0</v>
      </c>
      <c r="C68" s="961">
        <v>0</v>
      </c>
      <c r="D68" s="961">
        <v>0</v>
      </c>
      <c r="E68" s="961">
        <v>0</v>
      </c>
      <c r="F68" s="961">
        <v>0</v>
      </c>
      <c r="G68" s="961">
        <v>0</v>
      </c>
      <c r="H68" s="961">
        <v>0</v>
      </c>
      <c r="I68" s="961">
        <v>0</v>
      </c>
      <c r="J68" s="961">
        <v>0</v>
      </c>
      <c r="K68" s="961">
        <v>0</v>
      </c>
      <c r="L68" s="961">
        <v>0</v>
      </c>
      <c r="M68" s="961">
        <v>0</v>
      </c>
      <c r="N68" s="961">
        <v>0</v>
      </c>
      <c r="O68" s="63">
        <f t="shared" si="40"/>
        <v>0</v>
      </c>
      <c r="P68" s="30"/>
    </row>
    <row r="69" spans="1:16" ht="27.9" customHeight="1">
      <c r="A69" s="50" t="str">
        <f t="shared" si="39"/>
        <v>6b. Drainage Plans</v>
      </c>
      <c r="B69" s="57">
        <f>Summary!P9</f>
        <v>0</v>
      </c>
      <c r="C69" s="961">
        <v>0</v>
      </c>
      <c r="D69" s="961">
        <v>0</v>
      </c>
      <c r="E69" s="961">
        <v>0</v>
      </c>
      <c r="F69" s="961">
        <v>0</v>
      </c>
      <c r="G69" s="961">
        <v>0</v>
      </c>
      <c r="H69" s="961">
        <v>0</v>
      </c>
      <c r="I69" s="961">
        <v>0</v>
      </c>
      <c r="J69" s="961">
        <v>0</v>
      </c>
      <c r="K69" s="961">
        <v>0</v>
      </c>
      <c r="L69" s="961">
        <v>0</v>
      </c>
      <c r="M69" s="961">
        <v>0</v>
      </c>
      <c r="N69" s="961">
        <v>0</v>
      </c>
      <c r="O69" s="63">
        <f>SUM(C69:N69)</f>
        <v>0</v>
      </c>
      <c r="P69" s="30"/>
    </row>
    <row r="70" spans="1:16" ht="27.9" customHeight="1">
      <c r="A70" s="50" t="str">
        <f t="shared" si="39"/>
        <v>6c. Selective C&amp;G</v>
      </c>
      <c r="B70" s="57">
        <f>Summary!P10</f>
        <v>0</v>
      </c>
      <c r="C70" s="961">
        <v>0</v>
      </c>
      <c r="D70" s="961">
        <v>0</v>
      </c>
      <c r="E70" s="961">
        <v>0</v>
      </c>
      <c r="F70" s="961">
        <v>0</v>
      </c>
      <c r="G70" s="961">
        <v>0</v>
      </c>
      <c r="H70" s="961">
        <v>0</v>
      </c>
      <c r="I70" s="961">
        <v>0</v>
      </c>
      <c r="J70" s="961">
        <v>0</v>
      </c>
      <c r="K70" s="961">
        <v>0</v>
      </c>
      <c r="L70" s="961">
        <v>0</v>
      </c>
      <c r="M70" s="961">
        <v>0</v>
      </c>
      <c r="N70" s="961">
        <v>0</v>
      </c>
      <c r="O70" s="63">
        <f>SUM(C70:N70)</f>
        <v>0</v>
      </c>
      <c r="P70" s="30"/>
    </row>
    <row r="71" spans="1:16" ht="27.9" customHeight="1">
      <c r="A71" s="50" t="str">
        <f t="shared" si="39"/>
        <v>7. Utilities</v>
      </c>
      <c r="B71" s="57">
        <f>Summary!P11</f>
        <v>0</v>
      </c>
      <c r="C71" s="961">
        <v>0</v>
      </c>
      <c r="D71" s="961">
        <v>0</v>
      </c>
      <c r="E71" s="961">
        <v>0</v>
      </c>
      <c r="F71" s="961">
        <v>0</v>
      </c>
      <c r="G71" s="961">
        <v>0</v>
      </c>
      <c r="H71" s="961">
        <v>0</v>
      </c>
      <c r="I71" s="961">
        <v>0</v>
      </c>
      <c r="J71" s="961">
        <v>0</v>
      </c>
      <c r="K71" s="961">
        <v>0</v>
      </c>
      <c r="L71" s="961">
        <v>0</v>
      </c>
      <c r="M71" s="961">
        <v>0</v>
      </c>
      <c r="N71" s="961">
        <v>0</v>
      </c>
      <c r="O71" s="63">
        <f t="shared" si="40"/>
        <v>0</v>
      </c>
      <c r="P71" s="30"/>
    </row>
    <row r="72" spans="1:16" ht="27.9" customHeight="1">
      <c r="A72" s="50" t="str">
        <f t="shared" si="39"/>
        <v>8. Environmental Permits and Env. Clearances</v>
      </c>
      <c r="B72" s="57">
        <f>Summary!P12</f>
        <v>0</v>
      </c>
      <c r="C72" s="961">
        <v>0</v>
      </c>
      <c r="D72" s="961">
        <v>0</v>
      </c>
      <c r="E72" s="961">
        <v>0</v>
      </c>
      <c r="F72" s="961">
        <v>0</v>
      </c>
      <c r="G72" s="961">
        <v>0</v>
      </c>
      <c r="H72" s="961">
        <v>0</v>
      </c>
      <c r="I72" s="961">
        <v>0</v>
      </c>
      <c r="J72" s="961">
        <v>0</v>
      </c>
      <c r="K72" s="961">
        <v>0</v>
      </c>
      <c r="L72" s="961">
        <v>0</v>
      </c>
      <c r="M72" s="961">
        <v>0</v>
      </c>
      <c r="N72" s="961">
        <v>0</v>
      </c>
      <c r="O72" s="63">
        <f t="shared" si="40"/>
        <v>0</v>
      </c>
      <c r="P72" s="30"/>
    </row>
    <row r="73" spans="1:16" ht="27.9" customHeight="1">
      <c r="A73" s="50" t="str">
        <f t="shared" si="39"/>
        <v>9. Structures - Misc. Tasks, Dwgs, Non-Tech.</v>
      </c>
      <c r="B73" s="57">
        <f>Summary!P13</f>
        <v>0</v>
      </c>
      <c r="C73" s="961">
        <v>0</v>
      </c>
      <c r="D73" s="961">
        <v>0</v>
      </c>
      <c r="E73" s="961">
        <v>0</v>
      </c>
      <c r="F73" s="961">
        <v>0</v>
      </c>
      <c r="G73" s="961">
        <v>0</v>
      </c>
      <c r="H73" s="961">
        <v>0</v>
      </c>
      <c r="I73" s="961">
        <v>0</v>
      </c>
      <c r="J73" s="961">
        <v>0</v>
      </c>
      <c r="K73" s="961">
        <v>0</v>
      </c>
      <c r="L73" s="961">
        <v>0</v>
      </c>
      <c r="M73" s="961">
        <v>0</v>
      </c>
      <c r="N73" s="961">
        <v>0</v>
      </c>
      <c r="O73" s="63">
        <f t="shared" si="40"/>
        <v>0</v>
      </c>
      <c r="P73" s="30"/>
    </row>
    <row r="74" spans="1:16" ht="27.9" customHeight="1">
      <c r="A74" s="50" t="str">
        <f t="shared" si="39"/>
        <v>10. Structures - Bridge Development Report</v>
      </c>
      <c r="B74" s="57">
        <f>Summary!P14</f>
        <v>0</v>
      </c>
      <c r="C74" s="961">
        <v>0</v>
      </c>
      <c r="D74" s="961">
        <v>0</v>
      </c>
      <c r="E74" s="961">
        <v>0</v>
      </c>
      <c r="F74" s="961">
        <v>0</v>
      </c>
      <c r="G74" s="961">
        <v>0</v>
      </c>
      <c r="H74" s="961">
        <v>0</v>
      </c>
      <c r="I74" s="961">
        <v>0</v>
      </c>
      <c r="J74" s="961">
        <v>0</v>
      </c>
      <c r="K74" s="961">
        <v>0</v>
      </c>
      <c r="L74" s="961">
        <v>0</v>
      </c>
      <c r="M74" s="961">
        <v>0</v>
      </c>
      <c r="N74" s="961">
        <v>0</v>
      </c>
      <c r="O74" s="63">
        <f t="shared" si="40"/>
        <v>0</v>
      </c>
      <c r="P74" s="30"/>
    </row>
    <row r="75" spans="1:16" ht="27.9" customHeight="1">
      <c r="A75" s="50" t="str">
        <f t="shared" si="39"/>
        <v>11. Structures - Temporary Bridge</v>
      </c>
      <c r="B75" s="57">
        <f>Summary!P15</f>
        <v>0</v>
      </c>
      <c r="C75" s="961">
        <v>0</v>
      </c>
      <c r="D75" s="961">
        <v>0</v>
      </c>
      <c r="E75" s="961">
        <v>0</v>
      </c>
      <c r="F75" s="961">
        <v>0</v>
      </c>
      <c r="G75" s="961">
        <v>0</v>
      </c>
      <c r="H75" s="961">
        <v>0</v>
      </c>
      <c r="I75" s="961">
        <v>0</v>
      </c>
      <c r="J75" s="961">
        <v>0</v>
      </c>
      <c r="K75" s="961">
        <v>0</v>
      </c>
      <c r="L75" s="961">
        <v>0</v>
      </c>
      <c r="M75" s="961">
        <v>0</v>
      </c>
      <c r="N75" s="961">
        <v>0</v>
      </c>
      <c r="O75" s="63">
        <f t="shared" si="40"/>
        <v>0</v>
      </c>
      <c r="P75" s="30"/>
    </row>
    <row r="76" spans="1:16" ht="27.9" customHeight="1">
      <c r="A76" s="50" t="str">
        <f t="shared" si="39"/>
        <v>12. Structures - Short Span Concrete Bridge</v>
      </c>
      <c r="B76" s="57">
        <f>Summary!P16</f>
        <v>0</v>
      </c>
      <c r="C76" s="961">
        <v>0</v>
      </c>
      <c r="D76" s="961">
        <v>0</v>
      </c>
      <c r="E76" s="961">
        <v>0</v>
      </c>
      <c r="F76" s="961">
        <v>0</v>
      </c>
      <c r="G76" s="961">
        <v>0</v>
      </c>
      <c r="H76" s="961">
        <v>0</v>
      </c>
      <c r="I76" s="961">
        <v>0</v>
      </c>
      <c r="J76" s="961">
        <v>0</v>
      </c>
      <c r="K76" s="961">
        <v>0</v>
      </c>
      <c r="L76" s="961">
        <v>0</v>
      </c>
      <c r="M76" s="961">
        <v>0</v>
      </c>
      <c r="N76" s="961">
        <v>0</v>
      </c>
      <c r="O76" s="63">
        <f t="shared" si="40"/>
        <v>0</v>
      </c>
      <c r="P76" s="30"/>
    </row>
    <row r="77" spans="1:16" ht="27.9" customHeight="1">
      <c r="A77" s="50" t="str">
        <f t="shared" si="39"/>
        <v>13. Structures - Medium Span Concrete Bridge</v>
      </c>
      <c r="B77" s="57">
        <f>Summary!P17</f>
        <v>0</v>
      </c>
      <c r="C77" s="961">
        <v>0</v>
      </c>
      <c r="D77" s="961">
        <v>0</v>
      </c>
      <c r="E77" s="961">
        <v>0</v>
      </c>
      <c r="F77" s="961">
        <v>0</v>
      </c>
      <c r="G77" s="961">
        <v>0</v>
      </c>
      <c r="H77" s="961">
        <v>0</v>
      </c>
      <c r="I77" s="961">
        <v>0</v>
      </c>
      <c r="J77" s="961">
        <v>0</v>
      </c>
      <c r="K77" s="961">
        <v>0</v>
      </c>
      <c r="L77" s="961">
        <v>0</v>
      </c>
      <c r="M77" s="961">
        <v>0</v>
      </c>
      <c r="N77" s="961">
        <v>0</v>
      </c>
      <c r="O77" s="63">
        <f t="shared" si="40"/>
        <v>0</v>
      </c>
      <c r="P77" s="30"/>
    </row>
    <row r="78" spans="1:16" ht="27.9" customHeight="1">
      <c r="A78" s="50" t="str">
        <f t="shared" si="39"/>
        <v>14. Structures - Structural Steel Bridge</v>
      </c>
      <c r="B78" s="57">
        <f>Summary!P18</f>
        <v>0</v>
      </c>
      <c r="C78" s="961">
        <v>0</v>
      </c>
      <c r="D78" s="961">
        <v>0</v>
      </c>
      <c r="E78" s="961">
        <v>0</v>
      </c>
      <c r="F78" s="961">
        <v>0</v>
      </c>
      <c r="G78" s="961">
        <v>0</v>
      </c>
      <c r="H78" s="961">
        <v>0</v>
      </c>
      <c r="I78" s="961">
        <v>0</v>
      </c>
      <c r="J78" s="961">
        <v>0</v>
      </c>
      <c r="K78" s="961">
        <v>0</v>
      </c>
      <c r="L78" s="961">
        <v>0</v>
      </c>
      <c r="M78" s="961">
        <v>0</v>
      </c>
      <c r="N78" s="961">
        <v>0</v>
      </c>
      <c r="O78" s="63">
        <f t="shared" si="40"/>
        <v>0</v>
      </c>
      <c r="P78" s="30"/>
    </row>
    <row r="79" spans="1:16" ht="27.9" customHeight="1">
      <c r="A79" s="50" t="str">
        <f t="shared" si="39"/>
        <v>15. Structures - Segmental Concrete Bridge</v>
      </c>
      <c r="B79" s="57">
        <f>Summary!P19</f>
        <v>0</v>
      </c>
      <c r="C79" s="961">
        <v>0</v>
      </c>
      <c r="D79" s="961">
        <v>0</v>
      </c>
      <c r="E79" s="961">
        <v>0</v>
      </c>
      <c r="F79" s="961">
        <v>0</v>
      </c>
      <c r="G79" s="961">
        <v>0</v>
      </c>
      <c r="H79" s="961">
        <v>0</v>
      </c>
      <c r="I79" s="961">
        <v>0</v>
      </c>
      <c r="J79" s="961">
        <v>0</v>
      </c>
      <c r="K79" s="961">
        <v>0</v>
      </c>
      <c r="L79" s="961">
        <v>0</v>
      </c>
      <c r="M79" s="961">
        <v>0</v>
      </c>
      <c r="N79" s="961">
        <v>0</v>
      </c>
      <c r="O79" s="63">
        <f t="shared" si="40"/>
        <v>0</v>
      </c>
      <c r="P79" s="30"/>
    </row>
    <row r="80" spans="1:16" ht="27.9" customHeight="1">
      <c r="A80" s="50" t="str">
        <f t="shared" si="39"/>
        <v>16. Structures - Movable Span</v>
      </c>
      <c r="B80" s="57">
        <f>Summary!P20</f>
        <v>0</v>
      </c>
      <c r="C80" s="961">
        <v>0</v>
      </c>
      <c r="D80" s="961">
        <v>0</v>
      </c>
      <c r="E80" s="961">
        <v>0</v>
      </c>
      <c r="F80" s="961">
        <v>0</v>
      </c>
      <c r="G80" s="961">
        <v>0</v>
      </c>
      <c r="H80" s="961">
        <v>0</v>
      </c>
      <c r="I80" s="961">
        <v>0</v>
      </c>
      <c r="J80" s="961">
        <v>0</v>
      </c>
      <c r="K80" s="961">
        <v>0</v>
      </c>
      <c r="L80" s="961">
        <v>0</v>
      </c>
      <c r="M80" s="961">
        <v>0</v>
      </c>
      <c r="N80" s="961">
        <v>0</v>
      </c>
      <c r="O80" s="63">
        <f t="shared" si="40"/>
        <v>0</v>
      </c>
      <c r="P80" s="30"/>
    </row>
    <row r="81" spans="1:16" ht="27.9" customHeight="1">
      <c r="A81" s="50" t="str">
        <f t="shared" si="39"/>
        <v>17. Structures - Retaining Walls</v>
      </c>
      <c r="B81" s="57">
        <f>Summary!P21</f>
        <v>0</v>
      </c>
      <c r="C81" s="961">
        <v>0</v>
      </c>
      <c r="D81" s="961">
        <v>0</v>
      </c>
      <c r="E81" s="961">
        <v>0</v>
      </c>
      <c r="F81" s="961">
        <v>0</v>
      </c>
      <c r="G81" s="961">
        <v>0</v>
      </c>
      <c r="H81" s="961">
        <v>0</v>
      </c>
      <c r="I81" s="961">
        <v>0</v>
      </c>
      <c r="J81" s="961">
        <v>0</v>
      </c>
      <c r="K81" s="961">
        <v>0</v>
      </c>
      <c r="L81" s="961">
        <v>0</v>
      </c>
      <c r="M81" s="961">
        <v>0</v>
      </c>
      <c r="N81" s="961">
        <v>0</v>
      </c>
      <c r="O81" s="63">
        <f t="shared" si="40"/>
        <v>0</v>
      </c>
      <c r="P81" s="30"/>
    </row>
    <row r="82" spans="1:16" ht="27.9" customHeight="1">
      <c r="A82" s="50" t="str">
        <f t="shared" si="39"/>
        <v>18. Structures - Miscellaneous</v>
      </c>
      <c r="B82" s="57">
        <f>Summary!P22</f>
        <v>0</v>
      </c>
      <c r="C82" s="961">
        <v>0</v>
      </c>
      <c r="D82" s="961">
        <v>0</v>
      </c>
      <c r="E82" s="961">
        <v>0</v>
      </c>
      <c r="F82" s="961">
        <v>0</v>
      </c>
      <c r="G82" s="961">
        <v>0</v>
      </c>
      <c r="H82" s="961">
        <v>0</v>
      </c>
      <c r="I82" s="961">
        <v>0</v>
      </c>
      <c r="J82" s="961">
        <v>0</v>
      </c>
      <c r="K82" s="961">
        <v>0</v>
      </c>
      <c r="L82" s="961">
        <v>0</v>
      </c>
      <c r="M82" s="961">
        <v>0</v>
      </c>
      <c r="N82" s="961">
        <v>0</v>
      </c>
      <c r="O82" s="63">
        <f t="shared" si="40"/>
        <v>0</v>
      </c>
      <c r="P82" s="30"/>
    </row>
    <row r="83" spans="1:16" ht="27.9" customHeight="1">
      <c r="A83" s="50" t="str">
        <f t="shared" si="39"/>
        <v>19. Signing &amp; Pavement Marking Analysis</v>
      </c>
      <c r="B83" s="57">
        <f>Summary!P23</f>
        <v>0</v>
      </c>
      <c r="C83" s="961">
        <v>0</v>
      </c>
      <c r="D83" s="961">
        <v>0</v>
      </c>
      <c r="E83" s="961">
        <v>0</v>
      </c>
      <c r="F83" s="961">
        <v>0</v>
      </c>
      <c r="G83" s="961">
        <v>0</v>
      </c>
      <c r="H83" s="961">
        <v>0</v>
      </c>
      <c r="I83" s="961">
        <v>0</v>
      </c>
      <c r="J83" s="961">
        <v>0</v>
      </c>
      <c r="K83" s="961">
        <v>0</v>
      </c>
      <c r="L83" s="961">
        <v>0</v>
      </c>
      <c r="M83" s="961">
        <v>0</v>
      </c>
      <c r="N83" s="961">
        <v>0</v>
      </c>
      <c r="O83" s="63">
        <f t="shared" si="40"/>
        <v>0</v>
      </c>
      <c r="P83" s="30"/>
    </row>
    <row r="84" spans="1:16" ht="27.9" customHeight="1">
      <c r="A84" s="50" t="str">
        <f t="shared" si="39"/>
        <v>20. Signing &amp; Pavement Marking Plans</v>
      </c>
      <c r="B84" s="57">
        <f>Summary!P24</f>
        <v>0</v>
      </c>
      <c r="C84" s="961">
        <v>0</v>
      </c>
      <c r="D84" s="961">
        <v>0</v>
      </c>
      <c r="E84" s="961">
        <v>0</v>
      </c>
      <c r="F84" s="961">
        <v>0</v>
      </c>
      <c r="G84" s="961">
        <v>0</v>
      </c>
      <c r="H84" s="961">
        <v>0</v>
      </c>
      <c r="I84" s="961">
        <v>0</v>
      </c>
      <c r="J84" s="961">
        <v>0</v>
      </c>
      <c r="K84" s="961">
        <v>0</v>
      </c>
      <c r="L84" s="961">
        <v>0</v>
      </c>
      <c r="M84" s="961">
        <v>0</v>
      </c>
      <c r="N84" s="961">
        <v>0</v>
      </c>
      <c r="O84" s="63">
        <f t="shared" si="40"/>
        <v>0</v>
      </c>
      <c r="P84" s="30"/>
    </row>
    <row r="85" spans="1:16" ht="27.9" customHeight="1">
      <c r="A85" s="50" t="str">
        <f t="shared" si="39"/>
        <v>21. Signalization Analysis</v>
      </c>
      <c r="B85" s="57">
        <f>Summary!P25</f>
        <v>0</v>
      </c>
      <c r="C85" s="961">
        <v>0</v>
      </c>
      <c r="D85" s="961">
        <v>0</v>
      </c>
      <c r="E85" s="961">
        <v>0</v>
      </c>
      <c r="F85" s="961">
        <v>0</v>
      </c>
      <c r="G85" s="961">
        <v>0</v>
      </c>
      <c r="H85" s="961">
        <v>0</v>
      </c>
      <c r="I85" s="961">
        <v>0</v>
      </c>
      <c r="J85" s="961">
        <v>0</v>
      </c>
      <c r="K85" s="961">
        <v>0</v>
      </c>
      <c r="L85" s="961">
        <v>0</v>
      </c>
      <c r="M85" s="961">
        <v>0</v>
      </c>
      <c r="N85" s="961">
        <v>0</v>
      </c>
      <c r="O85" s="63">
        <f t="shared" si="40"/>
        <v>0</v>
      </c>
      <c r="P85" s="30"/>
    </row>
    <row r="86" spans="1:16" ht="27.9" customHeight="1">
      <c r="A86" s="50" t="str">
        <f t="shared" si="39"/>
        <v>22. Signalization Plans</v>
      </c>
      <c r="B86" s="57">
        <f>Summary!P26</f>
        <v>0</v>
      </c>
      <c r="C86" s="961">
        <v>0</v>
      </c>
      <c r="D86" s="961">
        <v>0</v>
      </c>
      <c r="E86" s="961">
        <v>0</v>
      </c>
      <c r="F86" s="961">
        <v>0</v>
      </c>
      <c r="G86" s="961">
        <v>0</v>
      </c>
      <c r="H86" s="961">
        <v>0</v>
      </c>
      <c r="I86" s="961">
        <v>0</v>
      </c>
      <c r="J86" s="961">
        <v>0</v>
      </c>
      <c r="K86" s="961">
        <v>0</v>
      </c>
      <c r="L86" s="961">
        <v>0</v>
      </c>
      <c r="M86" s="961">
        <v>0</v>
      </c>
      <c r="N86" s="961">
        <v>0</v>
      </c>
      <c r="O86" s="63">
        <f t="shared" si="40"/>
        <v>0</v>
      </c>
      <c r="P86" s="30"/>
    </row>
    <row r="87" spans="1:16" ht="27.9" customHeight="1">
      <c r="A87" s="50" t="str">
        <f t="shared" si="39"/>
        <v>23. Lighting Analysis</v>
      </c>
      <c r="B87" s="57">
        <f>Summary!P27</f>
        <v>0</v>
      </c>
      <c r="C87" s="961">
        <v>0</v>
      </c>
      <c r="D87" s="961">
        <v>0</v>
      </c>
      <c r="E87" s="961">
        <v>0</v>
      </c>
      <c r="F87" s="961">
        <v>0</v>
      </c>
      <c r="G87" s="961">
        <v>0</v>
      </c>
      <c r="H87" s="961">
        <v>0</v>
      </c>
      <c r="I87" s="961">
        <v>0</v>
      </c>
      <c r="J87" s="961">
        <v>0</v>
      </c>
      <c r="K87" s="961">
        <v>0</v>
      </c>
      <c r="L87" s="961">
        <v>0</v>
      </c>
      <c r="M87" s="961">
        <v>0</v>
      </c>
      <c r="N87" s="961">
        <v>0</v>
      </c>
      <c r="O87" s="63">
        <f t="shared" si="40"/>
        <v>0</v>
      </c>
      <c r="P87" s="30"/>
    </row>
    <row r="88" spans="1:16" ht="27.9" customHeight="1">
      <c r="A88" s="50" t="str">
        <f t="shared" si="39"/>
        <v>24. Lighting Plans</v>
      </c>
      <c r="B88" s="57">
        <f>Summary!P28</f>
        <v>0</v>
      </c>
      <c r="C88" s="961">
        <v>0</v>
      </c>
      <c r="D88" s="961">
        <v>0</v>
      </c>
      <c r="E88" s="961">
        <v>0</v>
      </c>
      <c r="F88" s="961">
        <v>0</v>
      </c>
      <c r="G88" s="961">
        <v>0</v>
      </c>
      <c r="H88" s="961">
        <v>0</v>
      </c>
      <c r="I88" s="961">
        <v>0</v>
      </c>
      <c r="J88" s="961">
        <v>0</v>
      </c>
      <c r="K88" s="961">
        <v>0</v>
      </c>
      <c r="L88" s="961">
        <v>0</v>
      </c>
      <c r="M88" s="961">
        <v>0</v>
      </c>
      <c r="N88" s="961">
        <v>0</v>
      </c>
      <c r="O88" s="63">
        <f t="shared" si="40"/>
        <v>0</v>
      </c>
      <c r="P88" s="30"/>
    </row>
    <row r="89" spans="1:16" ht="27.9" customHeight="1">
      <c r="A89" s="50" t="str">
        <f t="shared" si="39"/>
        <v>25. Landscape Analysis</v>
      </c>
      <c r="B89" s="57">
        <f>Summary!P29</f>
        <v>0</v>
      </c>
      <c r="C89" s="961">
        <v>0</v>
      </c>
      <c r="D89" s="961">
        <v>0</v>
      </c>
      <c r="E89" s="961">
        <v>0</v>
      </c>
      <c r="F89" s="961">
        <v>0</v>
      </c>
      <c r="G89" s="961">
        <v>0</v>
      </c>
      <c r="H89" s="961">
        <v>0</v>
      </c>
      <c r="I89" s="961">
        <v>0</v>
      </c>
      <c r="J89" s="961">
        <v>0</v>
      </c>
      <c r="K89" s="961">
        <v>0</v>
      </c>
      <c r="L89" s="961">
        <v>0</v>
      </c>
      <c r="M89" s="961">
        <v>0</v>
      </c>
      <c r="N89" s="961">
        <v>0</v>
      </c>
      <c r="O89" s="63">
        <f t="shared" si="40"/>
        <v>0</v>
      </c>
      <c r="P89" s="30"/>
    </row>
    <row r="90" spans="1:16" ht="27.9" customHeight="1">
      <c r="A90" s="50" t="str">
        <f t="shared" si="39"/>
        <v>26. Landscape Plans</v>
      </c>
      <c r="B90" s="57">
        <f>Summary!P30</f>
        <v>0</v>
      </c>
      <c r="C90" s="961">
        <v>0</v>
      </c>
      <c r="D90" s="961">
        <v>0</v>
      </c>
      <c r="E90" s="961">
        <v>0</v>
      </c>
      <c r="F90" s="961">
        <v>0</v>
      </c>
      <c r="G90" s="961">
        <v>0</v>
      </c>
      <c r="H90" s="961">
        <v>0</v>
      </c>
      <c r="I90" s="961">
        <v>0</v>
      </c>
      <c r="J90" s="961">
        <v>0</v>
      </c>
      <c r="K90" s="961">
        <v>0</v>
      </c>
      <c r="L90" s="961">
        <v>0</v>
      </c>
      <c r="M90" s="961">
        <v>0</v>
      </c>
      <c r="N90" s="961">
        <v>0</v>
      </c>
      <c r="O90" s="63">
        <f t="shared" si="40"/>
        <v>0</v>
      </c>
      <c r="P90" s="30"/>
    </row>
    <row r="91" spans="1:16" ht="27.9" customHeight="1">
      <c r="A91" s="50" t="str">
        <f t="shared" si="39"/>
        <v>27. Survey (Field &amp; Office Support)</v>
      </c>
      <c r="B91" s="57">
        <f>Summary!P31</f>
        <v>0</v>
      </c>
      <c r="C91" s="961">
        <v>0</v>
      </c>
      <c r="D91" s="961">
        <v>0</v>
      </c>
      <c r="E91" s="961">
        <v>0</v>
      </c>
      <c r="F91" s="961">
        <v>0</v>
      </c>
      <c r="G91" s="961">
        <v>0</v>
      </c>
      <c r="H91" s="961">
        <v>0</v>
      </c>
      <c r="I91" s="961">
        <v>0</v>
      </c>
      <c r="J91" s="961">
        <v>0</v>
      </c>
      <c r="K91" s="961">
        <v>0</v>
      </c>
      <c r="L91" s="961">
        <v>0</v>
      </c>
      <c r="M91" s="961">
        <v>0</v>
      </c>
      <c r="N91" s="961">
        <v>0</v>
      </c>
      <c r="O91" s="63">
        <f t="shared" si="40"/>
        <v>0</v>
      </c>
      <c r="P91" s="30"/>
    </row>
    <row r="92" spans="1:16" ht="27.9" customHeight="1">
      <c r="A92" s="50" t="str">
        <f t="shared" si="39"/>
        <v>28. Photogrammetry</v>
      </c>
      <c r="B92" s="57">
        <f>Summary!P32</f>
        <v>0</v>
      </c>
      <c r="C92" s="961">
        <v>0</v>
      </c>
      <c r="D92" s="961">
        <v>0</v>
      </c>
      <c r="E92" s="961">
        <v>0</v>
      </c>
      <c r="F92" s="961">
        <v>0</v>
      </c>
      <c r="G92" s="961">
        <v>0</v>
      </c>
      <c r="H92" s="961">
        <v>0</v>
      </c>
      <c r="I92" s="961">
        <v>0</v>
      </c>
      <c r="J92" s="961">
        <v>0</v>
      </c>
      <c r="K92" s="961">
        <v>0</v>
      </c>
      <c r="L92" s="961">
        <v>0</v>
      </c>
      <c r="M92" s="961">
        <v>0</v>
      </c>
      <c r="N92" s="961">
        <v>0</v>
      </c>
      <c r="O92" s="63">
        <f t="shared" si="40"/>
        <v>0</v>
      </c>
      <c r="P92" s="30"/>
    </row>
    <row r="93" spans="1:16" ht="27.9" customHeight="1">
      <c r="A93" s="50" t="str">
        <f t="shared" si="39"/>
        <v>29. Mapping</v>
      </c>
      <c r="B93" s="57">
        <f>Summary!P33</f>
        <v>0</v>
      </c>
      <c r="C93" s="961">
        <v>0</v>
      </c>
      <c r="D93" s="961">
        <v>0</v>
      </c>
      <c r="E93" s="961">
        <v>0</v>
      </c>
      <c r="F93" s="961">
        <v>0</v>
      </c>
      <c r="G93" s="961">
        <v>0</v>
      </c>
      <c r="H93" s="961">
        <v>0</v>
      </c>
      <c r="I93" s="961">
        <v>0</v>
      </c>
      <c r="J93" s="961">
        <v>0</v>
      </c>
      <c r="K93" s="961">
        <v>0</v>
      </c>
      <c r="L93" s="961">
        <v>0</v>
      </c>
      <c r="M93" s="961">
        <v>0</v>
      </c>
      <c r="N93" s="961">
        <v>0</v>
      </c>
      <c r="O93" s="63">
        <f t="shared" si="40"/>
        <v>0</v>
      </c>
      <c r="P93" s="30"/>
    </row>
    <row r="94" spans="1:16" ht="27.9" customHeight="1">
      <c r="A94" s="50" t="str">
        <f t="shared" si="39"/>
        <v>30. Terrestrial Mobile LiDAR</v>
      </c>
      <c r="B94" s="141">
        <f>Summary!C34</f>
        <v>0</v>
      </c>
      <c r="C94" s="961">
        <v>0</v>
      </c>
      <c r="D94" s="961">
        <v>0</v>
      </c>
      <c r="E94" s="961">
        <v>0</v>
      </c>
      <c r="F94" s="961">
        <v>0</v>
      </c>
      <c r="G94" s="961">
        <v>0</v>
      </c>
      <c r="H94" s="961">
        <v>0</v>
      </c>
      <c r="I94" s="961">
        <v>0</v>
      </c>
      <c r="J94" s="961">
        <v>0</v>
      </c>
      <c r="K94" s="961">
        <v>0</v>
      </c>
      <c r="L94" s="961">
        <v>0</v>
      </c>
      <c r="M94" s="961">
        <v>0</v>
      </c>
      <c r="N94" s="961">
        <v>0</v>
      </c>
      <c r="O94" s="63">
        <f>SUM(C94:N94)</f>
        <v>0</v>
      </c>
      <c r="P94" s="30"/>
    </row>
    <row r="95" spans="1:16" ht="27.9" customHeight="1">
      <c r="A95" s="50" t="str">
        <f t="shared" si="39"/>
        <v>31. Architecture Development</v>
      </c>
      <c r="B95" s="57">
        <f>Summary!P35</f>
        <v>0</v>
      </c>
      <c r="C95" s="961">
        <v>0</v>
      </c>
      <c r="D95" s="961">
        <v>0</v>
      </c>
      <c r="E95" s="961">
        <v>0</v>
      </c>
      <c r="F95" s="961">
        <v>0</v>
      </c>
      <c r="G95" s="961">
        <v>0</v>
      </c>
      <c r="H95" s="961">
        <v>0</v>
      </c>
      <c r="I95" s="961">
        <v>0</v>
      </c>
      <c r="J95" s="961">
        <v>0</v>
      </c>
      <c r="K95" s="961">
        <v>0</v>
      </c>
      <c r="L95" s="961">
        <v>0</v>
      </c>
      <c r="M95" s="961">
        <v>0</v>
      </c>
      <c r="N95" s="961">
        <v>0</v>
      </c>
      <c r="O95" s="63">
        <f t="shared" si="40"/>
        <v>0</v>
      </c>
      <c r="P95" s="30"/>
    </row>
    <row r="96" spans="1:16" ht="27.9" customHeight="1">
      <c r="A96" s="50" t="str">
        <f t="shared" si="39"/>
        <v>32. Noise Barriers Impact Design Assessment</v>
      </c>
      <c r="B96" s="57">
        <f>Summary!P36</f>
        <v>0</v>
      </c>
      <c r="C96" s="961">
        <v>0</v>
      </c>
      <c r="D96" s="961">
        <v>0</v>
      </c>
      <c r="E96" s="961">
        <v>0</v>
      </c>
      <c r="F96" s="961">
        <v>0</v>
      </c>
      <c r="G96" s="961">
        <v>0</v>
      </c>
      <c r="H96" s="961">
        <v>0</v>
      </c>
      <c r="I96" s="961">
        <v>0</v>
      </c>
      <c r="J96" s="961">
        <v>0</v>
      </c>
      <c r="K96" s="961">
        <v>0</v>
      </c>
      <c r="L96" s="961">
        <v>0</v>
      </c>
      <c r="M96" s="961">
        <v>0</v>
      </c>
      <c r="N96" s="961">
        <v>0</v>
      </c>
      <c r="O96" s="63">
        <f>SUM(C96:N96)</f>
        <v>0</v>
      </c>
      <c r="P96" s="30"/>
    </row>
    <row r="97" spans="1:17" ht="27.9" customHeight="1">
      <c r="A97" s="50" t="str">
        <f t="shared" si="39"/>
        <v>33. Intelligent Transportation Systems Analysis</v>
      </c>
      <c r="B97" s="57">
        <f>Summary!P37</f>
        <v>0</v>
      </c>
      <c r="C97" s="961">
        <v>0</v>
      </c>
      <c r="D97" s="961">
        <v>0</v>
      </c>
      <c r="E97" s="961">
        <v>0</v>
      </c>
      <c r="F97" s="961">
        <v>0</v>
      </c>
      <c r="G97" s="961">
        <v>0</v>
      </c>
      <c r="H97" s="961">
        <v>0</v>
      </c>
      <c r="I97" s="961">
        <v>0</v>
      </c>
      <c r="J97" s="961">
        <v>0</v>
      </c>
      <c r="K97" s="961">
        <v>0</v>
      </c>
      <c r="L97" s="961">
        <v>0</v>
      </c>
      <c r="M97" s="961">
        <v>0</v>
      </c>
      <c r="N97" s="961">
        <v>0</v>
      </c>
      <c r="O97" s="63">
        <f>SUM(C97:N97)</f>
        <v>0</v>
      </c>
      <c r="P97" s="30"/>
    </row>
    <row r="98" spans="1:17" ht="27.6" customHeight="1">
      <c r="A98" s="50" t="str">
        <f t="shared" si="39"/>
        <v>34. Intelligent Transportation Systems Plans</v>
      </c>
      <c r="B98" s="57">
        <f>Summary!P38</f>
        <v>0</v>
      </c>
      <c r="C98" s="961">
        <v>0</v>
      </c>
      <c r="D98" s="961">
        <v>0</v>
      </c>
      <c r="E98" s="961">
        <v>0</v>
      </c>
      <c r="F98" s="961">
        <v>0</v>
      </c>
      <c r="G98" s="961">
        <v>0</v>
      </c>
      <c r="H98" s="961">
        <v>0</v>
      </c>
      <c r="I98" s="961">
        <v>0</v>
      </c>
      <c r="J98" s="961">
        <v>0</v>
      </c>
      <c r="K98" s="961">
        <v>0</v>
      </c>
      <c r="L98" s="961">
        <v>0</v>
      </c>
      <c r="M98" s="961">
        <v>0</v>
      </c>
      <c r="N98" s="961">
        <v>0</v>
      </c>
      <c r="O98" s="63">
        <f t="shared" si="40"/>
        <v>0</v>
      </c>
      <c r="P98" s="30"/>
    </row>
    <row r="99" spans="1:17" ht="27.9" customHeight="1">
      <c r="A99" s="50" t="str">
        <f t="shared" si="39"/>
        <v>35. Geotechnical</v>
      </c>
      <c r="B99" s="57">
        <f>Summary!P39</f>
        <v>0</v>
      </c>
      <c r="C99" s="961">
        <v>0</v>
      </c>
      <c r="D99" s="961">
        <v>0</v>
      </c>
      <c r="E99" s="961">
        <v>0</v>
      </c>
      <c r="F99" s="961">
        <v>0</v>
      </c>
      <c r="G99" s="961">
        <v>0</v>
      </c>
      <c r="H99" s="961">
        <v>0</v>
      </c>
      <c r="I99" s="961">
        <v>0</v>
      </c>
      <c r="J99" s="961">
        <v>0</v>
      </c>
      <c r="K99" s="961">
        <v>0</v>
      </c>
      <c r="L99" s="961">
        <v>0</v>
      </c>
      <c r="M99" s="961">
        <v>0</v>
      </c>
      <c r="N99" s="961">
        <v>0</v>
      </c>
      <c r="O99" s="63">
        <f>SUM(C99:N99)</f>
        <v>0</v>
      </c>
      <c r="P99" s="30"/>
    </row>
    <row r="100" spans="1:17" ht="15.6">
      <c r="A100" s="28"/>
      <c r="B100" s="28"/>
      <c r="O100" s="30"/>
      <c r="P100" s="30"/>
      <c r="Q100" s="31"/>
    </row>
    <row r="101" spans="1:17" ht="17.399999999999999">
      <c r="A101" s="175" t="s">
        <v>439</v>
      </c>
      <c r="B101" s="176" t="s">
        <v>440</v>
      </c>
      <c r="M101" s="29"/>
      <c r="N101" s="29"/>
    </row>
    <row r="103" spans="1:17" ht="17.399999999999999">
      <c r="M103" s="29"/>
      <c r="N103" s="29"/>
    </row>
    <row r="104" spans="1:17" ht="17.399999999999999">
      <c r="L104" s="29"/>
    </row>
    <row r="105" spans="1:17" ht="17.399999999999999">
      <c r="M105" s="29"/>
      <c r="N105" s="29"/>
    </row>
    <row r="106" spans="1:17">
      <c r="A106" s="21" t="s">
        <v>400</v>
      </c>
    </row>
  </sheetData>
  <mergeCells count="9">
    <mergeCell ref="B7:B9"/>
    <mergeCell ref="A57:Q57"/>
    <mergeCell ref="A63:O63"/>
    <mergeCell ref="A1:Q1"/>
    <mergeCell ref="O9:P9"/>
    <mergeCell ref="O8:P8"/>
    <mergeCell ref="M49:N49"/>
    <mergeCell ref="O10:P10"/>
    <mergeCell ref="A7:A11"/>
  </mergeCells>
  <phoneticPr fontId="0" type="noConversion"/>
  <printOptions horizontalCentered="1"/>
  <pageMargins left="0.46" right="0.18" top="0.71" bottom="0.77" header="0.5" footer="0.5"/>
  <pageSetup scale="36" fitToHeight="2" orientation="landscape" horizontalDpi="4294967292" verticalDpi="300" r:id="rId1"/>
  <headerFooter alignWithMargins="0">
    <oddFooter>&amp;L&amp;F  
&amp;A&amp;CPage &amp;P of &amp;N&amp;R&amp;D  &amp;T</oddFooter>
  </headerFooter>
  <rowBreaks count="1" manualBreakCount="1">
    <brk id="47"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106"/>
  <sheetViews>
    <sheetView showGridLines="0" showRuler="0" zoomScale="50" zoomScaleNormal="50" zoomScaleSheetLayoutView="70" workbookViewId="0">
      <selection sqref="A1:Q1"/>
    </sheetView>
  </sheetViews>
  <sheetFormatPr defaultColWidth="11.109375" defaultRowHeight="15"/>
  <cols>
    <col min="1" max="1" width="72" style="21" customWidth="1"/>
    <col min="2" max="17" width="17.6640625" style="21" customWidth="1"/>
    <col min="18" max="16384" width="11.109375" style="21"/>
  </cols>
  <sheetData>
    <row r="1" spans="1:17" ht="24.6">
      <c r="A1" s="2025" t="s">
        <v>469</v>
      </c>
      <c r="B1" s="2025"/>
      <c r="C1" s="2025"/>
      <c r="D1" s="2025"/>
      <c r="E1" s="2025"/>
      <c r="F1" s="2025"/>
      <c r="G1" s="2025"/>
      <c r="H1" s="2025"/>
      <c r="I1" s="2025"/>
      <c r="J1" s="2025"/>
      <c r="K1" s="2025"/>
      <c r="L1" s="2025"/>
      <c r="M1" s="2025"/>
      <c r="N1" s="2025"/>
      <c r="O1" s="2025"/>
      <c r="P1" s="2025"/>
      <c r="Q1" s="2025"/>
    </row>
    <row r="2" spans="1:17" ht="20.399999999999999">
      <c r="D2" s="22"/>
      <c r="E2" s="22"/>
      <c r="F2" s="22"/>
      <c r="G2" s="22"/>
      <c r="H2" s="22"/>
      <c r="J2" s="22"/>
    </row>
    <row r="3" spans="1:17" s="60" customFormat="1" ht="20.399999999999999">
      <c r="A3" s="60" t="s">
        <v>519</v>
      </c>
      <c r="B3" s="80" t="str">
        <f>'Project Information'!B1</f>
        <v>999999-1-32-01</v>
      </c>
      <c r="C3" s="81"/>
      <c r="K3" s="82"/>
      <c r="N3" s="87" t="s">
        <v>778</v>
      </c>
      <c r="O3" s="83" t="str">
        <f>'Project Information'!B3</f>
        <v>Enter project name &amp; description</v>
      </c>
      <c r="P3" s="84"/>
      <c r="Q3" s="83"/>
    </row>
    <row r="4" spans="1:17" s="60" customFormat="1" ht="20.399999999999999">
      <c r="O4" s="85"/>
      <c r="P4" s="85"/>
    </row>
    <row r="5" spans="1:17" s="60" customFormat="1" ht="20.399999999999999">
      <c r="A5" s="60" t="s">
        <v>523</v>
      </c>
      <c r="B5" s="83" t="str">
        <f>'Project Information'!L1</f>
        <v>54321</v>
      </c>
      <c r="C5" s="83"/>
      <c r="J5" s="60" t="s">
        <v>522</v>
      </c>
      <c r="K5" s="86">
        <f ca="1">TODAY()</f>
        <v>45751</v>
      </c>
      <c r="N5" s="87" t="s">
        <v>532</v>
      </c>
      <c r="O5" s="124" t="str">
        <f>'Project Information'!B2</f>
        <v>Enter name of prime or subconsultant</v>
      </c>
      <c r="P5" s="81"/>
      <c r="Q5" s="83"/>
    </row>
    <row r="6" spans="1:17" s="60" customFormat="1" ht="21" thickBot="1"/>
    <row r="7" spans="1:17" ht="15.6" thickTop="1">
      <c r="A7" s="51"/>
      <c r="B7" s="2038" t="s">
        <v>463</v>
      </c>
      <c r="C7" s="54"/>
      <c r="D7" s="54"/>
      <c r="E7" s="54"/>
      <c r="F7" s="54"/>
      <c r="G7" s="54"/>
      <c r="H7" s="54"/>
      <c r="I7" s="54"/>
      <c r="J7" s="54"/>
      <c r="K7" s="54"/>
      <c r="L7" s="54"/>
      <c r="M7" s="54"/>
      <c r="N7" s="55"/>
      <c r="O7" s="54" t="s">
        <v>400</v>
      </c>
      <c r="P7" s="55"/>
      <c r="Q7" s="55"/>
    </row>
    <row r="8" spans="1:17" ht="21.9" customHeight="1">
      <c r="A8" s="79" t="s">
        <v>524</v>
      </c>
      <c r="B8" s="2039"/>
      <c r="H8" s="78" t="s">
        <v>466</v>
      </c>
      <c r="N8" s="24"/>
      <c r="O8" s="2041" t="s">
        <v>530</v>
      </c>
      <c r="P8" s="2042"/>
      <c r="Q8" s="922"/>
    </row>
    <row r="9" spans="1:17" ht="21.9" customHeight="1" thickBot="1">
      <c r="A9" s="79" t="s">
        <v>525</v>
      </c>
      <c r="B9" s="2040"/>
      <c r="C9" s="23"/>
      <c r="D9" s="23"/>
      <c r="E9" s="23"/>
      <c r="F9" s="23"/>
      <c r="G9" s="23"/>
      <c r="H9" s="23"/>
      <c r="I9" s="23"/>
      <c r="J9" s="23"/>
      <c r="K9" s="23"/>
      <c r="L9" s="23"/>
      <c r="M9" s="23"/>
      <c r="N9" s="25"/>
      <c r="O9" s="2041" t="s">
        <v>464</v>
      </c>
      <c r="P9" s="2042"/>
      <c r="Q9" s="923" t="s">
        <v>526</v>
      </c>
    </row>
    <row r="10" spans="1:17" ht="41.4" thickTop="1">
      <c r="A10" s="52"/>
      <c r="B10" s="122" t="s">
        <v>770</v>
      </c>
      <c r="C10" s="123" t="str">
        <f>'Staff Hour Summary--Grand Total'!C10</f>
        <v>Project Manager</v>
      </c>
      <c r="D10" s="123" t="str">
        <f>'Staff Hour Summary--Grand Total'!D10</f>
        <v>Staff Classi- fication 2</v>
      </c>
      <c r="E10" s="123" t="str">
        <f>'Staff Hour Summary--Grand Total'!E10</f>
        <v>Staff Classi- fication 3</v>
      </c>
      <c r="F10" s="123" t="str">
        <f>'Staff Hour Summary--Grand Total'!F10</f>
        <v>Staff Classi- fication 4</v>
      </c>
      <c r="G10" s="123" t="str">
        <f>'Staff Hour Summary--Grand Total'!G10</f>
        <v>Staff Classi- fication 5</v>
      </c>
      <c r="H10" s="123" t="str">
        <f>'Staff Hour Summary--Grand Total'!H10</f>
        <v>Staff Classi- fication 6</v>
      </c>
      <c r="I10" s="123" t="str">
        <f>'Staff Hour Summary--Grand Total'!I10</f>
        <v>Staff Classi- fication 7</v>
      </c>
      <c r="J10" s="123" t="str">
        <f>'Staff Hour Summary--Grand Total'!J10</f>
        <v>Staff Classi- fication 8</v>
      </c>
      <c r="K10" s="123" t="str">
        <f>'Staff Hour Summary--Grand Total'!K10</f>
        <v>Staff Classi- fication 9</v>
      </c>
      <c r="L10" s="123" t="str">
        <f>'Staff Hour Summary--Grand Total'!L10</f>
        <v>Staff Classi- fication 10</v>
      </c>
      <c r="M10" s="123" t="str">
        <f>'Staff Hour Summary--Grand Total'!M10</f>
        <v>Staff Classi- fication 11</v>
      </c>
      <c r="N10" s="123" t="str">
        <f>'Staff Hour Summary--Grand Total'!N10</f>
        <v>Staff Classi- fication 12</v>
      </c>
      <c r="O10" s="2045" t="s">
        <v>462</v>
      </c>
      <c r="P10" s="2046"/>
      <c r="Q10" s="924"/>
    </row>
    <row r="11" spans="1:17" ht="20.100000000000001" customHeight="1">
      <c r="A11" s="53" t="s">
        <v>400</v>
      </c>
      <c r="B11" s="65" t="s">
        <v>514</v>
      </c>
      <c r="C11" s="102" t="s">
        <v>514</v>
      </c>
      <c r="D11" s="102" t="s">
        <v>514</v>
      </c>
      <c r="E11" s="102" t="s">
        <v>514</v>
      </c>
      <c r="F11" s="102" t="s">
        <v>514</v>
      </c>
      <c r="G11" s="102" t="s">
        <v>514</v>
      </c>
      <c r="H11" s="102" t="s">
        <v>514</v>
      </c>
      <c r="I11" s="102" t="s">
        <v>514</v>
      </c>
      <c r="J11" s="102" t="s">
        <v>514</v>
      </c>
      <c r="K11" s="102" t="s">
        <v>514</v>
      </c>
      <c r="L11" s="102" t="s">
        <v>514</v>
      </c>
      <c r="M11" s="102" t="s">
        <v>514</v>
      </c>
      <c r="N11" s="102" t="s">
        <v>514</v>
      </c>
      <c r="O11" s="925"/>
      <c r="P11" s="926"/>
      <c r="Q11" s="926" t="s">
        <v>527</v>
      </c>
    </row>
    <row r="12" spans="1:17" ht="30" customHeight="1">
      <c r="A12" s="50" t="s">
        <v>2588</v>
      </c>
      <c r="B12" s="57">
        <f>Summary!C5</f>
        <v>0</v>
      </c>
      <c r="C12" s="27">
        <f t="shared" ref="C12:N12" si="0">ROUND($B$12*C64,0)</f>
        <v>0</v>
      </c>
      <c r="D12" s="27">
        <f t="shared" si="0"/>
        <v>0</v>
      </c>
      <c r="E12" s="27">
        <f t="shared" si="0"/>
        <v>0</v>
      </c>
      <c r="F12" s="27">
        <f t="shared" si="0"/>
        <v>0</v>
      </c>
      <c r="G12" s="27">
        <f t="shared" si="0"/>
        <v>0</v>
      </c>
      <c r="H12" s="27">
        <f t="shared" si="0"/>
        <v>0</v>
      </c>
      <c r="I12" s="27">
        <f t="shared" si="0"/>
        <v>0</v>
      </c>
      <c r="J12" s="27">
        <f t="shared" si="0"/>
        <v>0</v>
      </c>
      <c r="K12" s="27">
        <f t="shared" si="0"/>
        <v>0</v>
      </c>
      <c r="L12" s="27">
        <f t="shared" si="0"/>
        <v>0</v>
      </c>
      <c r="M12" s="27">
        <f t="shared" si="0"/>
        <v>0</v>
      </c>
      <c r="N12" s="27">
        <f t="shared" si="0"/>
        <v>0</v>
      </c>
      <c r="O12" s="927">
        <f t="shared" ref="O12:O42" si="1">SUM(C12:N12)</f>
        <v>0</v>
      </c>
      <c r="P12" s="26">
        <f t="shared" ref="P12:P42" si="2">ROUND(SUM(C12:N12)*1.1,0)</f>
        <v>0</v>
      </c>
      <c r="Q12" s="928"/>
    </row>
    <row r="13" spans="1:17" ht="30" customHeight="1">
      <c r="A13" s="50" t="s">
        <v>551</v>
      </c>
      <c r="B13" s="57">
        <f>Summary!C6</f>
        <v>0</v>
      </c>
      <c r="C13" s="27">
        <f t="shared" ref="C13:N13" si="3">ROUND($B$13*C65,0)</f>
        <v>0</v>
      </c>
      <c r="D13" s="27">
        <f t="shared" si="3"/>
        <v>0</v>
      </c>
      <c r="E13" s="27">
        <f t="shared" si="3"/>
        <v>0</v>
      </c>
      <c r="F13" s="27">
        <f t="shared" si="3"/>
        <v>0</v>
      </c>
      <c r="G13" s="27">
        <f t="shared" si="3"/>
        <v>0</v>
      </c>
      <c r="H13" s="27">
        <f t="shared" si="3"/>
        <v>0</v>
      </c>
      <c r="I13" s="27">
        <f t="shared" si="3"/>
        <v>0</v>
      </c>
      <c r="J13" s="27">
        <f t="shared" si="3"/>
        <v>0</v>
      </c>
      <c r="K13" s="27">
        <f t="shared" si="3"/>
        <v>0</v>
      </c>
      <c r="L13" s="27">
        <f t="shared" si="3"/>
        <v>0</v>
      </c>
      <c r="M13" s="27">
        <f t="shared" si="3"/>
        <v>0</v>
      </c>
      <c r="N13" s="27">
        <f t="shared" si="3"/>
        <v>0</v>
      </c>
      <c r="O13" s="927">
        <f t="shared" si="1"/>
        <v>0</v>
      </c>
      <c r="P13" s="26">
        <f t="shared" si="2"/>
        <v>0</v>
      </c>
      <c r="Q13" s="928"/>
    </row>
    <row r="14" spans="1:17" ht="30" customHeight="1">
      <c r="A14" s="50" t="s">
        <v>552</v>
      </c>
      <c r="B14" s="57">
        <f>Summary!C7</f>
        <v>0</v>
      </c>
      <c r="C14" s="27">
        <f t="shared" ref="C14:N14" si="4">ROUND($B$14*C66,0)</f>
        <v>0</v>
      </c>
      <c r="D14" s="27">
        <f t="shared" si="4"/>
        <v>0</v>
      </c>
      <c r="E14" s="27">
        <f t="shared" si="4"/>
        <v>0</v>
      </c>
      <c r="F14" s="27">
        <f t="shared" si="4"/>
        <v>0</v>
      </c>
      <c r="G14" s="27">
        <f t="shared" si="4"/>
        <v>0</v>
      </c>
      <c r="H14" s="27">
        <f t="shared" si="4"/>
        <v>0</v>
      </c>
      <c r="I14" s="27">
        <f t="shared" si="4"/>
        <v>0</v>
      </c>
      <c r="J14" s="27">
        <f t="shared" si="4"/>
        <v>0</v>
      </c>
      <c r="K14" s="27">
        <f t="shared" si="4"/>
        <v>0</v>
      </c>
      <c r="L14" s="27">
        <f t="shared" si="4"/>
        <v>0</v>
      </c>
      <c r="M14" s="27">
        <f t="shared" si="4"/>
        <v>0</v>
      </c>
      <c r="N14" s="27">
        <f t="shared" si="4"/>
        <v>0</v>
      </c>
      <c r="O14" s="929">
        <f t="shared" si="1"/>
        <v>0</v>
      </c>
      <c r="P14" s="26">
        <f t="shared" si="2"/>
        <v>0</v>
      </c>
      <c r="Q14" s="928"/>
    </row>
    <row r="15" spans="1:17" ht="30" customHeight="1">
      <c r="A15" s="50" t="s">
        <v>1433</v>
      </c>
      <c r="B15" s="57">
        <f>Summary!C8</f>
        <v>0</v>
      </c>
      <c r="C15" s="27">
        <f t="shared" ref="C15:N15" si="5">ROUND($B$15*C67,0)</f>
        <v>0</v>
      </c>
      <c r="D15" s="27">
        <f t="shared" si="5"/>
        <v>0</v>
      </c>
      <c r="E15" s="27">
        <f t="shared" si="5"/>
        <v>0</v>
      </c>
      <c r="F15" s="27">
        <f t="shared" si="5"/>
        <v>0</v>
      </c>
      <c r="G15" s="27">
        <f t="shared" si="5"/>
        <v>0</v>
      </c>
      <c r="H15" s="27">
        <f t="shared" si="5"/>
        <v>0</v>
      </c>
      <c r="I15" s="27">
        <f t="shared" si="5"/>
        <v>0</v>
      </c>
      <c r="J15" s="27">
        <f t="shared" si="5"/>
        <v>0</v>
      </c>
      <c r="K15" s="27">
        <f t="shared" si="5"/>
        <v>0</v>
      </c>
      <c r="L15" s="27">
        <f t="shared" si="5"/>
        <v>0</v>
      </c>
      <c r="M15" s="27">
        <f t="shared" si="5"/>
        <v>0</v>
      </c>
      <c r="N15" s="27">
        <f t="shared" si="5"/>
        <v>0</v>
      </c>
      <c r="O15" s="929">
        <f t="shared" si="1"/>
        <v>0</v>
      </c>
      <c r="P15" s="26">
        <f t="shared" si="2"/>
        <v>0</v>
      </c>
      <c r="Q15" s="931"/>
    </row>
    <row r="16" spans="1:17" ht="30" customHeight="1">
      <c r="A16" s="50" t="s">
        <v>1432</v>
      </c>
      <c r="B16" s="57">
        <f>Summary!C9</f>
        <v>0</v>
      </c>
      <c r="C16" s="27">
        <f>ROUND($B$16*C68,0)</f>
        <v>0</v>
      </c>
      <c r="D16" s="27">
        <f t="shared" ref="D16:N16" si="6">ROUND($B$16*D68,0)</f>
        <v>0</v>
      </c>
      <c r="E16" s="27">
        <f t="shared" si="6"/>
        <v>0</v>
      </c>
      <c r="F16" s="27">
        <f t="shared" si="6"/>
        <v>0</v>
      </c>
      <c r="G16" s="27">
        <f t="shared" si="6"/>
        <v>0</v>
      </c>
      <c r="H16" s="27">
        <f t="shared" si="6"/>
        <v>0</v>
      </c>
      <c r="I16" s="27">
        <f t="shared" si="6"/>
        <v>0</v>
      </c>
      <c r="J16" s="27">
        <f t="shared" si="6"/>
        <v>0</v>
      </c>
      <c r="K16" s="27">
        <f t="shared" si="6"/>
        <v>0</v>
      </c>
      <c r="L16" s="27">
        <f t="shared" si="6"/>
        <v>0</v>
      </c>
      <c r="M16" s="27">
        <f t="shared" si="6"/>
        <v>0</v>
      </c>
      <c r="N16" s="27">
        <f t="shared" si="6"/>
        <v>0</v>
      </c>
      <c r="O16" s="929">
        <f>SUM(C16:N16)</f>
        <v>0</v>
      </c>
      <c r="P16" s="26">
        <f>ROUND(SUM(C16:N16)*1.1,0)</f>
        <v>0</v>
      </c>
      <c r="Q16" s="931"/>
    </row>
    <row r="17" spans="1:17" ht="30" customHeight="1">
      <c r="A17" s="50" t="s">
        <v>2586</v>
      </c>
      <c r="B17" s="57">
        <f>Summary!C10</f>
        <v>0</v>
      </c>
      <c r="C17" s="27">
        <f>ROUND($B$17*C69,0)</f>
        <v>0</v>
      </c>
      <c r="D17" s="27">
        <f t="shared" ref="D17:M17" si="7">ROUND($B$17*D69,0)</f>
        <v>0</v>
      </c>
      <c r="E17" s="27">
        <f t="shared" si="7"/>
        <v>0</v>
      </c>
      <c r="F17" s="27">
        <f t="shared" si="7"/>
        <v>0</v>
      </c>
      <c r="G17" s="27">
        <f t="shared" si="7"/>
        <v>0</v>
      </c>
      <c r="H17" s="27">
        <f t="shared" si="7"/>
        <v>0</v>
      </c>
      <c r="I17" s="27">
        <f t="shared" si="7"/>
        <v>0</v>
      </c>
      <c r="J17" s="27">
        <f t="shared" si="7"/>
        <v>0</v>
      </c>
      <c r="K17" s="27">
        <f t="shared" si="7"/>
        <v>0</v>
      </c>
      <c r="L17" s="27">
        <f t="shared" si="7"/>
        <v>0</v>
      </c>
      <c r="M17" s="27">
        <f t="shared" si="7"/>
        <v>0</v>
      </c>
      <c r="N17" s="27">
        <f>ROUND($B$17*N69,0)</f>
        <v>0</v>
      </c>
      <c r="O17" s="929">
        <f>SUM(C17:N17)</f>
        <v>0</v>
      </c>
      <c r="P17" s="26">
        <f>ROUND(SUM(C17:N17)*1.1,0)</f>
        <v>0</v>
      </c>
      <c r="Q17" s="931"/>
    </row>
    <row r="18" spans="1:17" ht="30" customHeight="1">
      <c r="A18" s="50" t="s">
        <v>553</v>
      </c>
      <c r="B18" s="57">
        <f>Summary!C11</f>
        <v>0</v>
      </c>
      <c r="C18" s="27">
        <f t="shared" ref="C18:N18" si="8">ROUND($B$18*C70,0)</f>
        <v>0</v>
      </c>
      <c r="D18" s="27">
        <f t="shared" si="8"/>
        <v>0</v>
      </c>
      <c r="E18" s="27">
        <f t="shared" si="8"/>
        <v>0</v>
      </c>
      <c r="F18" s="27">
        <f t="shared" si="8"/>
        <v>0</v>
      </c>
      <c r="G18" s="27">
        <f t="shared" si="8"/>
        <v>0</v>
      </c>
      <c r="H18" s="27">
        <f t="shared" si="8"/>
        <v>0</v>
      </c>
      <c r="I18" s="27">
        <f t="shared" si="8"/>
        <v>0</v>
      </c>
      <c r="J18" s="27">
        <f t="shared" si="8"/>
        <v>0</v>
      </c>
      <c r="K18" s="27">
        <f t="shared" si="8"/>
        <v>0</v>
      </c>
      <c r="L18" s="27">
        <f t="shared" si="8"/>
        <v>0</v>
      </c>
      <c r="M18" s="27">
        <f t="shared" si="8"/>
        <v>0</v>
      </c>
      <c r="N18" s="27">
        <f t="shared" si="8"/>
        <v>0</v>
      </c>
      <c r="O18" s="929">
        <f t="shared" si="1"/>
        <v>0</v>
      </c>
      <c r="P18" s="26">
        <f t="shared" si="2"/>
        <v>0</v>
      </c>
      <c r="Q18" s="928"/>
    </row>
    <row r="19" spans="1:17" ht="30" customHeight="1">
      <c r="A19" s="50" t="s">
        <v>1692</v>
      </c>
      <c r="B19" s="57">
        <f>Summary!C12</f>
        <v>0</v>
      </c>
      <c r="C19" s="27">
        <f t="shared" ref="C19:N19" si="9">ROUND($B$19*C71,0)</f>
        <v>0</v>
      </c>
      <c r="D19" s="27">
        <f t="shared" si="9"/>
        <v>0</v>
      </c>
      <c r="E19" s="27">
        <f t="shared" si="9"/>
        <v>0</v>
      </c>
      <c r="F19" s="27">
        <f t="shared" si="9"/>
        <v>0</v>
      </c>
      <c r="G19" s="27">
        <f t="shared" si="9"/>
        <v>0</v>
      </c>
      <c r="H19" s="27">
        <f t="shared" si="9"/>
        <v>0</v>
      </c>
      <c r="I19" s="27">
        <f t="shared" si="9"/>
        <v>0</v>
      </c>
      <c r="J19" s="27">
        <f t="shared" si="9"/>
        <v>0</v>
      </c>
      <c r="K19" s="27">
        <f t="shared" si="9"/>
        <v>0</v>
      </c>
      <c r="L19" s="27">
        <f t="shared" si="9"/>
        <v>0</v>
      </c>
      <c r="M19" s="27">
        <f t="shared" si="9"/>
        <v>0</v>
      </c>
      <c r="N19" s="27">
        <f t="shared" si="9"/>
        <v>0</v>
      </c>
      <c r="O19" s="929">
        <f t="shared" si="1"/>
        <v>0</v>
      </c>
      <c r="P19" s="26">
        <f t="shared" si="2"/>
        <v>0</v>
      </c>
      <c r="Q19" s="928"/>
    </row>
    <row r="20" spans="1:17" ht="30" customHeight="1">
      <c r="A20" s="151" t="s">
        <v>518</v>
      </c>
      <c r="B20" s="57">
        <f>Summary!C13</f>
        <v>0</v>
      </c>
      <c r="C20" s="27">
        <f t="shared" ref="C20:N20" si="10">ROUND($B$20*C72,0)</f>
        <v>0</v>
      </c>
      <c r="D20" s="27">
        <f t="shared" si="10"/>
        <v>0</v>
      </c>
      <c r="E20" s="27">
        <f t="shared" si="10"/>
        <v>0</v>
      </c>
      <c r="F20" s="27">
        <f t="shared" si="10"/>
        <v>0</v>
      </c>
      <c r="G20" s="27">
        <f t="shared" si="10"/>
        <v>0</v>
      </c>
      <c r="H20" s="27">
        <f t="shared" si="10"/>
        <v>0</v>
      </c>
      <c r="I20" s="27">
        <f t="shared" si="10"/>
        <v>0</v>
      </c>
      <c r="J20" s="27">
        <f t="shared" si="10"/>
        <v>0</v>
      </c>
      <c r="K20" s="27">
        <f t="shared" si="10"/>
        <v>0</v>
      </c>
      <c r="L20" s="27">
        <f t="shared" si="10"/>
        <v>0</v>
      </c>
      <c r="M20" s="27">
        <f t="shared" si="10"/>
        <v>0</v>
      </c>
      <c r="N20" s="27">
        <f t="shared" si="10"/>
        <v>0</v>
      </c>
      <c r="O20" s="929">
        <f t="shared" si="1"/>
        <v>0</v>
      </c>
      <c r="P20" s="26">
        <f t="shared" si="2"/>
        <v>0</v>
      </c>
      <c r="Q20" s="928"/>
    </row>
    <row r="21" spans="1:17" ht="30" customHeight="1">
      <c r="A21" s="50" t="s">
        <v>968</v>
      </c>
      <c r="B21" s="57">
        <f>Summary!C14</f>
        <v>0</v>
      </c>
      <c r="C21" s="27">
        <f t="shared" ref="C21:N21" si="11">ROUND($B$21*C73,0)</f>
        <v>0</v>
      </c>
      <c r="D21" s="27">
        <f t="shared" si="11"/>
        <v>0</v>
      </c>
      <c r="E21" s="27">
        <f t="shared" si="11"/>
        <v>0</v>
      </c>
      <c r="F21" s="27">
        <f t="shared" si="11"/>
        <v>0</v>
      </c>
      <c r="G21" s="27">
        <f t="shared" si="11"/>
        <v>0</v>
      </c>
      <c r="H21" s="27">
        <f t="shared" si="11"/>
        <v>0</v>
      </c>
      <c r="I21" s="27">
        <f t="shared" si="11"/>
        <v>0</v>
      </c>
      <c r="J21" s="27">
        <f t="shared" si="11"/>
        <v>0</v>
      </c>
      <c r="K21" s="27">
        <f t="shared" si="11"/>
        <v>0</v>
      </c>
      <c r="L21" s="27">
        <f t="shared" si="11"/>
        <v>0</v>
      </c>
      <c r="M21" s="27">
        <f t="shared" si="11"/>
        <v>0</v>
      </c>
      <c r="N21" s="27">
        <f t="shared" si="11"/>
        <v>0</v>
      </c>
      <c r="O21" s="929">
        <f t="shared" si="1"/>
        <v>0</v>
      </c>
      <c r="P21" s="26">
        <f t="shared" si="2"/>
        <v>0</v>
      </c>
      <c r="Q21" s="928"/>
    </row>
    <row r="22" spans="1:17" ht="30" customHeight="1">
      <c r="A22" s="50" t="s">
        <v>554</v>
      </c>
      <c r="B22" s="57">
        <f>Summary!C15</f>
        <v>0</v>
      </c>
      <c r="C22" s="27">
        <f t="shared" ref="C22:N22" si="12">ROUND($B$22*C74,0)</f>
        <v>0</v>
      </c>
      <c r="D22" s="27">
        <f t="shared" si="12"/>
        <v>0</v>
      </c>
      <c r="E22" s="27">
        <f t="shared" si="12"/>
        <v>0</v>
      </c>
      <c r="F22" s="27">
        <f t="shared" si="12"/>
        <v>0</v>
      </c>
      <c r="G22" s="27">
        <f t="shared" si="12"/>
        <v>0</v>
      </c>
      <c r="H22" s="27">
        <f t="shared" si="12"/>
        <v>0</v>
      </c>
      <c r="I22" s="27">
        <f t="shared" si="12"/>
        <v>0</v>
      </c>
      <c r="J22" s="27">
        <f t="shared" si="12"/>
        <v>0</v>
      </c>
      <c r="K22" s="27">
        <f t="shared" si="12"/>
        <v>0</v>
      </c>
      <c r="L22" s="27">
        <f t="shared" si="12"/>
        <v>0</v>
      </c>
      <c r="M22" s="27">
        <f t="shared" si="12"/>
        <v>0</v>
      </c>
      <c r="N22" s="27">
        <f t="shared" si="12"/>
        <v>0</v>
      </c>
      <c r="O22" s="929">
        <f t="shared" si="1"/>
        <v>0</v>
      </c>
      <c r="P22" s="26">
        <f t="shared" si="2"/>
        <v>0</v>
      </c>
      <c r="Q22" s="928"/>
    </row>
    <row r="23" spans="1:17" ht="30" customHeight="1">
      <c r="A23" s="50" t="s">
        <v>969</v>
      </c>
      <c r="B23" s="57">
        <f>Summary!C16</f>
        <v>0</v>
      </c>
      <c r="C23" s="27">
        <f t="shared" ref="C23:N23" si="13">ROUND($B$23*C75,0)</f>
        <v>0</v>
      </c>
      <c r="D23" s="27">
        <f t="shared" si="13"/>
        <v>0</v>
      </c>
      <c r="E23" s="27">
        <f t="shared" si="13"/>
        <v>0</v>
      </c>
      <c r="F23" s="27">
        <f t="shared" si="13"/>
        <v>0</v>
      </c>
      <c r="G23" s="27">
        <f t="shared" si="13"/>
        <v>0</v>
      </c>
      <c r="H23" s="27">
        <f t="shared" si="13"/>
        <v>0</v>
      </c>
      <c r="I23" s="27">
        <f t="shared" si="13"/>
        <v>0</v>
      </c>
      <c r="J23" s="27">
        <f t="shared" si="13"/>
        <v>0</v>
      </c>
      <c r="K23" s="27">
        <f t="shared" si="13"/>
        <v>0</v>
      </c>
      <c r="L23" s="27">
        <f t="shared" si="13"/>
        <v>0</v>
      </c>
      <c r="M23" s="27">
        <f t="shared" si="13"/>
        <v>0</v>
      </c>
      <c r="N23" s="27">
        <f t="shared" si="13"/>
        <v>0</v>
      </c>
      <c r="O23" s="929">
        <f t="shared" si="1"/>
        <v>0</v>
      </c>
      <c r="P23" s="26">
        <f t="shared" si="2"/>
        <v>0</v>
      </c>
      <c r="Q23" s="928"/>
    </row>
    <row r="24" spans="1:17" ht="30" customHeight="1">
      <c r="A24" s="50" t="s">
        <v>970</v>
      </c>
      <c r="B24" s="57">
        <f>Summary!C17</f>
        <v>0</v>
      </c>
      <c r="C24" s="27">
        <f t="shared" ref="C24:N24" si="14">ROUND($B$24*C76,0)</f>
        <v>0</v>
      </c>
      <c r="D24" s="27">
        <f t="shared" si="14"/>
        <v>0</v>
      </c>
      <c r="E24" s="27">
        <f t="shared" si="14"/>
        <v>0</v>
      </c>
      <c r="F24" s="27">
        <f t="shared" si="14"/>
        <v>0</v>
      </c>
      <c r="G24" s="27">
        <f t="shared" si="14"/>
        <v>0</v>
      </c>
      <c r="H24" s="27">
        <f t="shared" si="14"/>
        <v>0</v>
      </c>
      <c r="I24" s="27">
        <f t="shared" si="14"/>
        <v>0</v>
      </c>
      <c r="J24" s="27">
        <f t="shared" si="14"/>
        <v>0</v>
      </c>
      <c r="K24" s="27">
        <f t="shared" si="14"/>
        <v>0</v>
      </c>
      <c r="L24" s="27">
        <f t="shared" si="14"/>
        <v>0</v>
      </c>
      <c r="M24" s="27">
        <f t="shared" si="14"/>
        <v>0</v>
      </c>
      <c r="N24" s="27">
        <f t="shared" si="14"/>
        <v>0</v>
      </c>
      <c r="O24" s="929">
        <f t="shared" si="1"/>
        <v>0</v>
      </c>
      <c r="P24" s="26">
        <f t="shared" si="2"/>
        <v>0</v>
      </c>
      <c r="Q24" s="928"/>
    </row>
    <row r="25" spans="1:17" ht="30" customHeight="1">
      <c r="A25" s="50" t="s">
        <v>971</v>
      </c>
      <c r="B25" s="57">
        <f>Summary!C18</f>
        <v>0</v>
      </c>
      <c r="C25" s="27">
        <f t="shared" ref="C25:N25" si="15">ROUND($B$25*C77,0)</f>
        <v>0</v>
      </c>
      <c r="D25" s="27">
        <f t="shared" si="15"/>
        <v>0</v>
      </c>
      <c r="E25" s="27">
        <f t="shared" si="15"/>
        <v>0</v>
      </c>
      <c r="F25" s="27">
        <f t="shared" si="15"/>
        <v>0</v>
      </c>
      <c r="G25" s="27">
        <f t="shared" si="15"/>
        <v>0</v>
      </c>
      <c r="H25" s="27">
        <f t="shared" si="15"/>
        <v>0</v>
      </c>
      <c r="I25" s="27">
        <f t="shared" si="15"/>
        <v>0</v>
      </c>
      <c r="J25" s="27">
        <f t="shared" si="15"/>
        <v>0</v>
      </c>
      <c r="K25" s="27">
        <f t="shared" si="15"/>
        <v>0</v>
      </c>
      <c r="L25" s="27">
        <f t="shared" si="15"/>
        <v>0</v>
      </c>
      <c r="M25" s="27">
        <f t="shared" si="15"/>
        <v>0</v>
      </c>
      <c r="N25" s="27">
        <f t="shared" si="15"/>
        <v>0</v>
      </c>
      <c r="O25" s="929">
        <f t="shared" si="1"/>
        <v>0</v>
      </c>
      <c r="P25" s="26">
        <f t="shared" si="2"/>
        <v>0</v>
      </c>
      <c r="Q25" s="928"/>
    </row>
    <row r="26" spans="1:17" ht="30" customHeight="1">
      <c r="A26" s="50" t="s">
        <v>972</v>
      </c>
      <c r="B26" s="57">
        <f>Summary!C19</f>
        <v>0</v>
      </c>
      <c r="C26" s="27">
        <f t="shared" ref="C26:N26" si="16">ROUND($B$26*C78,0)</f>
        <v>0</v>
      </c>
      <c r="D26" s="27">
        <f t="shared" si="16"/>
        <v>0</v>
      </c>
      <c r="E26" s="27">
        <f t="shared" si="16"/>
        <v>0</v>
      </c>
      <c r="F26" s="27">
        <f t="shared" si="16"/>
        <v>0</v>
      </c>
      <c r="G26" s="27">
        <f t="shared" si="16"/>
        <v>0</v>
      </c>
      <c r="H26" s="27">
        <f t="shared" si="16"/>
        <v>0</v>
      </c>
      <c r="I26" s="27">
        <f t="shared" si="16"/>
        <v>0</v>
      </c>
      <c r="J26" s="27">
        <f t="shared" si="16"/>
        <v>0</v>
      </c>
      <c r="K26" s="27">
        <f t="shared" si="16"/>
        <v>0</v>
      </c>
      <c r="L26" s="27">
        <f t="shared" si="16"/>
        <v>0</v>
      </c>
      <c r="M26" s="27">
        <f t="shared" si="16"/>
        <v>0</v>
      </c>
      <c r="N26" s="27">
        <f t="shared" si="16"/>
        <v>0</v>
      </c>
      <c r="O26" s="929">
        <f t="shared" si="1"/>
        <v>0</v>
      </c>
      <c r="P26" s="26">
        <f t="shared" si="2"/>
        <v>0</v>
      </c>
      <c r="Q26" s="928"/>
    </row>
    <row r="27" spans="1:17" ht="30" customHeight="1">
      <c r="A27" s="50" t="s">
        <v>555</v>
      </c>
      <c r="B27" s="57">
        <f>Summary!C20</f>
        <v>0</v>
      </c>
      <c r="C27" s="27">
        <f t="shared" ref="C27:N27" si="17">ROUND($B$27*C79,0)</f>
        <v>0</v>
      </c>
      <c r="D27" s="27">
        <f t="shared" si="17"/>
        <v>0</v>
      </c>
      <c r="E27" s="27">
        <f t="shared" si="17"/>
        <v>0</v>
      </c>
      <c r="F27" s="27">
        <f t="shared" si="17"/>
        <v>0</v>
      </c>
      <c r="G27" s="27">
        <f t="shared" si="17"/>
        <v>0</v>
      </c>
      <c r="H27" s="27">
        <f t="shared" si="17"/>
        <v>0</v>
      </c>
      <c r="I27" s="27">
        <f t="shared" si="17"/>
        <v>0</v>
      </c>
      <c r="J27" s="27">
        <f t="shared" si="17"/>
        <v>0</v>
      </c>
      <c r="K27" s="27">
        <f t="shared" si="17"/>
        <v>0</v>
      </c>
      <c r="L27" s="27">
        <f t="shared" si="17"/>
        <v>0</v>
      </c>
      <c r="M27" s="27">
        <f t="shared" si="17"/>
        <v>0</v>
      </c>
      <c r="N27" s="27">
        <f t="shared" si="17"/>
        <v>0</v>
      </c>
      <c r="O27" s="929">
        <f t="shared" si="1"/>
        <v>0</v>
      </c>
      <c r="P27" s="26">
        <f t="shared" si="2"/>
        <v>0</v>
      </c>
      <c r="Q27" s="928"/>
    </row>
    <row r="28" spans="1:17" ht="30" customHeight="1">
      <c r="A28" s="50" t="s">
        <v>558</v>
      </c>
      <c r="B28" s="57">
        <f>Summary!C21</f>
        <v>0</v>
      </c>
      <c r="C28" s="27">
        <f t="shared" ref="C28:N28" si="18">ROUND($B$28*C80,0)</f>
        <v>0</v>
      </c>
      <c r="D28" s="27">
        <f t="shared" si="18"/>
        <v>0</v>
      </c>
      <c r="E28" s="27">
        <f t="shared" si="18"/>
        <v>0</v>
      </c>
      <c r="F28" s="27">
        <f t="shared" si="18"/>
        <v>0</v>
      </c>
      <c r="G28" s="27">
        <f t="shared" si="18"/>
        <v>0</v>
      </c>
      <c r="H28" s="27">
        <f t="shared" si="18"/>
        <v>0</v>
      </c>
      <c r="I28" s="27">
        <f t="shared" si="18"/>
        <v>0</v>
      </c>
      <c r="J28" s="27">
        <f t="shared" si="18"/>
        <v>0</v>
      </c>
      <c r="K28" s="27">
        <f t="shared" si="18"/>
        <v>0</v>
      </c>
      <c r="L28" s="27">
        <f t="shared" si="18"/>
        <v>0</v>
      </c>
      <c r="M28" s="27">
        <f t="shared" si="18"/>
        <v>0</v>
      </c>
      <c r="N28" s="27">
        <f t="shared" si="18"/>
        <v>0</v>
      </c>
      <c r="O28" s="929">
        <f t="shared" si="1"/>
        <v>0</v>
      </c>
      <c r="P28" s="26">
        <f t="shared" si="2"/>
        <v>0</v>
      </c>
      <c r="Q28" s="928"/>
    </row>
    <row r="29" spans="1:17" ht="30" customHeight="1">
      <c r="A29" s="50" t="s">
        <v>559</v>
      </c>
      <c r="B29" s="57">
        <f>Summary!C22</f>
        <v>0</v>
      </c>
      <c r="C29" s="27">
        <f t="shared" ref="C29:N29" si="19">ROUND($B$29*C81,0)</f>
        <v>0</v>
      </c>
      <c r="D29" s="27">
        <f t="shared" si="19"/>
        <v>0</v>
      </c>
      <c r="E29" s="27">
        <f t="shared" si="19"/>
        <v>0</v>
      </c>
      <c r="F29" s="27">
        <f t="shared" si="19"/>
        <v>0</v>
      </c>
      <c r="G29" s="27">
        <f t="shared" si="19"/>
        <v>0</v>
      </c>
      <c r="H29" s="27">
        <f t="shared" si="19"/>
        <v>0</v>
      </c>
      <c r="I29" s="27">
        <f t="shared" si="19"/>
        <v>0</v>
      </c>
      <c r="J29" s="27">
        <f t="shared" si="19"/>
        <v>0</v>
      </c>
      <c r="K29" s="27">
        <f t="shared" si="19"/>
        <v>0</v>
      </c>
      <c r="L29" s="27">
        <f t="shared" si="19"/>
        <v>0</v>
      </c>
      <c r="M29" s="27">
        <f t="shared" si="19"/>
        <v>0</v>
      </c>
      <c r="N29" s="27">
        <f t="shared" si="19"/>
        <v>0</v>
      </c>
      <c r="O29" s="929">
        <f t="shared" si="1"/>
        <v>0</v>
      </c>
      <c r="P29" s="26">
        <f t="shared" si="2"/>
        <v>0</v>
      </c>
      <c r="Q29" s="928"/>
    </row>
    <row r="30" spans="1:17" ht="30" customHeight="1">
      <c r="A30" s="50" t="s">
        <v>973</v>
      </c>
      <c r="B30" s="57">
        <f>Summary!C23</f>
        <v>0</v>
      </c>
      <c r="C30" s="27">
        <f t="shared" ref="C30:N30" si="20">ROUND($B$30*C82,0)</f>
        <v>0</v>
      </c>
      <c r="D30" s="27">
        <f t="shared" si="20"/>
        <v>0</v>
      </c>
      <c r="E30" s="27">
        <f t="shared" si="20"/>
        <v>0</v>
      </c>
      <c r="F30" s="27">
        <f t="shared" si="20"/>
        <v>0</v>
      </c>
      <c r="G30" s="27">
        <f t="shared" si="20"/>
        <v>0</v>
      </c>
      <c r="H30" s="27">
        <f t="shared" si="20"/>
        <v>0</v>
      </c>
      <c r="I30" s="27">
        <f t="shared" si="20"/>
        <v>0</v>
      </c>
      <c r="J30" s="27">
        <f t="shared" si="20"/>
        <v>0</v>
      </c>
      <c r="K30" s="27">
        <f t="shared" si="20"/>
        <v>0</v>
      </c>
      <c r="L30" s="27">
        <f t="shared" si="20"/>
        <v>0</v>
      </c>
      <c r="M30" s="27">
        <f t="shared" si="20"/>
        <v>0</v>
      </c>
      <c r="N30" s="27">
        <f t="shared" si="20"/>
        <v>0</v>
      </c>
      <c r="O30" s="929">
        <f t="shared" si="1"/>
        <v>0</v>
      </c>
      <c r="P30" s="26">
        <f t="shared" si="2"/>
        <v>0</v>
      </c>
      <c r="Q30" s="928"/>
    </row>
    <row r="31" spans="1:17" ht="30" customHeight="1">
      <c r="A31" s="50" t="s">
        <v>974</v>
      </c>
      <c r="B31" s="57">
        <f>Summary!C24</f>
        <v>0</v>
      </c>
      <c r="C31" s="27">
        <f t="shared" ref="C31:N31" si="21">ROUND($B$31*C83,0)</f>
        <v>0</v>
      </c>
      <c r="D31" s="27">
        <f t="shared" si="21"/>
        <v>0</v>
      </c>
      <c r="E31" s="27">
        <f t="shared" si="21"/>
        <v>0</v>
      </c>
      <c r="F31" s="27">
        <f t="shared" si="21"/>
        <v>0</v>
      </c>
      <c r="G31" s="27">
        <f t="shared" si="21"/>
        <v>0</v>
      </c>
      <c r="H31" s="27">
        <f t="shared" si="21"/>
        <v>0</v>
      </c>
      <c r="I31" s="27">
        <f t="shared" si="21"/>
        <v>0</v>
      </c>
      <c r="J31" s="27">
        <f t="shared" si="21"/>
        <v>0</v>
      </c>
      <c r="K31" s="27">
        <f t="shared" si="21"/>
        <v>0</v>
      </c>
      <c r="L31" s="27">
        <f t="shared" si="21"/>
        <v>0</v>
      </c>
      <c r="M31" s="27">
        <f t="shared" si="21"/>
        <v>0</v>
      </c>
      <c r="N31" s="27">
        <f t="shared" si="21"/>
        <v>0</v>
      </c>
      <c r="O31" s="929">
        <f t="shared" si="1"/>
        <v>0</v>
      </c>
      <c r="P31" s="26">
        <f t="shared" si="2"/>
        <v>0</v>
      </c>
      <c r="Q31" s="928"/>
    </row>
    <row r="32" spans="1:17" ht="30" customHeight="1">
      <c r="A32" s="50" t="s">
        <v>560</v>
      </c>
      <c r="B32" s="57">
        <f>Summary!C25</f>
        <v>0</v>
      </c>
      <c r="C32" s="27">
        <f t="shared" ref="C32:N32" si="22">ROUND($B$32*C84,0)</f>
        <v>0</v>
      </c>
      <c r="D32" s="27">
        <f t="shared" si="22"/>
        <v>0</v>
      </c>
      <c r="E32" s="27">
        <f t="shared" si="22"/>
        <v>0</v>
      </c>
      <c r="F32" s="27">
        <f t="shared" si="22"/>
        <v>0</v>
      </c>
      <c r="G32" s="27">
        <f t="shared" si="22"/>
        <v>0</v>
      </c>
      <c r="H32" s="27">
        <f t="shared" si="22"/>
        <v>0</v>
      </c>
      <c r="I32" s="27">
        <f t="shared" si="22"/>
        <v>0</v>
      </c>
      <c r="J32" s="27">
        <f t="shared" si="22"/>
        <v>0</v>
      </c>
      <c r="K32" s="27">
        <f t="shared" si="22"/>
        <v>0</v>
      </c>
      <c r="L32" s="27">
        <f t="shared" si="22"/>
        <v>0</v>
      </c>
      <c r="M32" s="27">
        <f t="shared" si="22"/>
        <v>0</v>
      </c>
      <c r="N32" s="27">
        <f t="shared" si="22"/>
        <v>0</v>
      </c>
      <c r="O32" s="929">
        <f t="shared" si="1"/>
        <v>0</v>
      </c>
      <c r="P32" s="26">
        <f t="shared" si="2"/>
        <v>0</v>
      </c>
      <c r="Q32" s="928"/>
    </row>
    <row r="33" spans="1:17" ht="30" customHeight="1">
      <c r="A33" s="50" t="s">
        <v>561</v>
      </c>
      <c r="B33" s="57">
        <f>Summary!C26</f>
        <v>0</v>
      </c>
      <c r="C33" s="27">
        <f t="shared" ref="C33:N33" si="23">ROUND($B$33*C85,0)</f>
        <v>0</v>
      </c>
      <c r="D33" s="27">
        <f t="shared" si="23"/>
        <v>0</v>
      </c>
      <c r="E33" s="27">
        <f t="shared" si="23"/>
        <v>0</v>
      </c>
      <c r="F33" s="27">
        <f t="shared" si="23"/>
        <v>0</v>
      </c>
      <c r="G33" s="27">
        <f t="shared" si="23"/>
        <v>0</v>
      </c>
      <c r="H33" s="27">
        <f t="shared" si="23"/>
        <v>0</v>
      </c>
      <c r="I33" s="27">
        <f t="shared" si="23"/>
        <v>0</v>
      </c>
      <c r="J33" s="27">
        <f t="shared" si="23"/>
        <v>0</v>
      </c>
      <c r="K33" s="27">
        <f t="shared" si="23"/>
        <v>0</v>
      </c>
      <c r="L33" s="27">
        <f t="shared" si="23"/>
        <v>0</v>
      </c>
      <c r="M33" s="27">
        <f t="shared" si="23"/>
        <v>0</v>
      </c>
      <c r="N33" s="27">
        <f t="shared" si="23"/>
        <v>0</v>
      </c>
      <c r="O33" s="929">
        <f t="shared" si="1"/>
        <v>0</v>
      </c>
      <c r="P33" s="26">
        <f t="shared" si="2"/>
        <v>0</v>
      </c>
      <c r="Q33" s="928"/>
    </row>
    <row r="34" spans="1:17" ht="30" customHeight="1">
      <c r="A34" s="50" t="s">
        <v>562</v>
      </c>
      <c r="B34" s="57">
        <f>Summary!C27</f>
        <v>0</v>
      </c>
      <c r="C34" s="27">
        <f t="shared" ref="C34:N34" si="24">ROUND($B$34*C86,0)</f>
        <v>0</v>
      </c>
      <c r="D34" s="27">
        <f t="shared" si="24"/>
        <v>0</v>
      </c>
      <c r="E34" s="27">
        <f t="shared" si="24"/>
        <v>0</v>
      </c>
      <c r="F34" s="27">
        <f t="shared" si="24"/>
        <v>0</v>
      </c>
      <c r="G34" s="27">
        <f t="shared" si="24"/>
        <v>0</v>
      </c>
      <c r="H34" s="27">
        <f t="shared" si="24"/>
        <v>0</v>
      </c>
      <c r="I34" s="27">
        <f t="shared" si="24"/>
        <v>0</v>
      </c>
      <c r="J34" s="27">
        <f t="shared" si="24"/>
        <v>0</v>
      </c>
      <c r="K34" s="27">
        <f t="shared" si="24"/>
        <v>0</v>
      </c>
      <c r="L34" s="27">
        <f t="shared" si="24"/>
        <v>0</v>
      </c>
      <c r="M34" s="27">
        <f t="shared" si="24"/>
        <v>0</v>
      </c>
      <c r="N34" s="27">
        <f t="shared" si="24"/>
        <v>0</v>
      </c>
      <c r="O34" s="929">
        <f t="shared" si="1"/>
        <v>0</v>
      </c>
      <c r="P34" s="26">
        <f t="shared" si="2"/>
        <v>0</v>
      </c>
      <c r="Q34" s="928"/>
    </row>
    <row r="35" spans="1:17" ht="30" customHeight="1">
      <c r="A35" s="50" t="s">
        <v>563</v>
      </c>
      <c r="B35" s="57">
        <f>Summary!C28</f>
        <v>0</v>
      </c>
      <c r="C35" s="27">
        <f t="shared" ref="C35:N35" si="25">ROUND($B$35*C87,0)</f>
        <v>0</v>
      </c>
      <c r="D35" s="27">
        <f t="shared" si="25"/>
        <v>0</v>
      </c>
      <c r="E35" s="27">
        <f t="shared" si="25"/>
        <v>0</v>
      </c>
      <c r="F35" s="27">
        <f t="shared" si="25"/>
        <v>0</v>
      </c>
      <c r="G35" s="27">
        <f t="shared" si="25"/>
        <v>0</v>
      </c>
      <c r="H35" s="27">
        <f t="shared" si="25"/>
        <v>0</v>
      </c>
      <c r="I35" s="27">
        <f t="shared" si="25"/>
        <v>0</v>
      </c>
      <c r="J35" s="27">
        <f t="shared" si="25"/>
        <v>0</v>
      </c>
      <c r="K35" s="27">
        <f t="shared" si="25"/>
        <v>0</v>
      </c>
      <c r="L35" s="27">
        <f t="shared" si="25"/>
        <v>0</v>
      </c>
      <c r="M35" s="27">
        <f t="shared" si="25"/>
        <v>0</v>
      </c>
      <c r="N35" s="27">
        <f t="shared" si="25"/>
        <v>0</v>
      </c>
      <c r="O35" s="929">
        <f t="shared" si="1"/>
        <v>0</v>
      </c>
      <c r="P35" s="26">
        <f t="shared" si="2"/>
        <v>0</v>
      </c>
      <c r="Q35" s="928"/>
    </row>
    <row r="36" spans="1:17" ht="30" customHeight="1">
      <c r="A36" s="50" t="s">
        <v>1680</v>
      </c>
      <c r="B36" s="57">
        <f>Summary!C29</f>
        <v>0</v>
      </c>
      <c r="C36" s="27">
        <f t="shared" ref="C36:N36" si="26">ROUND($B$36*C88,0)</f>
        <v>0</v>
      </c>
      <c r="D36" s="27">
        <f t="shared" si="26"/>
        <v>0</v>
      </c>
      <c r="E36" s="27">
        <f t="shared" si="26"/>
        <v>0</v>
      </c>
      <c r="F36" s="27">
        <f t="shared" si="26"/>
        <v>0</v>
      </c>
      <c r="G36" s="27">
        <f t="shared" si="26"/>
        <v>0</v>
      </c>
      <c r="H36" s="27">
        <f t="shared" si="26"/>
        <v>0</v>
      </c>
      <c r="I36" s="27">
        <f t="shared" si="26"/>
        <v>0</v>
      </c>
      <c r="J36" s="27">
        <f t="shared" si="26"/>
        <v>0</v>
      </c>
      <c r="K36" s="27">
        <f t="shared" si="26"/>
        <v>0</v>
      </c>
      <c r="L36" s="27">
        <f t="shared" si="26"/>
        <v>0</v>
      </c>
      <c r="M36" s="27">
        <f t="shared" si="26"/>
        <v>0</v>
      </c>
      <c r="N36" s="27">
        <f t="shared" si="26"/>
        <v>0</v>
      </c>
      <c r="O36" s="929">
        <f t="shared" si="1"/>
        <v>0</v>
      </c>
      <c r="P36" s="26">
        <f t="shared" si="2"/>
        <v>0</v>
      </c>
      <c r="Q36" s="928"/>
    </row>
    <row r="37" spans="1:17" ht="30" customHeight="1">
      <c r="A37" s="50" t="s">
        <v>1681</v>
      </c>
      <c r="B37" s="57">
        <f>Summary!C30</f>
        <v>0</v>
      </c>
      <c r="C37" s="27">
        <f t="shared" ref="C37:N37" si="27">ROUND($B$37*C89,0)</f>
        <v>0</v>
      </c>
      <c r="D37" s="27">
        <f t="shared" si="27"/>
        <v>0</v>
      </c>
      <c r="E37" s="27">
        <f t="shared" si="27"/>
        <v>0</v>
      </c>
      <c r="F37" s="27">
        <f t="shared" si="27"/>
        <v>0</v>
      </c>
      <c r="G37" s="27">
        <f t="shared" si="27"/>
        <v>0</v>
      </c>
      <c r="H37" s="27">
        <f t="shared" si="27"/>
        <v>0</v>
      </c>
      <c r="I37" s="27">
        <f t="shared" si="27"/>
        <v>0</v>
      </c>
      <c r="J37" s="27">
        <f t="shared" si="27"/>
        <v>0</v>
      </c>
      <c r="K37" s="27">
        <f t="shared" si="27"/>
        <v>0</v>
      </c>
      <c r="L37" s="27">
        <f t="shared" si="27"/>
        <v>0</v>
      </c>
      <c r="M37" s="27">
        <f t="shared" si="27"/>
        <v>0</v>
      </c>
      <c r="N37" s="27">
        <f t="shared" si="27"/>
        <v>0</v>
      </c>
      <c r="O37" s="929">
        <f t="shared" si="1"/>
        <v>0</v>
      </c>
      <c r="P37" s="26">
        <f t="shared" si="2"/>
        <v>0</v>
      </c>
      <c r="Q37" s="928"/>
    </row>
    <row r="38" spans="1:17" ht="30" customHeight="1">
      <c r="A38" s="50" t="s">
        <v>531</v>
      </c>
      <c r="B38" s="141">
        <f>Summary!C31</f>
        <v>0</v>
      </c>
      <c r="C38" s="27">
        <f t="shared" ref="C38:N38" si="28">ROUND($B$38*C90,0)</f>
        <v>0</v>
      </c>
      <c r="D38" s="27">
        <f t="shared" si="28"/>
        <v>0</v>
      </c>
      <c r="E38" s="27">
        <f t="shared" si="28"/>
        <v>0</v>
      </c>
      <c r="F38" s="27">
        <f t="shared" si="28"/>
        <v>0</v>
      </c>
      <c r="G38" s="27">
        <f t="shared" si="28"/>
        <v>0</v>
      </c>
      <c r="H38" s="27">
        <f t="shared" si="28"/>
        <v>0</v>
      </c>
      <c r="I38" s="27">
        <f t="shared" si="28"/>
        <v>0</v>
      </c>
      <c r="J38" s="27">
        <f t="shared" si="28"/>
        <v>0</v>
      </c>
      <c r="K38" s="27">
        <f t="shared" si="28"/>
        <v>0</v>
      </c>
      <c r="L38" s="27">
        <f t="shared" si="28"/>
        <v>0</v>
      </c>
      <c r="M38" s="27">
        <f t="shared" si="28"/>
        <v>0</v>
      </c>
      <c r="N38" s="27">
        <f t="shared" si="28"/>
        <v>0</v>
      </c>
      <c r="O38" s="929">
        <f t="shared" si="1"/>
        <v>0</v>
      </c>
      <c r="P38" s="26">
        <f t="shared" si="2"/>
        <v>0</v>
      </c>
      <c r="Q38" s="928"/>
    </row>
    <row r="39" spans="1:17" ht="30" customHeight="1">
      <c r="A39" s="50" t="s">
        <v>565</v>
      </c>
      <c r="B39" s="57">
        <f>Summary!C32</f>
        <v>0</v>
      </c>
      <c r="C39" s="27">
        <f t="shared" ref="C39:N39" si="29">ROUND($B$39*C91,0)</f>
        <v>0</v>
      </c>
      <c r="D39" s="27">
        <f t="shared" si="29"/>
        <v>0</v>
      </c>
      <c r="E39" s="27">
        <f t="shared" si="29"/>
        <v>0</v>
      </c>
      <c r="F39" s="27">
        <f t="shared" si="29"/>
        <v>0</v>
      </c>
      <c r="G39" s="27">
        <f t="shared" si="29"/>
        <v>0</v>
      </c>
      <c r="H39" s="27">
        <f t="shared" si="29"/>
        <v>0</v>
      </c>
      <c r="I39" s="27">
        <f t="shared" si="29"/>
        <v>0</v>
      </c>
      <c r="J39" s="27">
        <f t="shared" si="29"/>
        <v>0</v>
      </c>
      <c r="K39" s="27">
        <f t="shared" si="29"/>
        <v>0</v>
      </c>
      <c r="L39" s="27">
        <f t="shared" si="29"/>
        <v>0</v>
      </c>
      <c r="M39" s="27">
        <f t="shared" si="29"/>
        <v>0</v>
      </c>
      <c r="N39" s="27">
        <f t="shared" si="29"/>
        <v>0</v>
      </c>
      <c r="O39" s="929">
        <f t="shared" si="1"/>
        <v>0</v>
      </c>
      <c r="P39" s="26">
        <f t="shared" si="2"/>
        <v>0</v>
      </c>
      <c r="Q39" s="928"/>
    </row>
    <row r="40" spans="1:17" ht="30" customHeight="1">
      <c r="A40" s="50" t="s">
        <v>564</v>
      </c>
      <c r="B40" s="57">
        <f>Summary!C33</f>
        <v>0</v>
      </c>
      <c r="C40" s="27">
        <f t="shared" ref="C40:N40" si="30">ROUND($B$40*C92,0)</f>
        <v>0</v>
      </c>
      <c r="D40" s="27">
        <f t="shared" si="30"/>
        <v>0</v>
      </c>
      <c r="E40" s="27">
        <f t="shared" si="30"/>
        <v>0</v>
      </c>
      <c r="F40" s="27">
        <f t="shared" si="30"/>
        <v>0</v>
      </c>
      <c r="G40" s="27">
        <f t="shared" si="30"/>
        <v>0</v>
      </c>
      <c r="H40" s="27">
        <f t="shared" si="30"/>
        <v>0</v>
      </c>
      <c r="I40" s="27">
        <f t="shared" si="30"/>
        <v>0</v>
      </c>
      <c r="J40" s="27">
        <f t="shared" si="30"/>
        <v>0</v>
      </c>
      <c r="K40" s="27">
        <f t="shared" si="30"/>
        <v>0</v>
      </c>
      <c r="L40" s="27">
        <f t="shared" si="30"/>
        <v>0</v>
      </c>
      <c r="M40" s="27">
        <f t="shared" si="30"/>
        <v>0</v>
      </c>
      <c r="N40" s="27">
        <f t="shared" si="30"/>
        <v>0</v>
      </c>
      <c r="O40" s="929">
        <f t="shared" si="1"/>
        <v>0</v>
      </c>
      <c r="P40" s="26">
        <f t="shared" si="2"/>
        <v>0</v>
      </c>
      <c r="Q40" s="928"/>
    </row>
    <row r="41" spans="1:17" s="181" customFormat="1" ht="30" customHeight="1">
      <c r="A41" s="152" t="s">
        <v>1155</v>
      </c>
      <c r="B41" s="141">
        <f>Summary!C34</f>
        <v>0</v>
      </c>
      <c r="C41" s="27">
        <f>ROUND($B$41*C93,0)</f>
        <v>0</v>
      </c>
      <c r="D41" s="27">
        <f t="shared" ref="D41:N41" si="31">ROUND($B$41*D93,0)</f>
        <v>0</v>
      </c>
      <c r="E41" s="27">
        <f t="shared" si="31"/>
        <v>0</v>
      </c>
      <c r="F41" s="27">
        <f t="shared" si="31"/>
        <v>0</v>
      </c>
      <c r="G41" s="27">
        <f t="shared" si="31"/>
        <v>0</v>
      </c>
      <c r="H41" s="27">
        <f t="shared" si="31"/>
        <v>0</v>
      </c>
      <c r="I41" s="27">
        <f t="shared" si="31"/>
        <v>0</v>
      </c>
      <c r="J41" s="27">
        <f t="shared" si="31"/>
        <v>0</v>
      </c>
      <c r="K41" s="27">
        <f t="shared" si="31"/>
        <v>0</v>
      </c>
      <c r="L41" s="27">
        <f t="shared" si="31"/>
        <v>0</v>
      </c>
      <c r="M41" s="27">
        <f t="shared" si="31"/>
        <v>0</v>
      </c>
      <c r="N41" s="27">
        <f t="shared" si="31"/>
        <v>0</v>
      </c>
      <c r="O41" s="929">
        <f>SUM(C41:N41)</f>
        <v>0</v>
      </c>
      <c r="P41" s="26">
        <f>ROUND(SUM(C41:N41)*1.1,0)</f>
        <v>0</v>
      </c>
      <c r="Q41" s="931"/>
    </row>
    <row r="42" spans="1:17" ht="30" customHeight="1">
      <c r="A42" s="152" t="s">
        <v>566</v>
      </c>
      <c r="B42" s="57">
        <f>Summary!C35</f>
        <v>0</v>
      </c>
      <c r="C42" s="27">
        <f>ROUND($B$42*C94,0)</f>
        <v>0</v>
      </c>
      <c r="D42" s="27">
        <f t="shared" ref="D42:N42" si="32">ROUND($B$42*D94,0)</f>
        <v>0</v>
      </c>
      <c r="E42" s="27">
        <f t="shared" si="32"/>
        <v>0</v>
      </c>
      <c r="F42" s="27">
        <f t="shared" si="32"/>
        <v>0</v>
      </c>
      <c r="G42" s="27">
        <f t="shared" si="32"/>
        <v>0</v>
      </c>
      <c r="H42" s="27">
        <f t="shared" si="32"/>
        <v>0</v>
      </c>
      <c r="I42" s="27">
        <f t="shared" si="32"/>
        <v>0</v>
      </c>
      <c r="J42" s="27">
        <f t="shared" si="32"/>
        <v>0</v>
      </c>
      <c r="K42" s="27">
        <f t="shared" si="32"/>
        <v>0</v>
      </c>
      <c r="L42" s="27">
        <f t="shared" si="32"/>
        <v>0</v>
      </c>
      <c r="M42" s="27">
        <f t="shared" si="32"/>
        <v>0</v>
      </c>
      <c r="N42" s="27">
        <f t="shared" si="32"/>
        <v>0</v>
      </c>
      <c r="O42" s="929">
        <f t="shared" si="1"/>
        <v>0</v>
      </c>
      <c r="P42" s="26">
        <f t="shared" si="2"/>
        <v>0</v>
      </c>
      <c r="Q42" s="928"/>
    </row>
    <row r="43" spans="1:17" ht="30" customHeight="1">
      <c r="A43" s="153" t="s">
        <v>556</v>
      </c>
      <c r="B43" s="57">
        <f>Summary!C36</f>
        <v>0</v>
      </c>
      <c r="C43" s="27">
        <f>ROUND($B$43*C95,0)</f>
        <v>0</v>
      </c>
      <c r="D43" s="27">
        <f t="shared" ref="D43:N43" si="33">ROUND($B$43*D95,0)</f>
        <v>0</v>
      </c>
      <c r="E43" s="27">
        <f t="shared" si="33"/>
        <v>0</v>
      </c>
      <c r="F43" s="27">
        <f t="shared" si="33"/>
        <v>0</v>
      </c>
      <c r="G43" s="27">
        <f t="shared" si="33"/>
        <v>0</v>
      </c>
      <c r="H43" s="27">
        <f t="shared" si="33"/>
        <v>0</v>
      </c>
      <c r="I43" s="27">
        <f t="shared" si="33"/>
        <v>0</v>
      </c>
      <c r="J43" s="27">
        <f t="shared" si="33"/>
        <v>0</v>
      </c>
      <c r="K43" s="27">
        <f t="shared" si="33"/>
        <v>0</v>
      </c>
      <c r="L43" s="27">
        <f t="shared" si="33"/>
        <v>0</v>
      </c>
      <c r="M43" s="27">
        <f t="shared" si="33"/>
        <v>0</v>
      </c>
      <c r="N43" s="27">
        <f t="shared" si="33"/>
        <v>0</v>
      </c>
      <c r="O43" s="929">
        <f>SUM(C43:N43)</f>
        <v>0</v>
      </c>
      <c r="P43" s="26">
        <f>ROUND(SUM(C43:N43)*1.1,0)</f>
        <v>0</v>
      </c>
      <c r="Q43" s="928"/>
    </row>
    <row r="44" spans="1:17" ht="30" customHeight="1">
      <c r="A44" s="153" t="s">
        <v>557</v>
      </c>
      <c r="B44" s="57">
        <f>Summary!C37</f>
        <v>0</v>
      </c>
      <c r="C44" s="27">
        <f>ROUND($B$44*C96,0)</f>
        <v>0</v>
      </c>
      <c r="D44" s="27">
        <f t="shared" ref="D44:N44" si="34">ROUND($B$44*D96,0)</f>
        <v>0</v>
      </c>
      <c r="E44" s="27">
        <f t="shared" si="34"/>
        <v>0</v>
      </c>
      <c r="F44" s="27">
        <f t="shared" si="34"/>
        <v>0</v>
      </c>
      <c r="G44" s="27">
        <f t="shared" si="34"/>
        <v>0</v>
      </c>
      <c r="H44" s="27">
        <f t="shared" si="34"/>
        <v>0</v>
      </c>
      <c r="I44" s="27">
        <f t="shared" si="34"/>
        <v>0</v>
      </c>
      <c r="J44" s="27">
        <f t="shared" si="34"/>
        <v>0</v>
      </c>
      <c r="K44" s="27">
        <f t="shared" si="34"/>
        <v>0</v>
      </c>
      <c r="L44" s="27">
        <f t="shared" si="34"/>
        <v>0</v>
      </c>
      <c r="M44" s="27">
        <f t="shared" si="34"/>
        <v>0</v>
      </c>
      <c r="N44" s="27">
        <f t="shared" si="34"/>
        <v>0</v>
      </c>
      <c r="O44" s="929">
        <f>SUM(C44:N44)</f>
        <v>0</v>
      </c>
      <c r="P44" s="26">
        <f>ROUND(SUM(C44:N44)*1.1,0)</f>
        <v>0</v>
      </c>
      <c r="Q44" s="928"/>
    </row>
    <row r="45" spans="1:17" ht="30" customHeight="1">
      <c r="A45" s="153" t="s">
        <v>227</v>
      </c>
      <c r="B45" s="57">
        <f>Summary!C38</f>
        <v>0</v>
      </c>
      <c r="C45" s="27">
        <f>ROUND($B$45*C97,0)</f>
        <v>0</v>
      </c>
      <c r="D45" s="27">
        <f t="shared" ref="D45:N45" si="35">ROUND($B$45*D97,0)</f>
        <v>0</v>
      </c>
      <c r="E45" s="27">
        <f t="shared" si="35"/>
        <v>0</v>
      </c>
      <c r="F45" s="27">
        <f t="shared" si="35"/>
        <v>0</v>
      </c>
      <c r="G45" s="27">
        <f t="shared" si="35"/>
        <v>0</v>
      </c>
      <c r="H45" s="27">
        <f t="shared" si="35"/>
        <v>0</v>
      </c>
      <c r="I45" s="27">
        <f t="shared" si="35"/>
        <v>0</v>
      </c>
      <c r="J45" s="27">
        <f t="shared" si="35"/>
        <v>0</v>
      </c>
      <c r="K45" s="27">
        <f t="shared" si="35"/>
        <v>0</v>
      </c>
      <c r="L45" s="27">
        <f t="shared" si="35"/>
        <v>0</v>
      </c>
      <c r="M45" s="27">
        <f t="shared" si="35"/>
        <v>0</v>
      </c>
      <c r="N45" s="27">
        <f t="shared" si="35"/>
        <v>0</v>
      </c>
      <c r="O45" s="929">
        <f>SUM(C45:N45)</f>
        <v>0</v>
      </c>
      <c r="P45" s="26">
        <f>ROUND(SUM(C45:N45)*1.1,0)</f>
        <v>0</v>
      </c>
      <c r="Q45" s="928"/>
    </row>
    <row r="46" spans="1:17" s="181" customFormat="1" ht="30" customHeight="1">
      <c r="A46" s="50" t="s">
        <v>1120</v>
      </c>
      <c r="B46" s="57">
        <f>Summary!C39</f>
        <v>0</v>
      </c>
      <c r="C46" s="27">
        <f>ROUND($B$46*C98,0)</f>
        <v>0</v>
      </c>
      <c r="D46" s="27">
        <f>ROUND($B$46*D98,0)</f>
        <v>0</v>
      </c>
      <c r="E46" s="27">
        <f t="shared" ref="E46:N46" si="36">ROUND($B$46*E98,0)</f>
        <v>0</v>
      </c>
      <c r="F46" s="27">
        <f t="shared" si="36"/>
        <v>0</v>
      </c>
      <c r="G46" s="27">
        <f t="shared" si="36"/>
        <v>0</v>
      </c>
      <c r="H46" s="27">
        <f t="shared" si="36"/>
        <v>0</v>
      </c>
      <c r="I46" s="27">
        <f t="shared" si="36"/>
        <v>0</v>
      </c>
      <c r="J46" s="27">
        <f t="shared" si="36"/>
        <v>0</v>
      </c>
      <c r="K46" s="27">
        <f t="shared" si="36"/>
        <v>0</v>
      </c>
      <c r="L46" s="27">
        <f t="shared" si="36"/>
        <v>0</v>
      </c>
      <c r="M46" s="27">
        <f t="shared" si="36"/>
        <v>0</v>
      </c>
      <c r="N46" s="27">
        <f t="shared" si="36"/>
        <v>0</v>
      </c>
      <c r="O46" s="929">
        <f>SUM(C46:N46)</f>
        <v>0</v>
      </c>
      <c r="P46" s="26">
        <f>ROUND(SUM(C46:N46)*1.1,0)</f>
        <v>0</v>
      </c>
      <c r="Q46" s="931"/>
    </row>
    <row r="47" spans="1:17" ht="30" customHeight="1">
      <c r="A47" s="49" t="s">
        <v>528</v>
      </c>
      <c r="B47" s="154">
        <f t="shared" ref="B47:P47" si="37">SUM(B12:B46)</f>
        <v>0</v>
      </c>
      <c r="C47" s="154">
        <f t="shared" si="37"/>
        <v>0</v>
      </c>
      <c r="D47" s="154">
        <f t="shared" si="37"/>
        <v>0</v>
      </c>
      <c r="E47" s="154">
        <f t="shared" si="37"/>
        <v>0</v>
      </c>
      <c r="F47" s="154">
        <f t="shared" si="37"/>
        <v>0</v>
      </c>
      <c r="G47" s="154">
        <f t="shared" si="37"/>
        <v>0</v>
      </c>
      <c r="H47" s="154">
        <f t="shared" si="37"/>
        <v>0</v>
      </c>
      <c r="I47" s="154">
        <f t="shared" si="37"/>
        <v>0</v>
      </c>
      <c r="J47" s="154">
        <f t="shared" si="37"/>
        <v>0</v>
      </c>
      <c r="K47" s="154">
        <f t="shared" si="37"/>
        <v>0</v>
      </c>
      <c r="L47" s="154">
        <f t="shared" si="37"/>
        <v>0</v>
      </c>
      <c r="M47" s="154">
        <f t="shared" si="37"/>
        <v>0</v>
      </c>
      <c r="N47" s="154">
        <f t="shared" si="37"/>
        <v>0</v>
      </c>
      <c r="O47" s="932">
        <f t="shared" si="37"/>
        <v>0</v>
      </c>
      <c r="P47" s="933">
        <f t="shared" si="37"/>
        <v>0</v>
      </c>
      <c r="Q47" s="934"/>
    </row>
    <row r="48" spans="1:17" ht="30" customHeight="1">
      <c r="J48" s="58" t="s">
        <v>529</v>
      </c>
      <c r="K48" s="59"/>
      <c r="L48" s="60"/>
      <c r="M48" s="56"/>
      <c r="N48" s="24"/>
      <c r="O48" s="935"/>
      <c r="P48" s="945"/>
      <c r="Q48" s="937"/>
    </row>
    <row r="49" spans="1:17" ht="30" customHeight="1">
      <c r="A49" s="171" t="s">
        <v>605</v>
      </c>
      <c r="B49" s="28"/>
      <c r="C49" s="29"/>
      <c r="D49" s="29"/>
      <c r="E49" s="29"/>
      <c r="F49" s="29"/>
      <c r="G49" s="29"/>
      <c r="H49" s="29"/>
      <c r="I49" s="28"/>
      <c r="J49" s="61">
        <f>Summary!C41</f>
        <v>0</v>
      </c>
      <c r="K49" s="62" t="s">
        <v>1604</v>
      </c>
      <c r="L49" s="60"/>
      <c r="M49" s="2043" t="s">
        <v>472</v>
      </c>
      <c r="N49" s="2044"/>
      <c r="O49" s="946">
        <f>O47</f>
        <v>0</v>
      </c>
      <c r="P49" s="947">
        <f>P47</f>
        <v>0</v>
      </c>
      <c r="Q49" s="940"/>
    </row>
    <row r="50" spans="1:17" ht="20.399999999999999">
      <c r="A50" s="172" t="s">
        <v>1169</v>
      </c>
      <c r="B50" s="28"/>
      <c r="C50" s="29"/>
      <c r="D50" s="29"/>
      <c r="E50" s="29"/>
      <c r="F50" s="29"/>
      <c r="G50" s="29"/>
      <c r="H50" s="129"/>
      <c r="I50" s="28"/>
      <c r="J50" s="75"/>
      <c r="K50" s="62"/>
      <c r="L50" s="60"/>
      <c r="M50" s="76"/>
      <c r="N50" s="76"/>
      <c r="O50" s="74"/>
      <c r="P50" s="74"/>
    </row>
    <row r="51" spans="1:17" ht="20.399999999999999">
      <c r="A51" s="950" t="s">
        <v>2619</v>
      </c>
      <c r="B51" s="28"/>
      <c r="C51" s="29"/>
      <c r="D51" s="29"/>
      <c r="E51" s="29"/>
      <c r="F51" s="29"/>
      <c r="G51" s="29"/>
      <c r="H51" s="129"/>
      <c r="I51" s="28"/>
      <c r="J51" s="75"/>
      <c r="K51" s="62"/>
      <c r="L51" s="60"/>
      <c r="M51" s="76"/>
      <c r="N51" s="76"/>
      <c r="O51" s="74"/>
      <c r="P51" s="74"/>
    </row>
    <row r="52" spans="1:17" ht="20.399999999999999">
      <c r="A52" s="948" t="s">
        <v>1595</v>
      </c>
      <c r="B52" s="28"/>
      <c r="C52" s="29"/>
      <c r="D52" s="29"/>
      <c r="E52" s="29"/>
      <c r="F52" s="29"/>
      <c r="G52" s="29"/>
      <c r="H52" s="129"/>
      <c r="I52" s="28"/>
      <c r="J52" s="75"/>
      <c r="K52" s="62"/>
      <c r="L52" s="60"/>
      <c r="M52" s="76"/>
      <c r="N52" s="76"/>
      <c r="O52" s="74"/>
      <c r="P52" s="74"/>
    </row>
    <row r="53" spans="1:17" ht="20.399999999999999">
      <c r="A53" s="948" t="s">
        <v>1594</v>
      </c>
      <c r="B53" s="28"/>
      <c r="C53" s="29"/>
      <c r="D53" s="29"/>
      <c r="E53" s="29"/>
      <c r="F53" s="29"/>
      <c r="G53" s="29"/>
      <c r="H53" s="129"/>
      <c r="I53" s="28"/>
      <c r="J53" s="75"/>
      <c r="K53" s="62"/>
      <c r="L53" s="60"/>
      <c r="M53" s="76"/>
      <c r="N53" s="76"/>
      <c r="O53" s="74"/>
      <c r="P53" s="74"/>
    </row>
    <row r="54" spans="1:17" ht="31.5" customHeight="1">
      <c r="A54" s="28"/>
      <c r="B54" s="28"/>
      <c r="C54" s="29"/>
      <c r="D54" s="29"/>
      <c r="E54" s="29"/>
      <c r="F54" s="29"/>
      <c r="G54" s="29"/>
      <c r="H54" s="29"/>
      <c r="I54" s="28"/>
      <c r="J54" s="75"/>
      <c r="K54" s="62"/>
      <c r="L54" s="60"/>
      <c r="M54" s="76"/>
      <c r="N54" s="76"/>
      <c r="O54" s="74"/>
      <c r="P54" s="74"/>
    </row>
    <row r="55" spans="1:17">
      <c r="O55" s="30"/>
      <c r="P55" s="30"/>
    </row>
    <row r="56" spans="1:17" ht="24.6">
      <c r="A56" s="2025" t="s">
        <v>469</v>
      </c>
      <c r="B56" s="2025"/>
      <c r="C56" s="2025"/>
      <c r="D56" s="2025"/>
      <c r="E56" s="2025"/>
      <c r="F56" s="2025"/>
      <c r="G56" s="2025"/>
      <c r="H56" s="2025"/>
      <c r="I56" s="2025"/>
      <c r="J56" s="2025"/>
      <c r="K56" s="2025"/>
      <c r="L56" s="2025"/>
      <c r="M56" s="2025"/>
      <c r="N56" s="2025"/>
      <c r="O56" s="2025"/>
      <c r="P56" s="2025"/>
      <c r="Q56" s="2025"/>
    </row>
    <row r="57" spans="1:17" s="88" customFormat="1" ht="20.399999999999999">
      <c r="D57" s="22"/>
      <c r="E57" s="22"/>
      <c r="F57" s="22"/>
      <c r="G57" s="22"/>
      <c r="H57" s="22"/>
      <c r="J57" s="22"/>
    </row>
    <row r="58" spans="1:17" s="88" customFormat="1" ht="20.399999999999999">
      <c r="A58" s="88" t="s">
        <v>519</v>
      </c>
      <c r="B58" s="89" t="str">
        <f>B3</f>
        <v>999999-1-32-01</v>
      </c>
      <c r="C58" s="90"/>
      <c r="K58" s="91"/>
      <c r="N58" s="88" t="s">
        <v>520</v>
      </c>
      <c r="O58" s="92" t="str">
        <f>O3</f>
        <v>Enter project name &amp; description</v>
      </c>
      <c r="P58" s="93"/>
      <c r="Q58" s="92"/>
    </row>
    <row r="59" spans="1:17" s="88" customFormat="1" ht="20.399999999999999">
      <c r="O59" s="94"/>
      <c r="P59" s="94"/>
    </row>
    <row r="60" spans="1:17" s="88" customFormat="1" ht="20.399999999999999">
      <c r="A60" s="88" t="s">
        <v>523</v>
      </c>
      <c r="B60" s="92" t="str">
        <f>B5</f>
        <v>54321</v>
      </c>
      <c r="C60" s="92"/>
      <c r="J60" s="88" t="s">
        <v>522</v>
      </c>
      <c r="K60" s="95">
        <f ca="1">TODAY()</f>
        <v>45751</v>
      </c>
      <c r="N60" s="96" t="s">
        <v>532</v>
      </c>
      <c r="O60" s="90" t="str">
        <f>O5</f>
        <v>Enter name of prime or subconsultant</v>
      </c>
      <c r="P60" s="90"/>
      <c r="Q60" s="92"/>
    </row>
    <row r="61" spans="1:17" s="88" customFormat="1" ht="21" thickBot="1">
      <c r="O61" s="97"/>
      <c r="P61" s="97"/>
    </row>
    <row r="62" spans="1:17" ht="30" customHeight="1" thickTop="1">
      <c r="A62" s="2026" t="s">
        <v>470</v>
      </c>
      <c r="B62" s="2027"/>
      <c r="C62" s="2027"/>
      <c r="D62" s="2027"/>
      <c r="E62" s="2027"/>
      <c r="F62" s="2027"/>
      <c r="G62" s="2027"/>
      <c r="H62" s="2027"/>
      <c r="I62" s="2027"/>
      <c r="J62" s="2027"/>
      <c r="K62" s="2027"/>
      <c r="L62" s="2027"/>
      <c r="M62" s="2027"/>
      <c r="N62" s="2027"/>
      <c r="O62" s="2028"/>
      <c r="P62" s="30"/>
    </row>
    <row r="63" spans="1:17" ht="70.5" customHeight="1">
      <c r="A63" s="64"/>
      <c r="B63" s="77" t="s">
        <v>471</v>
      </c>
      <c r="C63" s="99" t="str">
        <f t="shared" ref="C63:N63" si="38">C10</f>
        <v>Project Manager</v>
      </c>
      <c r="D63" s="99" t="str">
        <f t="shared" si="38"/>
        <v>Staff Classi- fication 2</v>
      </c>
      <c r="E63" s="99" t="str">
        <f t="shared" si="38"/>
        <v>Staff Classi- fication 3</v>
      </c>
      <c r="F63" s="99" t="str">
        <f t="shared" si="38"/>
        <v>Staff Classi- fication 4</v>
      </c>
      <c r="G63" s="99" t="str">
        <f t="shared" si="38"/>
        <v>Staff Classi- fication 5</v>
      </c>
      <c r="H63" s="99" t="str">
        <f t="shared" si="38"/>
        <v>Staff Classi- fication 6</v>
      </c>
      <c r="I63" s="99" t="str">
        <f t="shared" si="38"/>
        <v>Staff Classi- fication 7</v>
      </c>
      <c r="J63" s="99" t="str">
        <f t="shared" si="38"/>
        <v>Staff Classi- fication 8</v>
      </c>
      <c r="K63" s="99" t="str">
        <f t="shared" si="38"/>
        <v>Staff Classi- fication 9</v>
      </c>
      <c r="L63" s="99" t="str">
        <f t="shared" si="38"/>
        <v>Staff Classi- fication 10</v>
      </c>
      <c r="M63" s="99" t="str">
        <f t="shared" si="38"/>
        <v>Staff Classi- fication 11</v>
      </c>
      <c r="N63" s="99" t="str">
        <f t="shared" si="38"/>
        <v>Staff Classi- fication 12</v>
      </c>
      <c r="O63" s="100" t="s">
        <v>879</v>
      </c>
      <c r="P63" s="30"/>
    </row>
    <row r="64" spans="1:17" ht="24.9" customHeight="1">
      <c r="A64" s="50" t="str">
        <f t="shared" ref="A64:A98" si="39">A12</f>
        <v>3. Project Common and Project General Tasks</v>
      </c>
      <c r="B64" s="57">
        <f>Summary!C5</f>
        <v>0</v>
      </c>
      <c r="C64" s="961">
        <v>0</v>
      </c>
      <c r="D64" s="961">
        <v>0</v>
      </c>
      <c r="E64" s="961">
        <v>0</v>
      </c>
      <c r="F64" s="961">
        <v>0</v>
      </c>
      <c r="G64" s="961">
        <v>0</v>
      </c>
      <c r="H64" s="961">
        <v>0</v>
      </c>
      <c r="I64" s="961">
        <v>0</v>
      </c>
      <c r="J64" s="961">
        <v>0</v>
      </c>
      <c r="K64" s="961">
        <v>0</v>
      </c>
      <c r="L64" s="961">
        <v>0</v>
      </c>
      <c r="M64" s="961">
        <v>0</v>
      </c>
      <c r="N64" s="961">
        <v>0</v>
      </c>
      <c r="O64" s="63">
        <f t="shared" ref="O64:O92" si="40">SUM(C64:N64)</f>
        <v>0</v>
      </c>
      <c r="P64" s="30"/>
    </row>
    <row r="65" spans="1:16" ht="24.9" customHeight="1">
      <c r="A65" s="50" t="str">
        <f t="shared" si="39"/>
        <v>4. Roadway Analysis</v>
      </c>
      <c r="B65" s="57">
        <f>Summary!C6</f>
        <v>0</v>
      </c>
      <c r="C65" s="961">
        <v>0</v>
      </c>
      <c r="D65" s="961">
        <v>0</v>
      </c>
      <c r="E65" s="961">
        <v>0</v>
      </c>
      <c r="F65" s="961">
        <v>0</v>
      </c>
      <c r="G65" s="961">
        <v>0</v>
      </c>
      <c r="H65" s="961">
        <v>0</v>
      </c>
      <c r="I65" s="961">
        <v>0</v>
      </c>
      <c r="J65" s="961">
        <v>0</v>
      </c>
      <c r="K65" s="961">
        <v>0</v>
      </c>
      <c r="L65" s="961">
        <v>0</v>
      </c>
      <c r="M65" s="961">
        <v>0</v>
      </c>
      <c r="N65" s="961">
        <v>0</v>
      </c>
      <c r="O65" s="63">
        <f t="shared" si="40"/>
        <v>0</v>
      </c>
      <c r="P65" s="30"/>
    </row>
    <row r="66" spans="1:16" ht="24.9" customHeight="1">
      <c r="A66" s="50" t="str">
        <f t="shared" si="39"/>
        <v>5. Roadway Plans</v>
      </c>
      <c r="B66" s="57">
        <f>Summary!C7</f>
        <v>0</v>
      </c>
      <c r="C66" s="961">
        <v>0</v>
      </c>
      <c r="D66" s="961">
        <v>0</v>
      </c>
      <c r="E66" s="961">
        <v>0</v>
      </c>
      <c r="F66" s="961">
        <v>0</v>
      </c>
      <c r="G66" s="961">
        <v>0</v>
      </c>
      <c r="H66" s="961">
        <v>0</v>
      </c>
      <c r="I66" s="961">
        <v>0</v>
      </c>
      <c r="J66" s="961">
        <v>0</v>
      </c>
      <c r="K66" s="961">
        <v>0</v>
      </c>
      <c r="L66" s="961">
        <v>0</v>
      </c>
      <c r="M66" s="961">
        <v>0</v>
      </c>
      <c r="N66" s="961">
        <v>0</v>
      </c>
      <c r="O66" s="63">
        <f t="shared" si="40"/>
        <v>0</v>
      </c>
      <c r="P66" s="30"/>
    </row>
    <row r="67" spans="1:16" ht="24.9" customHeight="1">
      <c r="A67" s="50" t="str">
        <f t="shared" si="39"/>
        <v>6a. Drainage Analysis</v>
      </c>
      <c r="B67" s="57">
        <f>Summary!C8</f>
        <v>0</v>
      </c>
      <c r="C67" s="961">
        <v>0</v>
      </c>
      <c r="D67" s="961">
        <v>0</v>
      </c>
      <c r="E67" s="961">
        <v>0</v>
      </c>
      <c r="F67" s="961">
        <v>0</v>
      </c>
      <c r="G67" s="961">
        <v>0</v>
      </c>
      <c r="H67" s="961">
        <v>0</v>
      </c>
      <c r="I67" s="961">
        <v>0</v>
      </c>
      <c r="J67" s="961">
        <v>0</v>
      </c>
      <c r="K67" s="961">
        <v>0</v>
      </c>
      <c r="L67" s="961">
        <v>0</v>
      </c>
      <c r="M67" s="961">
        <v>0</v>
      </c>
      <c r="N67" s="961">
        <v>0</v>
      </c>
      <c r="O67" s="63">
        <f t="shared" si="40"/>
        <v>0</v>
      </c>
      <c r="P67" s="30"/>
    </row>
    <row r="68" spans="1:16" ht="24.9" customHeight="1">
      <c r="A68" s="50" t="str">
        <f t="shared" si="39"/>
        <v>6b. Drainage Plans</v>
      </c>
      <c r="B68" s="57">
        <f>Summary!C9</f>
        <v>0</v>
      </c>
      <c r="C68" s="961">
        <v>0</v>
      </c>
      <c r="D68" s="961">
        <v>0</v>
      </c>
      <c r="E68" s="961">
        <v>0</v>
      </c>
      <c r="F68" s="961">
        <v>0</v>
      </c>
      <c r="G68" s="961">
        <v>0</v>
      </c>
      <c r="H68" s="961">
        <v>0</v>
      </c>
      <c r="I68" s="961">
        <v>0</v>
      </c>
      <c r="J68" s="961">
        <v>0</v>
      </c>
      <c r="K68" s="961">
        <v>0</v>
      </c>
      <c r="L68" s="961">
        <v>0</v>
      </c>
      <c r="M68" s="961">
        <v>0</v>
      </c>
      <c r="N68" s="961">
        <v>0</v>
      </c>
      <c r="O68" s="63">
        <f>SUM(C68:N68)</f>
        <v>0</v>
      </c>
      <c r="P68" s="30"/>
    </row>
    <row r="69" spans="1:16" ht="24.9" customHeight="1">
      <c r="A69" s="50" t="str">
        <f t="shared" si="39"/>
        <v>6c. Selective C&amp;G</v>
      </c>
      <c r="B69" s="57">
        <f>Summary!C10</f>
        <v>0</v>
      </c>
      <c r="C69" s="961">
        <v>0</v>
      </c>
      <c r="D69" s="961">
        <v>0</v>
      </c>
      <c r="E69" s="961">
        <v>0</v>
      </c>
      <c r="F69" s="961">
        <v>0</v>
      </c>
      <c r="G69" s="961">
        <v>0</v>
      </c>
      <c r="H69" s="961">
        <v>0</v>
      </c>
      <c r="I69" s="961">
        <v>0</v>
      </c>
      <c r="J69" s="961">
        <v>0</v>
      </c>
      <c r="K69" s="961">
        <v>0</v>
      </c>
      <c r="L69" s="961">
        <v>0</v>
      </c>
      <c r="M69" s="961">
        <v>0</v>
      </c>
      <c r="N69" s="961">
        <v>0</v>
      </c>
      <c r="O69" s="63">
        <f>SUM(C69:N69)</f>
        <v>0</v>
      </c>
      <c r="P69" s="30"/>
    </row>
    <row r="70" spans="1:16" ht="24.9" customHeight="1">
      <c r="A70" s="50" t="str">
        <f t="shared" si="39"/>
        <v>7. Utilities</v>
      </c>
      <c r="B70" s="57">
        <f>Summary!C11</f>
        <v>0</v>
      </c>
      <c r="C70" s="961">
        <v>0</v>
      </c>
      <c r="D70" s="961">
        <v>0</v>
      </c>
      <c r="E70" s="961">
        <v>0</v>
      </c>
      <c r="F70" s="961">
        <v>0</v>
      </c>
      <c r="G70" s="961">
        <v>0</v>
      </c>
      <c r="H70" s="961">
        <v>0</v>
      </c>
      <c r="I70" s="961">
        <v>0</v>
      </c>
      <c r="J70" s="961">
        <v>0</v>
      </c>
      <c r="K70" s="961">
        <v>0</v>
      </c>
      <c r="L70" s="961">
        <v>0</v>
      </c>
      <c r="M70" s="961">
        <v>0</v>
      </c>
      <c r="N70" s="961">
        <v>0</v>
      </c>
      <c r="O70" s="63">
        <f t="shared" si="40"/>
        <v>0</v>
      </c>
      <c r="P70" s="30"/>
    </row>
    <row r="71" spans="1:16" ht="24.9" customHeight="1">
      <c r="A71" s="50" t="str">
        <f t="shared" si="39"/>
        <v>8. Environmental Permits,and Env. Clearances</v>
      </c>
      <c r="B71" s="57">
        <f>Summary!C12</f>
        <v>0</v>
      </c>
      <c r="C71" s="961">
        <v>0</v>
      </c>
      <c r="D71" s="961">
        <v>0</v>
      </c>
      <c r="E71" s="961">
        <v>0</v>
      </c>
      <c r="F71" s="961">
        <v>0</v>
      </c>
      <c r="G71" s="961">
        <v>0</v>
      </c>
      <c r="H71" s="961">
        <v>0</v>
      </c>
      <c r="I71" s="961">
        <v>0</v>
      </c>
      <c r="J71" s="961">
        <v>0</v>
      </c>
      <c r="K71" s="961">
        <v>0</v>
      </c>
      <c r="L71" s="961">
        <v>0</v>
      </c>
      <c r="M71" s="961">
        <v>0</v>
      </c>
      <c r="N71" s="961">
        <v>0</v>
      </c>
      <c r="O71" s="63">
        <f t="shared" si="40"/>
        <v>0</v>
      </c>
      <c r="P71" s="30"/>
    </row>
    <row r="72" spans="1:16" ht="24.9" customHeight="1">
      <c r="A72" s="50" t="str">
        <f t="shared" si="39"/>
        <v>9. Structures - Misc. Tasks, Dwgs, Non-Tech.</v>
      </c>
      <c r="B72" s="57">
        <f>Summary!C13</f>
        <v>0</v>
      </c>
      <c r="C72" s="961">
        <v>0</v>
      </c>
      <c r="D72" s="961">
        <v>0</v>
      </c>
      <c r="E72" s="961">
        <v>0</v>
      </c>
      <c r="F72" s="961">
        <v>0</v>
      </c>
      <c r="G72" s="961">
        <v>0</v>
      </c>
      <c r="H72" s="961">
        <v>0</v>
      </c>
      <c r="I72" s="961">
        <v>0</v>
      </c>
      <c r="J72" s="961">
        <v>0</v>
      </c>
      <c r="K72" s="961">
        <v>0</v>
      </c>
      <c r="L72" s="961">
        <v>0</v>
      </c>
      <c r="M72" s="961">
        <v>0</v>
      </c>
      <c r="N72" s="961">
        <v>0</v>
      </c>
      <c r="O72" s="63">
        <f t="shared" si="40"/>
        <v>0</v>
      </c>
      <c r="P72" s="30"/>
    </row>
    <row r="73" spans="1:16" ht="24.9" customHeight="1">
      <c r="A73" s="50" t="str">
        <f t="shared" si="39"/>
        <v>10. Structures - Bridge Development Report</v>
      </c>
      <c r="B73" s="57">
        <f>Summary!C14</f>
        <v>0</v>
      </c>
      <c r="C73" s="961">
        <v>0</v>
      </c>
      <c r="D73" s="961">
        <v>0</v>
      </c>
      <c r="E73" s="961">
        <v>0</v>
      </c>
      <c r="F73" s="961">
        <v>0</v>
      </c>
      <c r="G73" s="961">
        <v>0</v>
      </c>
      <c r="H73" s="961">
        <v>0</v>
      </c>
      <c r="I73" s="961">
        <v>0</v>
      </c>
      <c r="J73" s="961">
        <v>0</v>
      </c>
      <c r="K73" s="961">
        <v>0</v>
      </c>
      <c r="L73" s="961">
        <v>0</v>
      </c>
      <c r="M73" s="961">
        <v>0</v>
      </c>
      <c r="N73" s="961">
        <v>0</v>
      </c>
      <c r="O73" s="63">
        <f t="shared" si="40"/>
        <v>0</v>
      </c>
      <c r="P73" s="30"/>
    </row>
    <row r="74" spans="1:16" ht="24.9" customHeight="1">
      <c r="A74" s="50" t="str">
        <f t="shared" si="39"/>
        <v>11. Structures - Temporary Bridge</v>
      </c>
      <c r="B74" s="57">
        <f>Summary!C15</f>
        <v>0</v>
      </c>
      <c r="C74" s="961">
        <v>0</v>
      </c>
      <c r="D74" s="961">
        <v>0</v>
      </c>
      <c r="E74" s="961">
        <v>0</v>
      </c>
      <c r="F74" s="961">
        <v>0</v>
      </c>
      <c r="G74" s="961">
        <v>0</v>
      </c>
      <c r="H74" s="961">
        <v>0</v>
      </c>
      <c r="I74" s="961">
        <v>0</v>
      </c>
      <c r="J74" s="961">
        <v>0</v>
      </c>
      <c r="K74" s="961">
        <v>0</v>
      </c>
      <c r="L74" s="961">
        <v>0</v>
      </c>
      <c r="M74" s="961">
        <v>0</v>
      </c>
      <c r="N74" s="961">
        <v>0</v>
      </c>
      <c r="O74" s="63">
        <f t="shared" si="40"/>
        <v>0</v>
      </c>
      <c r="P74" s="30"/>
    </row>
    <row r="75" spans="1:16" ht="24.9" customHeight="1">
      <c r="A75" s="50" t="str">
        <f t="shared" si="39"/>
        <v>12. Structures - Short Span Concrete Bridge</v>
      </c>
      <c r="B75" s="57">
        <f>Summary!C16</f>
        <v>0</v>
      </c>
      <c r="C75" s="961">
        <v>0</v>
      </c>
      <c r="D75" s="961">
        <v>0</v>
      </c>
      <c r="E75" s="961">
        <v>0</v>
      </c>
      <c r="F75" s="961">
        <v>0</v>
      </c>
      <c r="G75" s="961">
        <v>0</v>
      </c>
      <c r="H75" s="961">
        <v>0</v>
      </c>
      <c r="I75" s="961">
        <v>0</v>
      </c>
      <c r="J75" s="961">
        <v>0</v>
      </c>
      <c r="K75" s="961">
        <v>0</v>
      </c>
      <c r="L75" s="961">
        <v>0</v>
      </c>
      <c r="M75" s="961">
        <v>0</v>
      </c>
      <c r="N75" s="961">
        <v>0</v>
      </c>
      <c r="O75" s="63">
        <f t="shared" si="40"/>
        <v>0</v>
      </c>
      <c r="P75" s="30"/>
    </row>
    <row r="76" spans="1:16" ht="24.9" customHeight="1">
      <c r="A76" s="50" t="str">
        <f t="shared" si="39"/>
        <v>13. Structures - Medium Span Concrete Bridge</v>
      </c>
      <c r="B76" s="57">
        <f>Summary!C17</f>
        <v>0</v>
      </c>
      <c r="C76" s="961">
        <v>0</v>
      </c>
      <c r="D76" s="961">
        <v>0</v>
      </c>
      <c r="E76" s="961">
        <v>0</v>
      </c>
      <c r="F76" s="961">
        <v>0</v>
      </c>
      <c r="G76" s="961">
        <v>0</v>
      </c>
      <c r="H76" s="961">
        <v>0</v>
      </c>
      <c r="I76" s="961">
        <v>0</v>
      </c>
      <c r="J76" s="961">
        <v>0</v>
      </c>
      <c r="K76" s="961">
        <v>0</v>
      </c>
      <c r="L76" s="961">
        <v>0</v>
      </c>
      <c r="M76" s="961">
        <v>0</v>
      </c>
      <c r="N76" s="961">
        <v>0</v>
      </c>
      <c r="O76" s="63">
        <f t="shared" si="40"/>
        <v>0</v>
      </c>
      <c r="P76" s="30"/>
    </row>
    <row r="77" spans="1:16" ht="24.9" customHeight="1">
      <c r="A77" s="50" t="str">
        <f t="shared" si="39"/>
        <v>14. Structures - Structural Steel Bridge</v>
      </c>
      <c r="B77" s="57">
        <f>Summary!C18</f>
        <v>0</v>
      </c>
      <c r="C77" s="961">
        <v>0</v>
      </c>
      <c r="D77" s="961">
        <v>0</v>
      </c>
      <c r="E77" s="961">
        <v>0</v>
      </c>
      <c r="F77" s="961">
        <v>0</v>
      </c>
      <c r="G77" s="961">
        <v>0</v>
      </c>
      <c r="H77" s="961">
        <v>0</v>
      </c>
      <c r="I77" s="961">
        <v>0</v>
      </c>
      <c r="J77" s="961">
        <v>0</v>
      </c>
      <c r="K77" s="961">
        <v>0</v>
      </c>
      <c r="L77" s="961">
        <v>0</v>
      </c>
      <c r="M77" s="961">
        <v>0</v>
      </c>
      <c r="N77" s="961">
        <v>0</v>
      </c>
      <c r="O77" s="63">
        <f t="shared" si="40"/>
        <v>0</v>
      </c>
      <c r="P77" s="30"/>
    </row>
    <row r="78" spans="1:16" ht="24.9" customHeight="1">
      <c r="A78" s="50" t="str">
        <f t="shared" si="39"/>
        <v>15. Structures - Segmental Concrete Bridge</v>
      </c>
      <c r="B78" s="57">
        <f>Summary!C19</f>
        <v>0</v>
      </c>
      <c r="C78" s="961">
        <v>0</v>
      </c>
      <c r="D78" s="961">
        <v>0</v>
      </c>
      <c r="E78" s="961">
        <v>0</v>
      </c>
      <c r="F78" s="961">
        <v>0</v>
      </c>
      <c r="G78" s="961">
        <v>0</v>
      </c>
      <c r="H78" s="961">
        <v>0</v>
      </c>
      <c r="I78" s="961">
        <v>0</v>
      </c>
      <c r="J78" s="961">
        <v>0</v>
      </c>
      <c r="K78" s="961">
        <v>0</v>
      </c>
      <c r="L78" s="961">
        <v>0</v>
      </c>
      <c r="M78" s="961">
        <v>0</v>
      </c>
      <c r="N78" s="961">
        <v>0</v>
      </c>
      <c r="O78" s="63">
        <f t="shared" si="40"/>
        <v>0</v>
      </c>
      <c r="P78" s="30"/>
    </row>
    <row r="79" spans="1:16" ht="24.9" customHeight="1">
      <c r="A79" s="50" t="str">
        <f t="shared" si="39"/>
        <v>16. Structures - Movable Span</v>
      </c>
      <c r="B79" s="57">
        <f>Summary!C20</f>
        <v>0</v>
      </c>
      <c r="C79" s="961">
        <v>0</v>
      </c>
      <c r="D79" s="961">
        <v>0</v>
      </c>
      <c r="E79" s="961">
        <v>0</v>
      </c>
      <c r="F79" s="961">
        <v>0</v>
      </c>
      <c r="G79" s="961">
        <v>0</v>
      </c>
      <c r="H79" s="961">
        <v>0</v>
      </c>
      <c r="I79" s="961">
        <v>0</v>
      </c>
      <c r="J79" s="961">
        <v>0</v>
      </c>
      <c r="K79" s="961">
        <v>0</v>
      </c>
      <c r="L79" s="961">
        <v>0</v>
      </c>
      <c r="M79" s="961">
        <v>0</v>
      </c>
      <c r="N79" s="961">
        <v>0</v>
      </c>
      <c r="O79" s="63">
        <f t="shared" si="40"/>
        <v>0</v>
      </c>
      <c r="P79" s="30"/>
    </row>
    <row r="80" spans="1:16" ht="24.9" customHeight="1">
      <c r="A80" s="50" t="str">
        <f t="shared" si="39"/>
        <v>17. Structures - Retaining Walls</v>
      </c>
      <c r="B80" s="57">
        <f>Summary!C21</f>
        <v>0</v>
      </c>
      <c r="C80" s="961">
        <v>0</v>
      </c>
      <c r="D80" s="961">
        <v>0</v>
      </c>
      <c r="E80" s="961">
        <v>0</v>
      </c>
      <c r="F80" s="961">
        <v>0</v>
      </c>
      <c r="G80" s="961">
        <v>0</v>
      </c>
      <c r="H80" s="961">
        <v>0</v>
      </c>
      <c r="I80" s="961">
        <v>0</v>
      </c>
      <c r="J80" s="961">
        <v>0</v>
      </c>
      <c r="K80" s="961">
        <v>0</v>
      </c>
      <c r="L80" s="961">
        <v>0</v>
      </c>
      <c r="M80" s="961">
        <v>0</v>
      </c>
      <c r="N80" s="961">
        <v>0</v>
      </c>
      <c r="O80" s="63">
        <f t="shared" si="40"/>
        <v>0</v>
      </c>
      <c r="P80" s="30"/>
    </row>
    <row r="81" spans="1:16" ht="24.9" customHeight="1">
      <c r="A81" s="50" t="str">
        <f t="shared" si="39"/>
        <v>18. Structures - Miscellaneous</v>
      </c>
      <c r="B81" s="57">
        <f>Summary!C22</f>
        <v>0</v>
      </c>
      <c r="C81" s="961">
        <v>0</v>
      </c>
      <c r="D81" s="961">
        <v>0</v>
      </c>
      <c r="E81" s="961">
        <v>0</v>
      </c>
      <c r="F81" s="961">
        <v>0</v>
      </c>
      <c r="G81" s="961">
        <v>0</v>
      </c>
      <c r="H81" s="961">
        <v>0</v>
      </c>
      <c r="I81" s="961">
        <v>0</v>
      </c>
      <c r="J81" s="961">
        <v>0</v>
      </c>
      <c r="K81" s="961">
        <v>0</v>
      </c>
      <c r="L81" s="961">
        <v>0</v>
      </c>
      <c r="M81" s="961">
        <v>0</v>
      </c>
      <c r="N81" s="961">
        <v>0</v>
      </c>
      <c r="O81" s="63">
        <f t="shared" si="40"/>
        <v>0</v>
      </c>
      <c r="P81" s="30"/>
    </row>
    <row r="82" spans="1:16" ht="24.9" customHeight="1">
      <c r="A82" s="50" t="str">
        <f t="shared" si="39"/>
        <v>19. Signing &amp; Pavement Marking Analysis</v>
      </c>
      <c r="B82" s="57">
        <f>Summary!C23</f>
        <v>0</v>
      </c>
      <c r="C82" s="961">
        <v>0</v>
      </c>
      <c r="D82" s="961">
        <v>0</v>
      </c>
      <c r="E82" s="961">
        <v>0</v>
      </c>
      <c r="F82" s="961">
        <v>0</v>
      </c>
      <c r="G82" s="961">
        <v>0</v>
      </c>
      <c r="H82" s="961">
        <v>0</v>
      </c>
      <c r="I82" s="961">
        <v>0</v>
      </c>
      <c r="J82" s="961">
        <v>0</v>
      </c>
      <c r="K82" s="961">
        <v>0</v>
      </c>
      <c r="L82" s="961">
        <v>0</v>
      </c>
      <c r="M82" s="961">
        <v>0</v>
      </c>
      <c r="N82" s="961">
        <v>0</v>
      </c>
      <c r="O82" s="63">
        <f t="shared" si="40"/>
        <v>0</v>
      </c>
      <c r="P82" s="30"/>
    </row>
    <row r="83" spans="1:16" ht="24.9" customHeight="1">
      <c r="A83" s="50" t="str">
        <f t="shared" si="39"/>
        <v>20. Signing &amp; Pavement Marking Plans</v>
      </c>
      <c r="B83" s="57">
        <f>Summary!C24</f>
        <v>0</v>
      </c>
      <c r="C83" s="961">
        <v>0</v>
      </c>
      <c r="D83" s="961">
        <v>0</v>
      </c>
      <c r="E83" s="961">
        <v>0</v>
      </c>
      <c r="F83" s="961">
        <v>0</v>
      </c>
      <c r="G83" s="961">
        <v>0</v>
      </c>
      <c r="H83" s="961">
        <v>0</v>
      </c>
      <c r="I83" s="961">
        <v>0</v>
      </c>
      <c r="J83" s="961">
        <v>0</v>
      </c>
      <c r="K83" s="961">
        <v>0</v>
      </c>
      <c r="L83" s="961">
        <v>0</v>
      </c>
      <c r="M83" s="961">
        <v>0</v>
      </c>
      <c r="N83" s="961">
        <v>0</v>
      </c>
      <c r="O83" s="63">
        <f t="shared" si="40"/>
        <v>0</v>
      </c>
      <c r="P83" s="30"/>
    </row>
    <row r="84" spans="1:16" ht="24.9" customHeight="1">
      <c r="A84" s="50" t="str">
        <f t="shared" si="39"/>
        <v>21. Signalization Analysis</v>
      </c>
      <c r="B84" s="57">
        <f>Summary!C25</f>
        <v>0</v>
      </c>
      <c r="C84" s="961">
        <v>0</v>
      </c>
      <c r="D84" s="961">
        <v>0</v>
      </c>
      <c r="E84" s="961">
        <v>0</v>
      </c>
      <c r="F84" s="961">
        <v>0</v>
      </c>
      <c r="G84" s="961">
        <v>0</v>
      </c>
      <c r="H84" s="961">
        <v>0</v>
      </c>
      <c r="I84" s="961">
        <v>0</v>
      </c>
      <c r="J84" s="961">
        <v>0</v>
      </c>
      <c r="K84" s="961">
        <v>0</v>
      </c>
      <c r="L84" s="961">
        <v>0</v>
      </c>
      <c r="M84" s="961">
        <v>0</v>
      </c>
      <c r="N84" s="961">
        <v>0</v>
      </c>
      <c r="O84" s="63">
        <f t="shared" si="40"/>
        <v>0</v>
      </c>
      <c r="P84" s="30"/>
    </row>
    <row r="85" spans="1:16" ht="24.9" customHeight="1">
      <c r="A85" s="50" t="str">
        <f t="shared" si="39"/>
        <v>22. Signalization Plans</v>
      </c>
      <c r="B85" s="57">
        <f>Summary!C26</f>
        <v>0</v>
      </c>
      <c r="C85" s="961">
        <v>0</v>
      </c>
      <c r="D85" s="961">
        <v>0</v>
      </c>
      <c r="E85" s="961">
        <v>0</v>
      </c>
      <c r="F85" s="961">
        <v>0</v>
      </c>
      <c r="G85" s="961">
        <v>0</v>
      </c>
      <c r="H85" s="961">
        <v>0</v>
      </c>
      <c r="I85" s="961">
        <v>0</v>
      </c>
      <c r="J85" s="961">
        <v>0</v>
      </c>
      <c r="K85" s="961">
        <v>0</v>
      </c>
      <c r="L85" s="961">
        <v>0</v>
      </c>
      <c r="M85" s="961">
        <v>0</v>
      </c>
      <c r="N85" s="961">
        <v>0</v>
      </c>
      <c r="O85" s="63">
        <f t="shared" si="40"/>
        <v>0</v>
      </c>
      <c r="P85" s="30"/>
    </row>
    <row r="86" spans="1:16" ht="24.9" customHeight="1">
      <c r="A86" s="50" t="str">
        <f t="shared" si="39"/>
        <v>23. Lighting Analysis</v>
      </c>
      <c r="B86" s="57">
        <f>Summary!C27</f>
        <v>0</v>
      </c>
      <c r="C86" s="961">
        <v>0</v>
      </c>
      <c r="D86" s="961">
        <v>0</v>
      </c>
      <c r="E86" s="961">
        <v>0</v>
      </c>
      <c r="F86" s="961">
        <v>0</v>
      </c>
      <c r="G86" s="961">
        <v>0</v>
      </c>
      <c r="H86" s="961">
        <v>0</v>
      </c>
      <c r="I86" s="961">
        <v>0</v>
      </c>
      <c r="J86" s="961">
        <v>0</v>
      </c>
      <c r="K86" s="961">
        <v>0</v>
      </c>
      <c r="L86" s="961">
        <v>0</v>
      </c>
      <c r="M86" s="961">
        <v>0</v>
      </c>
      <c r="N86" s="961">
        <v>0</v>
      </c>
      <c r="O86" s="63">
        <f t="shared" si="40"/>
        <v>0</v>
      </c>
      <c r="P86" s="30"/>
    </row>
    <row r="87" spans="1:16" ht="24.9" customHeight="1">
      <c r="A87" s="50" t="str">
        <f t="shared" si="39"/>
        <v>24. Lighting Plans</v>
      </c>
      <c r="B87" s="57">
        <f>Summary!C28</f>
        <v>0</v>
      </c>
      <c r="C87" s="961">
        <v>0</v>
      </c>
      <c r="D87" s="961">
        <v>0</v>
      </c>
      <c r="E87" s="961">
        <v>0</v>
      </c>
      <c r="F87" s="961">
        <v>0</v>
      </c>
      <c r="G87" s="961">
        <v>0</v>
      </c>
      <c r="H87" s="961">
        <v>0</v>
      </c>
      <c r="I87" s="961">
        <v>0</v>
      </c>
      <c r="J87" s="961">
        <v>0</v>
      </c>
      <c r="K87" s="961">
        <v>0</v>
      </c>
      <c r="L87" s="961">
        <v>0</v>
      </c>
      <c r="M87" s="961">
        <v>0</v>
      </c>
      <c r="N87" s="961">
        <v>0</v>
      </c>
      <c r="O87" s="63">
        <f t="shared" si="40"/>
        <v>0</v>
      </c>
      <c r="P87" s="30"/>
    </row>
    <row r="88" spans="1:16" ht="24.9" customHeight="1">
      <c r="A88" s="50" t="str">
        <f t="shared" si="39"/>
        <v>25. Landscape Analysis</v>
      </c>
      <c r="B88" s="57">
        <f>Summary!C29</f>
        <v>0</v>
      </c>
      <c r="C88" s="961">
        <v>0</v>
      </c>
      <c r="D88" s="961">
        <v>0</v>
      </c>
      <c r="E88" s="961">
        <v>0</v>
      </c>
      <c r="F88" s="961">
        <v>0</v>
      </c>
      <c r="G88" s="961">
        <v>0</v>
      </c>
      <c r="H88" s="961">
        <v>0</v>
      </c>
      <c r="I88" s="961">
        <v>0</v>
      </c>
      <c r="J88" s="961">
        <v>0</v>
      </c>
      <c r="K88" s="961">
        <v>0</v>
      </c>
      <c r="L88" s="961">
        <v>0</v>
      </c>
      <c r="M88" s="961">
        <v>0</v>
      </c>
      <c r="N88" s="961">
        <v>0</v>
      </c>
      <c r="O88" s="63">
        <f t="shared" si="40"/>
        <v>0</v>
      </c>
      <c r="P88" s="30"/>
    </row>
    <row r="89" spans="1:16" ht="24.9" customHeight="1">
      <c r="A89" s="50" t="str">
        <f t="shared" si="39"/>
        <v>26. Landscape Plans</v>
      </c>
      <c r="B89" s="57">
        <f>Summary!C30</f>
        <v>0</v>
      </c>
      <c r="C89" s="961">
        <v>0</v>
      </c>
      <c r="D89" s="961">
        <v>0</v>
      </c>
      <c r="E89" s="961">
        <v>0</v>
      </c>
      <c r="F89" s="961">
        <v>0</v>
      </c>
      <c r="G89" s="961">
        <v>0</v>
      </c>
      <c r="H89" s="961">
        <v>0</v>
      </c>
      <c r="I89" s="961">
        <v>0</v>
      </c>
      <c r="J89" s="961">
        <v>0</v>
      </c>
      <c r="K89" s="961">
        <v>0</v>
      </c>
      <c r="L89" s="961">
        <v>0</v>
      </c>
      <c r="M89" s="961">
        <v>0</v>
      </c>
      <c r="N89" s="961">
        <v>0</v>
      </c>
      <c r="O89" s="63">
        <f t="shared" si="40"/>
        <v>0</v>
      </c>
      <c r="P89" s="30"/>
    </row>
    <row r="90" spans="1:16" ht="24.9" customHeight="1">
      <c r="A90" s="50" t="str">
        <f t="shared" si="39"/>
        <v>27. Survey (Field &amp; Office Support)</v>
      </c>
      <c r="B90" s="57">
        <f>Summary!C31</f>
        <v>0</v>
      </c>
      <c r="C90" s="961">
        <v>0</v>
      </c>
      <c r="D90" s="961">
        <v>0</v>
      </c>
      <c r="E90" s="961">
        <v>0</v>
      </c>
      <c r="F90" s="961">
        <v>0</v>
      </c>
      <c r="G90" s="961">
        <v>0</v>
      </c>
      <c r="H90" s="961">
        <v>0</v>
      </c>
      <c r="I90" s="961">
        <v>0</v>
      </c>
      <c r="J90" s="961">
        <v>0</v>
      </c>
      <c r="K90" s="961">
        <v>0</v>
      </c>
      <c r="L90" s="961">
        <v>0</v>
      </c>
      <c r="M90" s="961">
        <v>0</v>
      </c>
      <c r="N90" s="961">
        <v>0</v>
      </c>
      <c r="O90" s="63">
        <f t="shared" si="40"/>
        <v>0</v>
      </c>
      <c r="P90" s="30"/>
    </row>
    <row r="91" spans="1:16" ht="24.9" customHeight="1">
      <c r="A91" s="50" t="str">
        <f t="shared" si="39"/>
        <v>28. Photogrammetry</v>
      </c>
      <c r="B91" s="57">
        <f>Summary!C32</f>
        <v>0</v>
      </c>
      <c r="C91" s="961">
        <v>0</v>
      </c>
      <c r="D91" s="961">
        <v>0</v>
      </c>
      <c r="E91" s="961">
        <v>0</v>
      </c>
      <c r="F91" s="961">
        <v>0</v>
      </c>
      <c r="G91" s="961">
        <v>0</v>
      </c>
      <c r="H91" s="961">
        <v>0</v>
      </c>
      <c r="I91" s="961">
        <v>0</v>
      </c>
      <c r="J91" s="961">
        <v>0</v>
      </c>
      <c r="K91" s="961">
        <v>0</v>
      </c>
      <c r="L91" s="961">
        <v>0</v>
      </c>
      <c r="M91" s="961">
        <v>0</v>
      </c>
      <c r="N91" s="961">
        <v>0</v>
      </c>
      <c r="O91" s="63">
        <f t="shared" si="40"/>
        <v>0</v>
      </c>
      <c r="P91" s="30"/>
    </row>
    <row r="92" spans="1:16" ht="24.9" customHeight="1">
      <c r="A92" s="50" t="str">
        <f t="shared" si="39"/>
        <v>29. Mapping</v>
      </c>
      <c r="B92" s="57">
        <f>Summary!C33</f>
        <v>0</v>
      </c>
      <c r="C92" s="961">
        <v>0</v>
      </c>
      <c r="D92" s="961">
        <v>0</v>
      </c>
      <c r="E92" s="961">
        <v>0</v>
      </c>
      <c r="F92" s="961">
        <v>0</v>
      </c>
      <c r="G92" s="961">
        <v>0</v>
      </c>
      <c r="H92" s="961">
        <v>0</v>
      </c>
      <c r="I92" s="961">
        <v>0</v>
      </c>
      <c r="J92" s="961">
        <v>0</v>
      </c>
      <c r="K92" s="961">
        <v>0</v>
      </c>
      <c r="L92" s="961">
        <v>0</v>
      </c>
      <c r="M92" s="961">
        <v>0</v>
      </c>
      <c r="N92" s="961">
        <v>0</v>
      </c>
      <c r="O92" s="63">
        <f t="shared" si="40"/>
        <v>0</v>
      </c>
      <c r="P92" s="30"/>
    </row>
    <row r="93" spans="1:16" ht="24.9" customHeight="1">
      <c r="A93" s="50" t="str">
        <f t="shared" si="39"/>
        <v>30. Terrestrial Mobile LiDAR</v>
      </c>
      <c r="B93" s="141">
        <f>Summary!C34</f>
        <v>0</v>
      </c>
      <c r="C93" s="961">
        <v>0</v>
      </c>
      <c r="D93" s="961">
        <v>0</v>
      </c>
      <c r="E93" s="961">
        <v>0</v>
      </c>
      <c r="F93" s="961">
        <v>0</v>
      </c>
      <c r="G93" s="961">
        <v>0</v>
      </c>
      <c r="H93" s="961">
        <v>0</v>
      </c>
      <c r="I93" s="961">
        <v>0</v>
      </c>
      <c r="J93" s="961">
        <v>0</v>
      </c>
      <c r="K93" s="961">
        <v>0</v>
      </c>
      <c r="L93" s="961">
        <v>0</v>
      </c>
      <c r="M93" s="961">
        <v>0</v>
      </c>
      <c r="N93" s="961">
        <v>0</v>
      </c>
      <c r="O93" s="63">
        <f t="shared" ref="O93:O97" si="41">SUM(C93:N93)</f>
        <v>0</v>
      </c>
      <c r="P93" s="30"/>
    </row>
    <row r="94" spans="1:16" ht="24.9" customHeight="1">
      <c r="A94" s="50" t="str">
        <f t="shared" si="39"/>
        <v>31. Architecture Development</v>
      </c>
      <c r="B94" s="57">
        <f>Summary!C35</f>
        <v>0</v>
      </c>
      <c r="C94" s="961">
        <v>0</v>
      </c>
      <c r="D94" s="961">
        <v>0</v>
      </c>
      <c r="E94" s="961">
        <v>0</v>
      </c>
      <c r="F94" s="961">
        <v>0</v>
      </c>
      <c r="G94" s="961">
        <v>0</v>
      </c>
      <c r="H94" s="961">
        <v>0</v>
      </c>
      <c r="I94" s="961">
        <v>0</v>
      </c>
      <c r="J94" s="961">
        <v>0</v>
      </c>
      <c r="K94" s="961">
        <v>0</v>
      </c>
      <c r="L94" s="961">
        <v>0</v>
      </c>
      <c r="M94" s="961">
        <v>0</v>
      </c>
      <c r="N94" s="961">
        <v>0</v>
      </c>
      <c r="O94" s="63">
        <f t="shared" si="41"/>
        <v>0</v>
      </c>
      <c r="P94" s="30"/>
    </row>
    <row r="95" spans="1:16" ht="24.9" customHeight="1">
      <c r="A95" s="50" t="str">
        <f t="shared" si="39"/>
        <v>32. Noise Barriers Impact Design Assessment</v>
      </c>
      <c r="B95" s="57">
        <f>Summary!C36</f>
        <v>0</v>
      </c>
      <c r="C95" s="961">
        <v>0</v>
      </c>
      <c r="D95" s="961">
        <v>0</v>
      </c>
      <c r="E95" s="961">
        <v>0</v>
      </c>
      <c r="F95" s="961">
        <v>0</v>
      </c>
      <c r="G95" s="961">
        <v>0</v>
      </c>
      <c r="H95" s="961">
        <v>0</v>
      </c>
      <c r="I95" s="961">
        <v>0</v>
      </c>
      <c r="J95" s="961">
        <v>0</v>
      </c>
      <c r="K95" s="961">
        <v>0</v>
      </c>
      <c r="L95" s="961">
        <v>0</v>
      </c>
      <c r="M95" s="961">
        <v>0</v>
      </c>
      <c r="N95" s="961">
        <v>0</v>
      </c>
      <c r="O95" s="63">
        <f t="shared" si="41"/>
        <v>0</v>
      </c>
      <c r="P95" s="30"/>
    </row>
    <row r="96" spans="1:16" ht="24.9" customHeight="1">
      <c r="A96" s="50" t="str">
        <f t="shared" si="39"/>
        <v>33. Intelligent Transportation Systems Analysis</v>
      </c>
      <c r="B96" s="57">
        <f>Summary!C37</f>
        <v>0</v>
      </c>
      <c r="C96" s="961">
        <v>0</v>
      </c>
      <c r="D96" s="961">
        <v>0</v>
      </c>
      <c r="E96" s="961">
        <v>0</v>
      </c>
      <c r="F96" s="961">
        <v>0</v>
      </c>
      <c r="G96" s="961">
        <v>0</v>
      </c>
      <c r="H96" s="961">
        <v>0</v>
      </c>
      <c r="I96" s="961">
        <v>0</v>
      </c>
      <c r="J96" s="961">
        <v>0</v>
      </c>
      <c r="K96" s="961">
        <v>0</v>
      </c>
      <c r="L96" s="961">
        <v>0</v>
      </c>
      <c r="M96" s="961">
        <v>0</v>
      </c>
      <c r="N96" s="961">
        <v>0</v>
      </c>
      <c r="O96" s="63">
        <f t="shared" si="41"/>
        <v>0</v>
      </c>
      <c r="P96" s="30"/>
    </row>
    <row r="97" spans="1:17" ht="24.9" customHeight="1">
      <c r="A97" s="50" t="str">
        <f t="shared" si="39"/>
        <v>34. Intelligent Transportation Systems Plans</v>
      </c>
      <c r="B97" s="57">
        <f>Summary!C38</f>
        <v>0</v>
      </c>
      <c r="C97" s="961">
        <v>0</v>
      </c>
      <c r="D97" s="961">
        <v>0</v>
      </c>
      <c r="E97" s="961">
        <v>0</v>
      </c>
      <c r="F97" s="961">
        <v>0</v>
      </c>
      <c r="G97" s="961">
        <v>0</v>
      </c>
      <c r="H97" s="961">
        <v>0</v>
      </c>
      <c r="I97" s="961">
        <v>0</v>
      </c>
      <c r="J97" s="961">
        <v>0</v>
      </c>
      <c r="K97" s="961">
        <v>0</v>
      </c>
      <c r="L97" s="961">
        <v>0</v>
      </c>
      <c r="M97" s="961">
        <v>0</v>
      </c>
      <c r="N97" s="961">
        <v>0</v>
      </c>
      <c r="O97" s="63">
        <f t="shared" si="41"/>
        <v>0</v>
      </c>
      <c r="P97" s="30"/>
    </row>
    <row r="98" spans="1:17" ht="24.9" customHeight="1">
      <c r="A98" s="50" t="str">
        <f t="shared" si="39"/>
        <v>35. Geotechnical</v>
      </c>
      <c r="B98" s="57">
        <f>Summary!C39</f>
        <v>0</v>
      </c>
      <c r="C98" s="961">
        <v>0</v>
      </c>
      <c r="D98" s="961">
        <v>0</v>
      </c>
      <c r="E98" s="961">
        <v>0</v>
      </c>
      <c r="F98" s="961">
        <v>0</v>
      </c>
      <c r="G98" s="961">
        <v>0</v>
      </c>
      <c r="H98" s="961">
        <v>0</v>
      </c>
      <c r="I98" s="961">
        <v>0</v>
      </c>
      <c r="J98" s="961">
        <v>0</v>
      </c>
      <c r="K98" s="961">
        <v>0</v>
      </c>
      <c r="L98" s="961">
        <v>0</v>
      </c>
      <c r="M98" s="961">
        <v>0</v>
      </c>
      <c r="N98" s="961">
        <v>0</v>
      </c>
      <c r="O98" s="63">
        <f>SUM(C98:N98)</f>
        <v>0</v>
      </c>
      <c r="P98" s="30"/>
    </row>
    <row r="99" spans="1:17" ht="24.9" customHeight="1">
      <c r="A99" s="130"/>
      <c r="B99" s="131"/>
      <c r="C99" s="132"/>
      <c r="D99" s="132"/>
      <c r="E99" s="132"/>
      <c r="F99" s="132"/>
      <c r="G99" s="132"/>
      <c r="H99" s="132"/>
      <c r="I99" s="132"/>
      <c r="J99" s="132"/>
      <c r="K99" s="132"/>
      <c r="L99" s="132"/>
      <c r="M99" s="132"/>
      <c r="N99" s="132"/>
      <c r="O99" s="133"/>
      <c r="P99" s="30"/>
    </row>
    <row r="100" spans="1:17" ht="15.6">
      <c r="A100" s="28"/>
      <c r="B100" s="28"/>
      <c r="O100" s="30"/>
      <c r="P100" s="30"/>
      <c r="Q100" s="31"/>
    </row>
    <row r="101" spans="1:17" ht="17.399999999999999">
      <c r="M101" s="29"/>
      <c r="N101" s="29"/>
    </row>
    <row r="103" spans="1:17" ht="17.399999999999999">
      <c r="M103" s="29"/>
      <c r="N103" s="29"/>
    </row>
    <row r="104" spans="1:17" ht="17.399999999999999">
      <c r="L104" s="29"/>
    </row>
    <row r="105" spans="1:17" ht="17.399999999999999">
      <c r="M105" s="29"/>
      <c r="N105" s="29"/>
    </row>
    <row r="106" spans="1:17">
      <c r="A106" s="21" t="s">
        <v>400</v>
      </c>
    </row>
  </sheetData>
  <mergeCells count="8">
    <mergeCell ref="B7:B9"/>
    <mergeCell ref="A56:Q56"/>
    <mergeCell ref="A62:O62"/>
    <mergeCell ref="A1:Q1"/>
    <mergeCell ref="O9:P9"/>
    <mergeCell ref="O8:P8"/>
    <mergeCell ref="M49:N49"/>
    <mergeCell ref="O10:P10"/>
  </mergeCells>
  <phoneticPr fontId="0" type="noConversion"/>
  <printOptions horizontalCentered="1"/>
  <pageMargins left="0.46" right="0.54" top="0.71" bottom="0.77" header="0.5" footer="0.5"/>
  <pageSetup scale="35" fitToHeight="2" orientation="landscape" horizontalDpi="4294967292" verticalDpi="300" r:id="rId1"/>
  <headerFooter alignWithMargins="0">
    <oddFooter>&amp;L&amp;F  
&amp;A&amp;CPage &amp;P of &amp;N&amp;R&amp;D  &amp;T</oddFooter>
  </headerFooter>
  <rowBreaks count="1" manualBreakCount="1">
    <brk id="47"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transitionEntry="1" codeName="Sheet9">
    <pageSetUpPr fitToPage="1"/>
  </sheetPr>
  <dimension ref="A1:AR73"/>
  <sheetViews>
    <sheetView showGridLines="0" showRuler="0" defaultGridColor="0" colorId="22" zoomScale="85" zoomScaleNormal="85" zoomScaleSheetLayoutView="55" workbookViewId="0"/>
  </sheetViews>
  <sheetFormatPr defaultColWidth="7" defaultRowHeight="13.2"/>
  <cols>
    <col min="1" max="1" width="47.6640625" style="33" customWidth="1"/>
    <col min="2" max="2" width="12.88671875" style="33" customWidth="1"/>
    <col min="3" max="3" width="12.6640625" style="33" customWidth="1"/>
    <col min="4" max="14" width="14.6640625" style="33" customWidth="1"/>
    <col min="15" max="15" width="14" style="33" customWidth="1"/>
    <col min="16" max="16" width="14.33203125" style="33" customWidth="1"/>
    <col min="17" max="17" width="17.44140625" style="33" customWidth="1"/>
    <col min="18" max="18" width="14" style="33" customWidth="1"/>
    <col min="19" max="19" width="11.33203125" style="33" customWidth="1"/>
    <col min="20" max="20" width="2.44140625" style="33" customWidth="1"/>
    <col min="21" max="21" width="13.88671875" style="155" customWidth="1"/>
    <col min="22" max="44" width="7" style="155"/>
    <col min="45" max="16384" width="7" style="33"/>
  </cols>
  <sheetData>
    <row r="1" spans="1:21" ht="18" thickTop="1">
      <c r="A1" s="1449" t="s">
        <v>473</v>
      </c>
      <c r="B1" s="1450"/>
      <c r="C1" s="1451"/>
      <c r="D1" s="1451"/>
      <c r="E1" s="1451"/>
      <c r="F1" s="1451"/>
      <c r="G1" s="1451"/>
      <c r="H1" s="1451"/>
      <c r="I1" s="1451"/>
      <c r="J1" s="1451"/>
      <c r="K1" s="1451"/>
      <c r="L1" s="1451"/>
      <c r="M1" s="1451"/>
      <c r="N1" s="1451"/>
      <c r="O1" s="1451"/>
      <c r="P1" s="1451"/>
      <c r="Q1" s="1452"/>
      <c r="R1" s="34" t="s">
        <v>400</v>
      </c>
      <c r="S1" s="34"/>
      <c r="T1" s="32"/>
    </row>
    <row r="2" spans="1:21" ht="15.6">
      <c r="A2" s="1525"/>
      <c r="B2" s="37"/>
      <c r="C2" s="32"/>
      <c r="D2" s="32"/>
      <c r="E2" s="32"/>
      <c r="F2" s="32"/>
      <c r="G2" s="32"/>
      <c r="H2" s="32"/>
      <c r="I2" s="32"/>
      <c r="J2" s="32"/>
      <c r="K2" s="32"/>
      <c r="L2" s="32"/>
      <c r="M2" s="32"/>
      <c r="N2" s="32"/>
      <c r="O2" s="32"/>
      <c r="P2" s="32"/>
      <c r="Q2" s="1526"/>
      <c r="R2" s="32"/>
      <c r="S2" s="32"/>
      <c r="T2" s="32"/>
    </row>
    <row r="3" spans="1:21" s="105" customFormat="1" ht="15">
      <c r="A3" s="1453" t="s">
        <v>567</v>
      </c>
      <c r="B3" s="104" t="str">
        <f>'Project Information'!B3</f>
        <v>Enter project name &amp; description</v>
      </c>
      <c r="D3" s="114"/>
      <c r="E3" s="114"/>
      <c r="F3" s="104"/>
      <c r="G3" s="114"/>
      <c r="H3" s="114"/>
      <c r="I3" s="114"/>
      <c r="J3" s="114"/>
      <c r="K3" s="114"/>
      <c r="L3" s="114"/>
      <c r="M3" s="114"/>
      <c r="N3" s="1436" t="s">
        <v>774</v>
      </c>
      <c r="O3" s="1437" t="str">
        <f>'Project Information'!B2</f>
        <v>Enter name of prime or subconsultant</v>
      </c>
      <c r="Q3" s="1454"/>
      <c r="R3" s="114"/>
      <c r="S3" s="114"/>
      <c r="T3" s="104"/>
      <c r="U3" s="155"/>
    </row>
    <row r="4" spans="1:21" s="105" customFormat="1" ht="15">
      <c r="A4" s="1455" t="s">
        <v>570</v>
      </c>
      <c r="B4" s="1438" t="str">
        <f>'Project Information'!L2</f>
        <v>enter name of county</v>
      </c>
      <c r="D4" s="104"/>
      <c r="E4" s="104"/>
      <c r="F4" s="104"/>
      <c r="G4" s="104"/>
      <c r="H4" s="104"/>
      <c r="I4" s="104"/>
      <c r="J4" s="104"/>
      <c r="K4" s="104"/>
      <c r="L4" s="104"/>
      <c r="M4" s="104"/>
      <c r="N4" s="1436" t="s">
        <v>775</v>
      </c>
      <c r="O4" s="1439" t="s">
        <v>587</v>
      </c>
      <c r="Q4" s="1456"/>
      <c r="R4" s="104"/>
      <c r="S4" s="104"/>
      <c r="T4" s="104"/>
      <c r="U4" s="155"/>
    </row>
    <row r="5" spans="1:21" s="105" customFormat="1" ht="15">
      <c r="A5" s="1457" t="s">
        <v>593</v>
      </c>
      <c r="B5" s="1440" t="str">
        <f>'Project Information'!B1</f>
        <v>999999-1-32-01</v>
      </c>
      <c r="D5" s="104"/>
      <c r="E5" s="104"/>
      <c r="F5" s="104"/>
      <c r="G5" s="104"/>
      <c r="I5" s="104"/>
      <c r="J5" s="104"/>
      <c r="K5" s="104"/>
      <c r="L5" s="104"/>
      <c r="M5" s="104"/>
      <c r="N5" s="1436" t="s">
        <v>776</v>
      </c>
      <c r="O5" s="1441">
        <f ca="1">TODAY()</f>
        <v>45751</v>
      </c>
      <c r="Q5" s="1456"/>
      <c r="R5" s="104"/>
      <c r="S5" s="104"/>
      <c r="T5" s="104"/>
      <c r="U5" s="155"/>
    </row>
    <row r="6" spans="1:21" s="105" customFormat="1" ht="15.6" thickBot="1">
      <c r="A6" s="1457" t="s">
        <v>594</v>
      </c>
      <c r="B6" s="1442" t="str">
        <f>'Project Information'!L1</f>
        <v>54321</v>
      </c>
      <c r="N6" s="1443" t="s">
        <v>777</v>
      </c>
      <c r="O6" s="1444" t="s">
        <v>569</v>
      </c>
      <c r="P6" s="1445"/>
      <c r="Q6" s="1456"/>
      <c r="R6" s="104"/>
      <c r="S6" s="104"/>
      <c r="T6" s="104"/>
      <c r="U6" s="155"/>
    </row>
    <row r="7" spans="1:21" ht="16.5" customHeight="1" thickTop="1">
      <c r="A7" s="2051" t="s">
        <v>536</v>
      </c>
      <c r="B7" s="2053" t="s">
        <v>474</v>
      </c>
      <c r="C7" s="2049" t="str">
        <f>'Staff Hour Summary--Grand Total'!C10</f>
        <v>Project Manager</v>
      </c>
      <c r="D7" s="2049" t="str">
        <f>'Staff Hour Summary--Grand Total'!D10</f>
        <v>Staff Classi- fication 2</v>
      </c>
      <c r="E7" s="2049" t="str">
        <f>'Staff Hour Summary--Grand Total'!E10</f>
        <v>Staff Classi- fication 3</v>
      </c>
      <c r="F7" s="2049" t="str">
        <f>'Staff Hour Summary--Grand Total'!F10</f>
        <v>Staff Classi- fication 4</v>
      </c>
      <c r="G7" s="2049" t="str">
        <f>'Staff Hour Summary--Grand Total'!G10</f>
        <v>Staff Classi- fication 5</v>
      </c>
      <c r="H7" s="2049" t="str">
        <f>'Staff Hour Summary--Grand Total'!H10</f>
        <v>Staff Classi- fication 6</v>
      </c>
      <c r="I7" s="2049" t="str">
        <f>'Staff Hour Summary--Grand Total'!I10</f>
        <v>Staff Classi- fication 7</v>
      </c>
      <c r="J7" s="2049" t="str">
        <f>'Staff Hour Summary--Grand Total'!J10</f>
        <v>Staff Classi- fication 8</v>
      </c>
      <c r="K7" s="2049" t="str">
        <f>'Staff Hour Summary--Grand Total'!K10</f>
        <v>Staff Classi- fication 9</v>
      </c>
      <c r="L7" s="2049" t="str">
        <f>'Staff Hour Summary--Grand Total'!L10</f>
        <v>Staff Classi- fication 10</v>
      </c>
      <c r="M7" s="2049" t="str">
        <f>'Staff Hour Summary--Grand Total'!M10</f>
        <v>Staff Classi- fication 11</v>
      </c>
      <c r="N7" s="2047" t="str">
        <f>'Staff Hour Summary--Grand Total'!N10</f>
        <v>Staff Classi- fication 12</v>
      </c>
      <c r="O7" s="106" t="s">
        <v>513</v>
      </c>
      <c r="P7" s="106" t="s">
        <v>597</v>
      </c>
      <c r="Q7" s="1458" t="s">
        <v>598</v>
      </c>
      <c r="R7" s="32"/>
      <c r="S7" s="32"/>
    </row>
    <row r="8" spans="1:21" ht="21.75" customHeight="1">
      <c r="A8" s="2052"/>
      <c r="B8" s="2054"/>
      <c r="C8" s="2050"/>
      <c r="D8" s="2050"/>
      <c r="E8" s="2050"/>
      <c r="F8" s="2050"/>
      <c r="G8" s="2050"/>
      <c r="H8" s="2050"/>
      <c r="I8" s="2050"/>
      <c r="J8" s="2050"/>
      <c r="K8" s="2050"/>
      <c r="L8" s="2050"/>
      <c r="M8" s="2050"/>
      <c r="N8" s="2048"/>
      <c r="O8" s="107" t="s">
        <v>602</v>
      </c>
      <c r="P8" s="107" t="s">
        <v>603</v>
      </c>
      <c r="Q8" s="1459" t="s">
        <v>604</v>
      </c>
      <c r="R8" s="32"/>
      <c r="S8" s="32"/>
    </row>
    <row r="9" spans="1:21" ht="32.4" customHeight="1" thickBot="1">
      <c r="A9" s="1460"/>
      <c r="B9" s="2054"/>
      <c r="C9" s="1430">
        <v>0</v>
      </c>
      <c r="D9" s="1430">
        <v>0</v>
      </c>
      <c r="E9" s="1430">
        <v>0</v>
      </c>
      <c r="F9" s="1430">
        <v>0</v>
      </c>
      <c r="G9" s="1430">
        <v>0</v>
      </c>
      <c r="H9" s="1430">
        <v>0</v>
      </c>
      <c r="I9" s="1430">
        <v>0</v>
      </c>
      <c r="J9" s="1430">
        <v>0</v>
      </c>
      <c r="K9" s="1430">
        <v>0</v>
      </c>
      <c r="L9" s="1430">
        <v>0</v>
      </c>
      <c r="M9" s="1430">
        <v>0</v>
      </c>
      <c r="N9" s="1430">
        <v>0</v>
      </c>
      <c r="O9" s="1431" t="s">
        <v>694</v>
      </c>
      <c r="P9" s="1432" t="s">
        <v>694</v>
      </c>
      <c r="Q9" s="1461" t="s">
        <v>190</v>
      </c>
      <c r="R9" s="32"/>
      <c r="S9" s="32"/>
    </row>
    <row r="10" spans="1:21" ht="18" customHeight="1" thickTop="1">
      <c r="A10" s="1462" t="str">
        <f>'Staff Hour Summary - Firm'!A12</f>
        <v>3. Project Common and Project General Tasks</v>
      </c>
      <c r="B10" s="1434">
        <f>'Staff Hour Summary - Firm'!B12</f>
        <v>0</v>
      </c>
      <c r="C10" s="1434">
        <f>'Staff Hour Summary - Firm'!C12</f>
        <v>0</v>
      </c>
      <c r="D10" s="1434">
        <f>'Staff Hour Summary - Firm'!D12</f>
        <v>0</v>
      </c>
      <c r="E10" s="1434">
        <f>'Staff Hour Summary - Firm'!E12</f>
        <v>0</v>
      </c>
      <c r="F10" s="1434">
        <f>'Staff Hour Summary - Firm'!F12</f>
        <v>0</v>
      </c>
      <c r="G10" s="1434">
        <f>'Staff Hour Summary - Firm'!G12</f>
        <v>0</v>
      </c>
      <c r="H10" s="1434">
        <f>'Staff Hour Summary - Firm'!H12</f>
        <v>0</v>
      </c>
      <c r="I10" s="1434">
        <f>'Staff Hour Summary - Firm'!I12</f>
        <v>0</v>
      </c>
      <c r="J10" s="1434">
        <f>'Staff Hour Summary - Firm'!J12</f>
        <v>0</v>
      </c>
      <c r="K10" s="1434">
        <f>'Staff Hour Summary - Firm'!K12</f>
        <v>0</v>
      </c>
      <c r="L10" s="1434">
        <f>'Staff Hour Summary - Firm'!L12</f>
        <v>0</v>
      </c>
      <c r="M10" s="1434">
        <f>'Staff Hour Summary - Firm'!M12</f>
        <v>0</v>
      </c>
      <c r="N10" s="1434">
        <f>'Staff Hour Summary - Firm'!N12</f>
        <v>0</v>
      </c>
      <c r="O10" s="1434">
        <f t="shared" ref="O10:O20" si="0">SUM(C10:N10)</f>
        <v>0</v>
      </c>
      <c r="P10" s="1435">
        <f t="shared" ref="P10:P20" si="1">C10*$C$9+D10*$D$9+E10*$E$9+F10*$F$9+G10*$G$9+H10*$H$9+I10*$I$9+J10*$J$9+K10*$K$9+L10*$L$9+M10*$M$9+N10*$N$9</f>
        <v>0</v>
      </c>
      <c r="Q10" s="1463" t="e">
        <f t="shared" ref="Q10:Q15" si="2">ROUND(+P10/O10,2)</f>
        <v>#DIV/0!</v>
      </c>
      <c r="R10" s="32"/>
      <c r="S10" s="32"/>
    </row>
    <row r="11" spans="1:21" ht="18" customHeight="1">
      <c r="A11" s="1464" t="str">
        <f>'Staff Hour Summary - Firm'!A13</f>
        <v>4. Roadway Analysis</v>
      </c>
      <c r="B11" s="1014">
        <f>'Staff Hour Summary - Firm'!B13</f>
        <v>0</v>
      </c>
      <c r="C11" s="1014">
        <f>'Staff Hour Summary - Firm'!C13</f>
        <v>0</v>
      </c>
      <c r="D11" s="1014">
        <f>'Staff Hour Summary - Firm'!D13</f>
        <v>0</v>
      </c>
      <c r="E11" s="1014">
        <f>'Staff Hour Summary - Firm'!E13</f>
        <v>0</v>
      </c>
      <c r="F11" s="1014">
        <f>'Staff Hour Summary - Firm'!F13</f>
        <v>0</v>
      </c>
      <c r="G11" s="1014">
        <f>'Staff Hour Summary - Firm'!G13</f>
        <v>0</v>
      </c>
      <c r="H11" s="1014">
        <f>'Staff Hour Summary - Firm'!H13</f>
        <v>0</v>
      </c>
      <c r="I11" s="1014">
        <f>'Staff Hour Summary - Firm'!I13</f>
        <v>0</v>
      </c>
      <c r="J11" s="1014">
        <f>'Staff Hour Summary - Firm'!J13</f>
        <v>0</v>
      </c>
      <c r="K11" s="1014">
        <f>'Staff Hour Summary - Firm'!K13</f>
        <v>0</v>
      </c>
      <c r="L11" s="1014">
        <f>'Staff Hour Summary - Firm'!L13</f>
        <v>0</v>
      </c>
      <c r="M11" s="1014">
        <f>'Staff Hour Summary - Firm'!M13</f>
        <v>0</v>
      </c>
      <c r="N11" s="1014">
        <f>'Staff Hour Summary - Firm'!N13</f>
        <v>0</v>
      </c>
      <c r="O11" s="1014">
        <f t="shared" si="0"/>
        <v>0</v>
      </c>
      <c r="P11" s="1433">
        <f t="shared" si="1"/>
        <v>0</v>
      </c>
      <c r="Q11" s="1465" t="e">
        <f t="shared" si="2"/>
        <v>#DIV/0!</v>
      </c>
      <c r="R11" s="32"/>
      <c r="S11" s="32"/>
    </row>
    <row r="12" spans="1:21" ht="18" customHeight="1">
      <c r="A12" s="1464" t="str">
        <f>'Staff Hour Summary - Firm'!A14</f>
        <v>5. Roadway Plans</v>
      </c>
      <c r="B12" s="1014">
        <f>'Staff Hour Summary - Firm'!B14</f>
        <v>0</v>
      </c>
      <c r="C12" s="1014">
        <f>'Staff Hour Summary - Firm'!C14</f>
        <v>0</v>
      </c>
      <c r="D12" s="1014">
        <f>'Staff Hour Summary - Firm'!D14</f>
        <v>0</v>
      </c>
      <c r="E12" s="1014">
        <f>'Staff Hour Summary - Firm'!E14</f>
        <v>0</v>
      </c>
      <c r="F12" s="1014">
        <f>'Staff Hour Summary - Firm'!F14</f>
        <v>0</v>
      </c>
      <c r="G12" s="1014">
        <f>'Staff Hour Summary - Firm'!G14</f>
        <v>0</v>
      </c>
      <c r="H12" s="1014">
        <f>'Staff Hour Summary - Firm'!H14</f>
        <v>0</v>
      </c>
      <c r="I12" s="1014">
        <f>'Staff Hour Summary - Firm'!I14</f>
        <v>0</v>
      </c>
      <c r="J12" s="1014">
        <f>'Staff Hour Summary - Firm'!J14</f>
        <v>0</v>
      </c>
      <c r="K12" s="1014">
        <f>'Staff Hour Summary - Firm'!K14</f>
        <v>0</v>
      </c>
      <c r="L12" s="1014">
        <f>'Staff Hour Summary - Firm'!L14</f>
        <v>0</v>
      </c>
      <c r="M12" s="1014">
        <f>'Staff Hour Summary - Firm'!M14</f>
        <v>0</v>
      </c>
      <c r="N12" s="1014">
        <f>'Staff Hour Summary - Firm'!N14</f>
        <v>0</v>
      </c>
      <c r="O12" s="1014">
        <f t="shared" si="0"/>
        <v>0</v>
      </c>
      <c r="P12" s="1433">
        <f t="shared" si="1"/>
        <v>0</v>
      </c>
      <c r="Q12" s="1465" t="e">
        <f t="shared" si="2"/>
        <v>#DIV/0!</v>
      </c>
      <c r="R12" s="32"/>
      <c r="S12" s="32"/>
    </row>
    <row r="13" spans="1:21" ht="18" customHeight="1">
      <c r="A13" s="1464" t="str">
        <f>'Staff Hour Summary - Firm'!A15</f>
        <v>6a. Drainage Analysis</v>
      </c>
      <c r="B13" s="1014">
        <f>'Staff Hour Summary - Firm'!B15</f>
        <v>0</v>
      </c>
      <c r="C13" s="1014">
        <f>'Staff Hour Summary - Firm'!C15</f>
        <v>0</v>
      </c>
      <c r="D13" s="1014">
        <f>'Staff Hour Summary - Firm'!D15</f>
        <v>0</v>
      </c>
      <c r="E13" s="1014">
        <f>'Staff Hour Summary - Firm'!E15</f>
        <v>0</v>
      </c>
      <c r="F13" s="1014">
        <f>'Staff Hour Summary - Firm'!F15</f>
        <v>0</v>
      </c>
      <c r="G13" s="1014">
        <f>'Staff Hour Summary - Firm'!G15</f>
        <v>0</v>
      </c>
      <c r="H13" s="1014">
        <f>'Staff Hour Summary - Firm'!H15</f>
        <v>0</v>
      </c>
      <c r="I13" s="1014">
        <f>'Staff Hour Summary - Firm'!I15</f>
        <v>0</v>
      </c>
      <c r="J13" s="1014">
        <f>'Staff Hour Summary - Firm'!J15</f>
        <v>0</v>
      </c>
      <c r="K13" s="1014">
        <f>'Staff Hour Summary - Firm'!K15</f>
        <v>0</v>
      </c>
      <c r="L13" s="1014">
        <f>'Staff Hour Summary - Firm'!L15</f>
        <v>0</v>
      </c>
      <c r="M13" s="1014">
        <f>'Staff Hour Summary - Firm'!M15</f>
        <v>0</v>
      </c>
      <c r="N13" s="1014">
        <f>'Staff Hour Summary - Firm'!N15</f>
        <v>0</v>
      </c>
      <c r="O13" s="1014">
        <f t="shared" si="0"/>
        <v>0</v>
      </c>
      <c r="P13" s="1433">
        <f t="shared" si="1"/>
        <v>0</v>
      </c>
      <c r="Q13" s="1465" t="e">
        <f t="shared" si="2"/>
        <v>#DIV/0!</v>
      </c>
      <c r="R13" s="32"/>
      <c r="S13" s="32"/>
    </row>
    <row r="14" spans="1:21" ht="18" customHeight="1">
      <c r="A14" s="1464" t="str">
        <f>'Staff Hour Summary - Firm'!A16</f>
        <v>6b. Drainage Plans</v>
      </c>
      <c r="B14" s="1014">
        <f>'Staff Hour Summary - Firm'!B16</f>
        <v>0</v>
      </c>
      <c r="C14" s="1014">
        <f>'Staff Hour Summary - Firm'!C16</f>
        <v>0</v>
      </c>
      <c r="D14" s="1014">
        <f>'Staff Hour Summary - Firm'!D16</f>
        <v>0</v>
      </c>
      <c r="E14" s="1014">
        <f>'Staff Hour Summary - Firm'!E16</f>
        <v>0</v>
      </c>
      <c r="F14" s="1014">
        <f>'Staff Hour Summary - Firm'!F16</f>
        <v>0</v>
      </c>
      <c r="G14" s="1014">
        <f>'Staff Hour Summary - Firm'!G16</f>
        <v>0</v>
      </c>
      <c r="H14" s="1014">
        <f>'Staff Hour Summary - Firm'!H16</f>
        <v>0</v>
      </c>
      <c r="I14" s="1014">
        <f>'Staff Hour Summary - Firm'!I16</f>
        <v>0</v>
      </c>
      <c r="J14" s="1014">
        <f>'Staff Hour Summary - Firm'!J16</f>
        <v>0</v>
      </c>
      <c r="K14" s="1014">
        <f>'Staff Hour Summary - Firm'!K16</f>
        <v>0</v>
      </c>
      <c r="L14" s="1014">
        <f>'Staff Hour Summary - Firm'!L16</f>
        <v>0</v>
      </c>
      <c r="M14" s="1014">
        <f>'Staff Hour Summary - Firm'!M16</f>
        <v>0</v>
      </c>
      <c r="N14" s="1014">
        <f>'Staff Hour Summary - Firm'!N16</f>
        <v>0</v>
      </c>
      <c r="O14" s="1014">
        <f t="shared" si="0"/>
        <v>0</v>
      </c>
      <c r="P14" s="1433">
        <f>C14*$C$9+D14*$D$9+E14*$E$9+F14*$F$9+G14*$G$9+H14*$H$9+I14*$I$9+J14*$J$9+K14*$K$9+L14*$L$9+M14*$M$9+N14*$N$9</f>
        <v>0</v>
      </c>
      <c r="Q14" s="1465" t="e">
        <f t="shared" si="2"/>
        <v>#DIV/0!</v>
      </c>
      <c r="R14" s="32"/>
      <c r="S14" s="32"/>
    </row>
    <row r="15" spans="1:21" ht="18" customHeight="1">
      <c r="A15" s="1464" t="str">
        <f>'Staff Hour Summary - Firm'!A17</f>
        <v>6c. Selective C&amp;G</v>
      </c>
      <c r="B15" s="1014">
        <f>'Staff Hour Summary - Firm'!B17</f>
        <v>0</v>
      </c>
      <c r="C15" s="1014">
        <f>'Staff Hour Summary - Firm'!C17</f>
        <v>0</v>
      </c>
      <c r="D15" s="1014">
        <f>'Staff Hour Summary - Firm'!D17</f>
        <v>0</v>
      </c>
      <c r="E15" s="1014">
        <f>'Staff Hour Summary - Firm'!E17</f>
        <v>0</v>
      </c>
      <c r="F15" s="1014">
        <f>'Staff Hour Summary - Firm'!F17</f>
        <v>0</v>
      </c>
      <c r="G15" s="1014">
        <f>'Staff Hour Summary - Firm'!G17</f>
        <v>0</v>
      </c>
      <c r="H15" s="1014">
        <f>'Staff Hour Summary - Firm'!H17</f>
        <v>0</v>
      </c>
      <c r="I15" s="1014">
        <f>'Staff Hour Summary - Firm'!I17</f>
        <v>0</v>
      </c>
      <c r="J15" s="1014">
        <f>'Staff Hour Summary - Firm'!J17</f>
        <v>0</v>
      </c>
      <c r="K15" s="1014">
        <f>'Staff Hour Summary - Firm'!K17</f>
        <v>0</v>
      </c>
      <c r="L15" s="1014">
        <f>'Staff Hour Summary - Firm'!L17</f>
        <v>0</v>
      </c>
      <c r="M15" s="1014">
        <f>'Staff Hour Summary - Firm'!M17</f>
        <v>0</v>
      </c>
      <c r="N15" s="1014">
        <f>'Staff Hour Summary - Firm'!N17</f>
        <v>0</v>
      </c>
      <c r="O15" s="1014">
        <f t="shared" ref="O15" si="3">SUM(C15:N15)</f>
        <v>0</v>
      </c>
      <c r="P15" s="1433">
        <f>C15*$C$9+D15*$D$9+E15*$E$9+F15*$F$9+G15*$G$9+H15*$H$9+I15*$I$9+J15*$J$9+K15*$K$9+L15*$L$9+M15*$M$9+N15*$N$9</f>
        <v>0</v>
      </c>
      <c r="Q15" s="1465" t="e">
        <f t="shared" si="2"/>
        <v>#DIV/0!</v>
      </c>
      <c r="R15" s="32"/>
      <c r="S15" s="32"/>
    </row>
    <row r="16" spans="1:21" ht="18" customHeight="1">
      <c r="A16" s="1464" t="str">
        <f>'Staff Hour Summary - Firm'!A18</f>
        <v>7. Utilities</v>
      </c>
      <c r="B16" s="1014">
        <f>'Staff Hour Summary - Firm'!B18</f>
        <v>0</v>
      </c>
      <c r="C16" s="1014">
        <f>'Staff Hour Summary - Firm'!C18</f>
        <v>0</v>
      </c>
      <c r="D16" s="1014">
        <f>'Staff Hour Summary - Firm'!D18</f>
        <v>0</v>
      </c>
      <c r="E16" s="1014">
        <f>'Staff Hour Summary - Firm'!E18</f>
        <v>0</v>
      </c>
      <c r="F16" s="1014">
        <f>'Staff Hour Summary - Firm'!F18</f>
        <v>0</v>
      </c>
      <c r="G16" s="1014">
        <f>'Staff Hour Summary - Firm'!G18</f>
        <v>0</v>
      </c>
      <c r="H16" s="1014">
        <f>'Staff Hour Summary - Firm'!H18</f>
        <v>0</v>
      </c>
      <c r="I16" s="1014">
        <f>'Staff Hour Summary - Firm'!I18</f>
        <v>0</v>
      </c>
      <c r="J16" s="1014">
        <f>'Staff Hour Summary - Firm'!J18</f>
        <v>0</v>
      </c>
      <c r="K16" s="1014">
        <f>'Staff Hour Summary - Firm'!K18</f>
        <v>0</v>
      </c>
      <c r="L16" s="1014">
        <f>'Staff Hour Summary - Firm'!L18</f>
        <v>0</v>
      </c>
      <c r="M16" s="1014">
        <f>'Staff Hour Summary - Firm'!M18</f>
        <v>0</v>
      </c>
      <c r="N16" s="1014">
        <f>'Staff Hour Summary - Firm'!N18</f>
        <v>0</v>
      </c>
      <c r="O16" s="1014">
        <f t="shared" si="0"/>
        <v>0</v>
      </c>
      <c r="P16" s="1433">
        <f t="shared" si="1"/>
        <v>0</v>
      </c>
      <c r="Q16" s="1465" t="e">
        <f t="shared" ref="Q16:Q43" si="4">ROUND(+P16/O16,2)</f>
        <v>#DIV/0!</v>
      </c>
      <c r="R16" s="32"/>
      <c r="S16" s="32"/>
    </row>
    <row r="17" spans="1:19" ht="18" customHeight="1">
      <c r="A17" s="1464" t="str">
        <f>'Staff Hour Summary - Firm'!A19</f>
        <v>8. Environmental Permits,and Env. Clearances</v>
      </c>
      <c r="B17" s="1014">
        <f>'Staff Hour Summary - Firm'!B19</f>
        <v>0</v>
      </c>
      <c r="C17" s="1014">
        <f>'Staff Hour Summary - Firm'!C19</f>
        <v>0</v>
      </c>
      <c r="D17" s="1014">
        <f>'Staff Hour Summary - Firm'!D19</f>
        <v>0</v>
      </c>
      <c r="E17" s="1014">
        <f>'Staff Hour Summary - Firm'!E19</f>
        <v>0</v>
      </c>
      <c r="F17" s="1014">
        <f>'Staff Hour Summary - Firm'!F19</f>
        <v>0</v>
      </c>
      <c r="G17" s="1014">
        <f>'Staff Hour Summary - Firm'!G19</f>
        <v>0</v>
      </c>
      <c r="H17" s="1014">
        <f>'Staff Hour Summary - Firm'!H19</f>
        <v>0</v>
      </c>
      <c r="I17" s="1014">
        <f>'Staff Hour Summary - Firm'!I19</f>
        <v>0</v>
      </c>
      <c r="J17" s="1014">
        <f>'Staff Hour Summary - Firm'!J19</f>
        <v>0</v>
      </c>
      <c r="K17" s="1014">
        <f>'Staff Hour Summary - Firm'!K19</f>
        <v>0</v>
      </c>
      <c r="L17" s="1014">
        <f>'Staff Hour Summary - Firm'!L19</f>
        <v>0</v>
      </c>
      <c r="M17" s="1014">
        <f>'Staff Hour Summary - Firm'!M19</f>
        <v>0</v>
      </c>
      <c r="N17" s="1014">
        <f>'Staff Hour Summary - Firm'!N19</f>
        <v>0</v>
      </c>
      <c r="O17" s="1014">
        <f t="shared" si="0"/>
        <v>0</v>
      </c>
      <c r="P17" s="1433">
        <f t="shared" si="1"/>
        <v>0</v>
      </c>
      <c r="Q17" s="1465" t="e">
        <f t="shared" si="4"/>
        <v>#DIV/0!</v>
      </c>
      <c r="R17" s="32"/>
      <c r="S17" s="32"/>
    </row>
    <row r="18" spans="1:19" ht="18" customHeight="1">
      <c r="A18" s="1464" t="str">
        <f>'Staff Hour Summary - Firm'!A20</f>
        <v>9. Structures - Misc. Tasks, Dwgs, Non-Tech.</v>
      </c>
      <c r="B18" s="1014">
        <f>'Staff Hour Summary - Firm'!B20</f>
        <v>0</v>
      </c>
      <c r="C18" s="1014">
        <f>'Staff Hour Summary - Firm'!C20</f>
        <v>0</v>
      </c>
      <c r="D18" s="1014">
        <f>'Staff Hour Summary - Firm'!D20</f>
        <v>0</v>
      </c>
      <c r="E18" s="1014">
        <f>'Staff Hour Summary - Firm'!E20</f>
        <v>0</v>
      </c>
      <c r="F18" s="1014">
        <f>'Staff Hour Summary - Firm'!F20</f>
        <v>0</v>
      </c>
      <c r="G18" s="1014">
        <f>'Staff Hour Summary - Firm'!G20</f>
        <v>0</v>
      </c>
      <c r="H18" s="1014">
        <f>'Staff Hour Summary - Firm'!H20</f>
        <v>0</v>
      </c>
      <c r="I18" s="1014">
        <f>'Staff Hour Summary - Firm'!I20</f>
        <v>0</v>
      </c>
      <c r="J18" s="1014">
        <f>'Staff Hour Summary - Firm'!J20</f>
        <v>0</v>
      </c>
      <c r="K18" s="1014">
        <f>'Staff Hour Summary - Firm'!K20</f>
        <v>0</v>
      </c>
      <c r="L18" s="1014">
        <f>'Staff Hour Summary - Firm'!L20</f>
        <v>0</v>
      </c>
      <c r="M18" s="1014">
        <f>'Staff Hour Summary - Firm'!M20</f>
        <v>0</v>
      </c>
      <c r="N18" s="1014">
        <f>'Staff Hour Summary - Firm'!N20</f>
        <v>0</v>
      </c>
      <c r="O18" s="1014">
        <f t="shared" si="0"/>
        <v>0</v>
      </c>
      <c r="P18" s="1433">
        <f t="shared" si="1"/>
        <v>0</v>
      </c>
      <c r="Q18" s="1465" t="e">
        <f t="shared" si="4"/>
        <v>#DIV/0!</v>
      </c>
      <c r="R18" s="32"/>
      <c r="S18" s="32"/>
    </row>
    <row r="19" spans="1:19" ht="18" customHeight="1">
      <c r="A19" s="1464" t="str">
        <f>'Staff Hour Summary - Firm'!A21</f>
        <v>10. Structures - Bridge Development Report</v>
      </c>
      <c r="B19" s="1014">
        <f>'Staff Hour Summary - Firm'!B21</f>
        <v>0</v>
      </c>
      <c r="C19" s="1014">
        <f>'Staff Hour Summary - Firm'!C21</f>
        <v>0</v>
      </c>
      <c r="D19" s="1014">
        <f>'Staff Hour Summary - Firm'!D21</f>
        <v>0</v>
      </c>
      <c r="E19" s="1014">
        <f>'Staff Hour Summary - Firm'!E21</f>
        <v>0</v>
      </c>
      <c r="F19" s="1014">
        <f>'Staff Hour Summary - Firm'!F21</f>
        <v>0</v>
      </c>
      <c r="G19" s="1014">
        <f>'Staff Hour Summary - Firm'!G21</f>
        <v>0</v>
      </c>
      <c r="H19" s="1014">
        <f>'Staff Hour Summary - Firm'!H21</f>
        <v>0</v>
      </c>
      <c r="I19" s="1014">
        <f>'Staff Hour Summary - Firm'!I21</f>
        <v>0</v>
      </c>
      <c r="J19" s="1014">
        <f>'Staff Hour Summary - Firm'!J21</f>
        <v>0</v>
      </c>
      <c r="K19" s="1014">
        <f>'Staff Hour Summary - Firm'!K21</f>
        <v>0</v>
      </c>
      <c r="L19" s="1014">
        <f>'Staff Hour Summary - Firm'!L21</f>
        <v>0</v>
      </c>
      <c r="M19" s="1014">
        <f>'Staff Hour Summary - Firm'!M21</f>
        <v>0</v>
      </c>
      <c r="N19" s="1014">
        <f>'Staff Hour Summary - Firm'!N21</f>
        <v>0</v>
      </c>
      <c r="O19" s="1014">
        <f t="shared" si="0"/>
        <v>0</v>
      </c>
      <c r="P19" s="1433">
        <f t="shared" si="1"/>
        <v>0</v>
      </c>
      <c r="Q19" s="1465" t="e">
        <f t="shared" si="4"/>
        <v>#DIV/0!</v>
      </c>
      <c r="R19" s="32"/>
      <c r="S19" s="32"/>
    </row>
    <row r="20" spans="1:19" ht="18" customHeight="1">
      <c r="A20" s="1464" t="str">
        <f>'Staff Hour Summary - Firm'!A22</f>
        <v>11. Structures - Temporary Bridge</v>
      </c>
      <c r="B20" s="1014">
        <f>'Staff Hour Summary - Firm'!B22</f>
        <v>0</v>
      </c>
      <c r="C20" s="1014">
        <f>'Staff Hour Summary - Firm'!C22</f>
        <v>0</v>
      </c>
      <c r="D20" s="1014">
        <f>'Staff Hour Summary - Firm'!D22</f>
        <v>0</v>
      </c>
      <c r="E20" s="1014">
        <f>'Staff Hour Summary - Firm'!E22</f>
        <v>0</v>
      </c>
      <c r="F20" s="1014">
        <f>'Staff Hour Summary - Firm'!F22</f>
        <v>0</v>
      </c>
      <c r="G20" s="1014">
        <f>'Staff Hour Summary - Firm'!G22</f>
        <v>0</v>
      </c>
      <c r="H20" s="1014">
        <f>'Staff Hour Summary - Firm'!H22</f>
        <v>0</v>
      </c>
      <c r="I20" s="1014">
        <f>'Staff Hour Summary - Firm'!I22</f>
        <v>0</v>
      </c>
      <c r="J20" s="1014">
        <f>'Staff Hour Summary - Firm'!J22</f>
        <v>0</v>
      </c>
      <c r="K20" s="1014">
        <f>'Staff Hour Summary - Firm'!K22</f>
        <v>0</v>
      </c>
      <c r="L20" s="1014">
        <f>'Staff Hour Summary - Firm'!L22</f>
        <v>0</v>
      </c>
      <c r="M20" s="1014">
        <f>'Staff Hour Summary - Firm'!M22</f>
        <v>0</v>
      </c>
      <c r="N20" s="1014">
        <f>'Staff Hour Summary - Firm'!N22</f>
        <v>0</v>
      </c>
      <c r="O20" s="1014">
        <f t="shared" si="0"/>
        <v>0</v>
      </c>
      <c r="P20" s="1433">
        <f t="shared" si="1"/>
        <v>0</v>
      </c>
      <c r="Q20" s="1465" t="e">
        <f t="shared" si="4"/>
        <v>#DIV/0!</v>
      </c>
      <c r="R20" s="32"/>
      <c r="S20" s="32"/>
    </row>
    <row r="21" spans="1:19" ht="18" customHeight="1">
      <c r="A21" s="1464" t="str">
        <f>'Staff Hour Summary - Firm'!A23</f>
        <v>12. Structures - Short Span Concrete Bridge</v>
      </c>
      <c r="B21" s="1014">
        <f>'Staff Hour Summary - Firm'!B23</f>
        <v>0</v>
      </c>
      <c r="C21" s="1014">
        <f>'Staff Hour Summary - Firm'!C23</f>
        <v>0</v>
      </c>
      <c r="D21" s="1014">
        <f>'Staff Hour Summary - Firm'!D23</f>
        <v>0</v>
      </c>
      <c r="E21" s="1014">
        <f>'Staff Hour Summary - Firm'!E23</f>
        <v>0</v>
      </c>
      <c r="F21" s="1014">
        <f>'Staff Hour Summary - Firm'!F23</f>
        <v>0</v>
      </c>
      <c r="G21" s="1014">
        <f>'Staff Hour Summary - Firm'!G23</f>
        <v>0</v>
      </c>
      <c r="H21" s="1014">
        <f>'Staff Hour Summary - Firm'!H23</f>
        <v>0</v>
      </c>
      <c r="I21" s="1014">
        <f>'Staff Hour Summary - Firm'!I23</f>
        <v>0</v>
      </c>
      <c r="J21" s="1014">
        <f>'Staff Hour Summary - Firm'!J23</f>
        <v>0</v>
      </c>
      <c r="K21" s="1014">
        <f>'Staff Hour Summary - Firm'!K23</f>
        <v>0</v>
      </c>
      <c r="L21" s="1014">
        <f>'Staff Hour Summary - Firm'!L23</f>
        <v>0</v>
      </c>
      <c r="M21" s="1014">
        <f>'Staff Hour Summary - Firm'!M23</f>
        <v>0</v>
      </c>
      <c r="N21" s="1014">
        <f>'Staff Hour Summary - Firm'!N23</f>
        <v>0</v>
      </c>
      <c r="O21" s="1014">
        <f t="shared" ref="O21:O39" si="5">SUM(C21:N21)</f>
        <v>0</v>
      </c>
      <c r="P21" s="1433">
        <f t="shared" ref="P21:P39" si="6">C21*$C$9+D21*$D$9+E21*$E$9+F21*$F$9+G21*$G$9+H21*$H$9+I21*$I$9+J21*$J$9+K21*$K$9+L21*$L$9+M21*$M$9+N21*$N$9</f>
        <v>0</v>
      </c>
      <c r="Q21" s="1465" t="e">
        <f t="shared" si="4"/>
        <v>#DIV/0!</v>
      </c>
      <c r="R21" s="32"/>
      <c r="S21" s="32"/>
    </row>
    <row r="22" spans="1:19" ht="18" customHeight="1">
      <c r="A22" s="1464" t="str">
        <f>'Staff Hour Summary - Firm'!A24</f>
        <v>13. Structures - Medium Span Concrete Bridge</v>
      </c>
      <c r="B22" s="1014">
        <f>'Staff Hour Summary - Firm'!B24</f>
        <v>0</v>
      </c>
      <c r="C22" s="1014">
        <f>'Staff Hour Summary - Firm'!C24</f>
        <v>0</v>
      </c>
      <c r="D22" s="1014">
        <f>'Staff Hour Summary - Firm'!D24</f>
        <v>0</v>
      </c>
      <c r="E22" s="1014">
        <f>'Staff Hour Summary - Firm'!E24</f>
        <v>0</v>
      </c>
      <c r="F22" s="1014">
        <f>'Staff Hour Summary - Firm'!F24</f>
        <v>0</v>
      </c>
      <c r="G22" s="1014">
        <f>'Staff Hour Summary - Firm'!G24</f>
        <v>0</v>
      </c>
      <c r="H22" s="1014">
        <f>'Staff Hour Summary - Firm'!H24</f>
        <v>0</v>
      </c>
      <c r="I22" s="1014">
        <f>'Staff Hour Summary - Firm'!I24</f>
        <v>0</v>
      </c>
      <c r="J22" s="1014">
        <f>'Staff Hour Summary - Firm'!J24</f>
        <v>0</v>
      </c>
      <c r="K22" s="1014">
        <f>'Staff Hour Summary - Firm'!K24</f>
        <v>0</v>
      </c>
      <c r="L22" s="1014">
        <f>'Staff Hour Summary - Firm'!L24</f>
        <v>0</v>
      </c>
      <c r="M22" s="1014">
        <f>'Staff Hour Summary - Firm'!M24</f>
        <v>0</v>
      </c>
      <c r="N22" s="1014">
        <f>'Staff Hour Summary - Firm'!N24</f>
        <v>0</v>
      </c>
      <c r="O22" s="1014">
        <f t="shared" si="5"/>
        <v>0</v>
      </c>
      <c r="P22" s="1433">
        <f t="shared" si="6"/>
        <v>0</v>
      </c>
      <c r="Q22" s="1465" t="e">
        <f t="shared" si="4"/>
        <v>#DIV/0!</v>
      </c>
      <c r="R22" s="32"/>
      <c r="S22" s="32"/>
    </row>
    <row r="23" spans="1:19" ht="18" customHeight="1">
      <c r="A23" s="1464" t="str">
        <f>'Staff Hour Summary - Firm'!A25</f>
        <v>14. Structures - Structural Steel Bridge</v>
      </c>
      <c r="B23" s="1014">
        <f>'Staff Hour Summary - Firm'!B25</f>
        <v>0</v>
      </c>
      <c r="C23" s="1014">
        <f>'Staff Hour Summary - Firm'!C25</f>
        <v>0</v>
      </c>
      <c r="D23" s="1014">
        <f>'Staff Hour Summary - Firm'!D25</f>
        <v>0</v>
      </c>
      <c r="E23" s="1014">
        <f>'Staff Hour Summary - Firm'!E25</f>
        <v>0</v>
      </c>
      <c r="F23" s="1014">
        <f>'Staff Hour Summary - Firm'!F25</f>
        <v>0</v>
      </c>
      <c r="G23" s="1014">
        <f>'Staff Hour Summary - Firm'!G25</f>
        <v>0</v>
      </c>
      <c r="H23" s="1014">
        <f>'Staff Hour Summary - Firm'!H25</f>
        <v>0</v>
      </c>
      <c r="I23" s="1014">
        <f>'Staff Hour Summary - Firm'!I25</f>
        <v>0</v>
      </c>
      <c r="J23" s="1014">
        <f>'Staff Hour Summary - Firm'!J25</f>
        <v>0</v>
      </c>
      <c r="K23" s="1014">
        <f>'Staff Hour Summary - Firm'!K25</f>
        <v>0</v>
      </c>
      <c r="L23" s="1014">
        <f>'Staff Hour Summary - Firm'!L25</f>
        <v>0</v>
      </c>
      <c r="M23" s="1014">
        <f>'Staff Hour Summary - Firm'!M25</f>
        <v>0</v>
      </c>
      <c r="N23" s="1014">
        <f>'Staff Hour Summary - Firm'!N25</f>
        <v>0</v>
      </c>
      <c r="O23" s="1014">
        <f t="shared" si="5"/>
        <v>0</v>
      </c>
      <c r="P23" s="1433">
        <f t="shared" si="6"/>
        <v>0</v>
      </c>
      <c r="Q23" s="1465" t="e">
        <f t="shared" si="4"/>
        <v>#DIV/0!</v>
      </c>
      <c r="R23" s="32"/>
      <c r="S23" s="32"/>
    </row>
    <row r="24" spans="1:19" ht="18" customHeight="1">
      <c r="A24" s="1464" t="str">
        <f>'Staff Hour Summary - Firm'!A26</f>
        <v>15. Structures - Segmental Concrete Bridge</v>
      </c>
      <c r="B24" s="1014">
        <f>'Staff Hour Summary - Firm'!B26</f>
        <v>0</v>
      </c>
      <c r="C24" s="1014">
        <f>'Staff Hour Summary - Firm'!C26</f>
        <v>0</v>
      </c>
      <c r="D24" s="1014">
        <f>'Staff Hour Summary - Firm'!D26</f>
        <v>0</v>
      </c>
      <c r="E24" s="1014">
        <f>'Staff Hour Summary - Firm'!E26</f>
        <v>0</v>
      </c>
      <c r="F24" s="1014">
        <f>'Staff Hour Summary - Firm'!F26</f>
        <v>0</v>
      </c>
      <c r="G24" s="1014">
        <f>'Staff Hour Summary - Firm'!G26</f>
        <v>0</v>
      </c>
      <c r="H24" s="1014">
        <f>'Staff Hour Summary - Firm'!H26</f>
        <v>0</v>
      </c>
      <c r="I24" s="1014">
        <f>'Staff Hour Summary - Firm'!I26</f>
        <v>0</v>
      </c>
      <c r="J24" s="1014">
        <f>'Staff Hour Summary - Firm'!J26</f>
        <v>0</v>
      </c>
      <c r="K24" s="1014">
        <f>'Staff Hour Summary - Firm'!K26</f>
        <v>0</v>
      </c>
      <c r="L24" s="1014">
        <f>'Staff Hour Summary - Firm'!L26</f>
        <v>0</v>
      </c>
      <c r="M24" s="1014">
        <f>'Staff Hour Summary - Firm'!M26</f>
        <v>0</v>
      </c>
      <c r="N24" s="1014">
        <f>'Staff Hour Summary - Firm'!N26</f>
        <v>0</v>
      </c>
      <c r="O24" s="1014">
        <f t="shared" si="5"/>
        <v>0</v>
      </c>
      <c r="P24" s="1433">
        <f t="shared" si="6"/>
        <v>0</v>
      </c>
      <c r="Q24" s="1465" t="e">
        <f t="shared" si="4"/>
        <v>#DIV/0!</v>
      </c>
      <c r="R24" s="32"/>
      <c r="S24" s="32"/>
    </row>
    <row r="25" spans="1:19" ht="18" customHeight="1">
      <c r="A25" s="1464" t="str">
        <f>'Staff Hour Summary - Firm'!A27</f>
        <v>16. Structures - Movable Span</v>
      </c>
      <c r="B25" s="1014">
        <f>'Staff Hour Summary - Firm'!B27</f>
        <v>0</v>
      </c>
      <c r="C25" s="1014">
        <f>'Staff Hour Summary - Firm'!C27</f>
        <v>0</v>
      </c>
      <c r="D25" s="1014">
        <f>'Staff Hour Summary - Firm'!D27</f>
        <v>0</v>
      </c>
      <c r="E25" s="1014">
        <f>'Staff Hour Summary - Firm'!E27</f>
        <v>0</v>
      </c>
      <c r="F25" s="1014">
        <f>'Staff Hour Summary - Firm'!F27</f>
        <v>0</v>
      </c>
      <c r="G25" s="1014">
        <f>'Staff Hour Summary - Firm'!G27</f>
        <v>0</v>
      </c>
      <c r="H25" s="1014">
        <f>'Staff Hour Summary - Firm'!H27</f>
        <v>0</v>
      </c>
      <c r="I25" s="1014">
        <f>'Staff Hour Summary - Firm'!I27</f>
        <v>0</v>
      </c>
      <c r="J25" s="1014">
        <f>'Staff Hour Summary - Firm'!J27</f>
        <v>0</v>
      </c>
      <c r="K25" s="1014">
        <f>'Staff Hour Summary - Firm'!K27</f>
        <v>0</v>
      </c>
      <c r="L25" s="1014">
        <f>'Staff Hour Summary - Firm'!L27</f>
        <v>0</v>
      </c>
      <c r="M25" s="1014">
        <f>'Staff Hour Summary - Firm'!M27</f>
        <v>0</v>
      </c>
      <c r="N25" s="1014">
        <f>'Staff Hour Summary - Firm'!N27</f>
        <v>0</v>
      </c>
      <c r="O25" s="1014">
        <f t="shared" si="5"/>
        <v>0</v>
      </c>
      <c r="P25" s="1433">
        <f t="shared" si="6"/>
        <v>0</v>
      </c>
      <c r="Q25" s="1465" t="e">
        <f t="shared" si="4"/>
        <v>#DIV/0!</v>
      </c>
      <c r="R25" s="32"/>
      <c r="S25" s="32"/>
    </row>
    <row r="26" spans="1:19" ht="18" customHeight="1">
      <c r="A26" s="1464" t="str">
        <f>'Staff Hour Summary - Firm'!A28</f>
        <v>17. Structures - Retaining Walls</v>
      </c>
      <c r="B26" s="1014">
        <f>'Staff Hour Summary - Firm'!B28</f>
        <v>0</v>
      </c>
      <c r="C26" s="1014">
        <f>'Staff Hour Summary - Firm'!C28</f>
        <v>0</v>
      </c>
      <c r="D26" s="1014">
        <f>'Staff Hour Summary - Firm'!D28</f>
        <v>0</v>
      </c>
      <c r="E26" s="1014">
        <f>'Staff Hour Summary - Firm'!E28</f>
        <v>0</v>
      </c>
      <c r="F26" s="1014">
        <f>'Staff Hour Summary - Firm'!F28</f>
        <v>0</v>
      </c>
      <c r="G26" s="1014">
        <f>'Staff Hour Summary - Firm'!G28</f>
        <v>0</v>
      </c>
      <c r="H26" s="1014">
        <f>'Staff Hour Summary - Firm'!H28</f>
        <v>0</v>
      </c>
      <c r="I26" s="1014">
        <f>'Staff Hour Summary - Firm'!I28</f>
        <v>0</v>
      </c>
      <c r="J26" s="1014">
        <f>'Staff Hour Summary - Firm'!J28</f>
        <v>0</v>
      </c>
      <c r="K26" s="1014">
        <f>'Staff Hour Summary - Firm'!K28</f>
        <v>0</v>
      </c>
      <c r="L26" s="1014">
        <f>'Staff Hour Summary - Firm'!L28</f>
        <v>0</v>
      </c>
      <c r="M26" s="1014">
        <f>'Staff Hour Summary - Firm'!M28</f>
        <v>0</v>
      </c>
      <c r="N26" s="1014">
        <f>'Staff Hour Summary - Firm'!N28</f>
        <v>0</v>
      </c>
      <c r="O26" s="1014">
        <f t="shared" si="5"/>
        <v>0</v>
      </c>
      <c r="P26" s="1433">
        <f t="shared" si="6"/>
        <v>0</v>
      </c>
      <c r="Q26" s="1465" t="e">
        <f t="shared" si="4"/>
        <v>#DIV/0!</v>
      </c>
      <c r="R26" s="32"/>
      <c r="S26" s="32"/>
    </row>
    <row r="27" spans="1:19" ht="18" customHeight="1">
      <c r="A27" s="1464" t="str">
        <f>'Staff Hour Summary - Firm'!A29</f>
        <v>18. Structures - Miscellaneous</v>
      </c>
      <c r="B27" s="1014">
        <f>'Staff Hour Summary - Firm'!B29</f>
        <v>0</v>
      </c>
      <c r="C27" s="1014">
        <f>'Staff Hour Summary - Firm'!C29</f>
        <v>0</v>
      </c>
      <c r="D27" s="1014">
        <f>'Staff Hour Summary - Firm'!D29</f>
        <v>0</v>
      </c>
      <c r="E27" s="1014">
        <f>'Staff Hour Summary - Firm'!E29</f>
        <v>0</v>
      </c>
      <c r="F27" s="1014">
        <f>'Staff Hour Summary - Firm'!F29</f>
        <v>0</v>
      </c>
      <c r="G27" s="1014">
        <f>'Staff Hour Summary - Firm'!G29</f>
        <v>0</v>
      </c>
      <c r="H27" s="1014">
        <f>'Staff Hour Summary - Firm'!H29</f>
        <v>0</v>
      </c>
      <c r="I27" s="1014">
        <f>'Staff Hour Summary - Firm'!I29</f>
        <v>0</v>
      </c>
      <c r="J27" s="1014">
        <f>'Staff Hour Summary - Firm'!J29</f>
        <v>0</v>
      </c>
      <c r="K27" s="1014">
        <f>'Staff Hour Summary - Firm'!K29</f>
        <v>0</v>
      </c>
      <c r="L27" s="1014">
        <f>'Staff Hour Summary - Firm'!L29</f>
        <v>0</v>
      </c>
      <c r="M27" s="1014">
        <f>'Staff Hour Summary - Firm'!M29</f>
        <v>0</v>
      </c>
      <c r="N27" s="1014">
        <f>'Staff Hour Summary - Firm'!N29</f>
        <v>0</v>
      </c>
      <c r="O27" s="1014">
        <f t="shared" si="5"/>
        <v>0</v>
      </c>
      <c r="P27" s="1433">
        <f t="shared" si="6"/>
        <v>0</v>
      </c>
      <c r="Q27" s="1465" t="e">
        <f t="shared" si="4"/>
        <v>#DIV/0!</v>
      </c>
      <c r="R27" s="32"/>
      <c r="S27" s="32"/>
    </row>
    <row r="28" spans="1:19" ht="18" customHeight="1">
      <c r="A28" s="1464" t="str">
        <f>'Staff Hour Summary - Firm'!A30</f>
        <v>19. Signing &amp; Pavement Marking Analysis</v>
      </c>
      <c r="B28" s="1014">
        <f>'Staff Hour Summary - Firm'!B30</f>
        <v>0</v>
      </c>
      <c r="C28" s="1014">
        <f>'Staff Hour Summary - Firm'!C30</f>
        <v>0</v>
      </c>
      <c r="D28" s="1014">
        <f>'Staff Hour Summary - Firm'!D30</f>
        <v>0</v>
      </c>
      <c r="E28" s="1014">
        <f>'Staff Hour Summary - Firm'!E30</f>
        <v>0</v>
      </c>
      <c r="F28" s="1014">
        <f>'Staff Hour Summary - Firm'!F30</f>
        <v>0</v>
      </c>
      <c r="G28" s="1014">
        <f>'Staff Hour Summary - Firm'!G30</f>
        <v>0</v>
      </c>
      <c r="H28" s="1014">
        <f>'Staff Hour Summary - Firm'!H30</f>
        <v>0</v>
      </c>
      <c r="I28" s="1014">
        <f>'Staff Hour Summary - Firm'!I30</f>
        <v>0</v>
      </c>
      <c r="J28" s="1014">
        <f>'Staff Hour Summary - Firm'!J30</f>
        <v>0</v>
      </c>
      <c r="K28" s="1014">
        <f>'Staff Hour Summary - Firm'!K30</f>
        <v>0</v>
      </c>
      <c r="L28" s="1014">
        <f>'Staff Hour Summary - Firm'!L30</f>
        <v>0</v>
      </c>
      <c r="M28" s="1014">
        <f>'Staff Hour Summary - Firm'!M30</f>
        <v>0</v>
      </c>
      <c r="N28" s="1014">
        <f>'Staff Hour Summary - Firm'!N30</f>
        <v>0</v>
      </c>
      <c r="O28" s="1014">
        <f t="shared" si="5"/>
        <v>0</v>
      </c>
      <c r="P28" s="1433">
        <f t="shared" si="6"/>
        <v>0</v>
      </c>
      <c r="Q28" s="1465" t="e">
        <f t="shared" si="4"/>
        <v>#DIV/0!</v>
      </c>
      <c r="R28" s="32"/>
      <c r="S28" s="32"/>
    </row>
    <row r="29" spans="1:19" ht="18" customHeight="1">
      <c r="A29" s="1464" t="str">
        <f>'Staff Hour Summary - Firm'!A31</f>
        <v>20. Signing &amp; Pavement Marking Plans</v>
      </c>
      <c r="B29" s="1014">
        <f>'Staff Hour Summary - Firm'!B31</f>
        <v>0</v>
      </c>
      <c r="C29" s="1014">
        <f>'Staff Hour Summary - Firm'!C31</f>
        <v>0</v>
      </c>
      <c r="D29" s="1014">
        <f>'Staff Hour Summary - Firm'!D31</f>
        <v>0</v>
      </c>
      <c r="E29" s="1014">
        <f>'Staff Hour Summary - Firm'!E31</f>
        <v>0</v>
      </c>
      <c r="F29" s="1014">
        <f>'Staff Hour Summary - Firm'!F31</f>
        <v>0</v>
      </c>
      <c r="G29" s="1014">
        <f>'Staff Hour Summary - Firm'!G31</f>
        <v>0</v>
      </c>
      <c r="H29" s="1014">
        <f>'Staff Hour Summary - Firm'!H31</f>
        <v>0</v>
      </c>
      <c r="I29" s="1014">
        <f>'Staff Hour Summary - Firm'!I31</f>
        <v>0</v>
      </c>
      <c r="J29" s="1014">
        <f>'Staff Hour Summary - Firm'!J31</f>
        <v>0</v>
      </c>
      <c r="K29" s="1014">
        <f>'Staff Hour Summary - Firm'!K31</f>
        <v>0</v>
      </c>
      <c r="L29" s="1014">
        <f>'Staff Hour Summary - Firm'!L31</f>
        <v>0</v>
      </c>
      <c r="M29" s="1014">
        <f>'Staff Hour Summary - Firm'!M31</f>
        <v>0</v>
      </c>
      <c r="N29" s="1014">
        <f>'Staff Hour Summary - Firm'!N31</f>
        <v>0</v>
      </c>
      <c r="O29" s="1014">
        <f t="shared" si="5"/>
        <v>0</v>
      </c>
      <c r="P29" s="1433">
        <f t="shared" si="6"/>
        <v>0</v>
      </c>
      <c r="Q29" s="1465" t="e">
        <f t="shared" si="4"/>
        <v>#DIV/0!</v>
      </c>
      <c r="R29" s="32"/>
      <c r="S29" s="32"/>
    </row>
    <row r="30" spans="1:19" ht="18" customHeight="1">
      <c r="A30" s="1464" t="str">
        <f>'Staff Hour Summary - Firm'!A32</f>
        <v>21. Signalization Analysis</v>
      </c>
      <c r="B30" s="1014">
        <f>'Staff Hour Summary - Firm'!B32</f>
        <v>0</v>
      </c>
      <c r="C30" s="1014">
        <f>'Staff Hour Summary - Firm'!C32</f>
        <v>0</v>
      </c>
      <c r="D30" s="1014">
        <f>'Staff Hour Summary - Firm'!D32</f>
        <v>0</v>
      </c>
      <c r="E30" s="1014">
        <f>'Staff Hour Summary - Firm'!E32</f>
        <v>0</v>
      </c>
      <c r="F30" s="1014">
        <f>'Staff Hour Summary - Firm'!F32</f>
        <v>0</v>
      </c>
      <c r="G30" s="1014">
        <f>'Staff Hour Summary - Firm'!G32</f>
        <v>0</v>
      </c>
      <c r="H30" s="1014">
        <f>'Staff Hour Summary - Firm'!H32</f>
        <v>0</v>
      </c>
      <c r="I30" s="1014">
        <f>'Staff Hour Summary - Firm'!I32</f>
        <v>0</v>
      </c>
      <c r="J30" s="1014">
        <f>'Staff Hour Summary - Firm'!J32</f>
        <v>0</v>
      </c>
      <c r="K30" s="1014">
        <f>'Staff Hour Summary - Firm'!K32</f>
        <v>0</v>
      </c>
      <c r="L30" s="1014">
        <f>'Staff Hour Summary - Firm'!L32</f>
        <v>0</v>
      </c>
      <c r="M30" s="1014">
        <f>'Staff Hour Summary - Firm'!M32</f>
        <v>0</v>
      </c>
      <c r="N30" s="1014">
        <f>'Staff Hour Summary - Firm'!N32</f>
        <v>0</v>
      </c>
      <c r="O30" s="1014">
        <f t="shared" si="5"/>
        <v>0</v>
      </c>
      <c r="P30" s="1433">
        <f t="shared" si="6"/>
        <v>0</v>
      </c>
      <c r="Q30" s="1465" t="e">
        <f t="shared" si="4"/>
        <v>#DIV/0!</v>
      </c>
      <c r="R30" s="32"/>
      <c r="S30" s="32"/>
    </row>
    <row r="31" spans="1:19" ht="18" customHeight="1">
      <c r="A31" s="1464" t="str">
        <f>'Staff Hour Summary - Firm'!A33</f>
        <v>22. Signalization Plans</v>
      </c>
      <c r="B31" s="1014">
        <f>'Staff Hour Summary - Firm'!B33</f>
        <v>0</v>
      </c>
      <c r="C31" s="1014">
        <f>'Staff Hour Summary - Firm'!C33</f>
        <v>0</v>
      </c>
      <c r="D31" s="1014">
        <f>'Staff Hour Summary - Firm'!D33</f>
        <v>0</v>
      </c>
      <c r="E31" s="1014">
        <f>'Staff Hour Summary - Firm'!E33</f>
        <v>0</v>
      </c>
      <c r="F31" s="1014">
        <f>'Staff Hour Summary - Firm'!F33</f>
        <v>0</v>
      </c>
      <c r="G31" s="1014">
        <f>'Staff Hour Summary - Firm'!G33</f>
        <v>0</v>
      </c>
      <c r="H31" s="1014">
        <f>'Staff Hour Summary - Firm'!H33</f>
        <v>0</v>
      </c>
      <c r="I31" s="1014">
        <f>'Staff Hour Summary - Firm'!I33</f>
        <v>0</v>
      </c>
      <c r="J31" s="1014">
        <f>'Staff Hour Summary - Firm'!J33</f>
        <v>0</v>
      </c>
      <c r="K31" s="1014">
        <f>'Staff Hour Summary - Firm'!K33</f>
        <v>0</v>
      </c>
      <c r="L31" s="1014">
        <f>'Staff Hour Summary - Firm'!L33</f>
        <v>0</v>
      </c>
      <c r="M31" s="1014">
        <f>'Staff Hour Summary - Firm'!M33</f>
        <v>0</v>
      </c>
      <c r="N31" s="1014">
        <f>'Staff Hour Summary - Firm'!N33</f>
        <v>0</v>
      </c>
      <c r="O31" s="1014">
        <f t="shared" si="5"/>
        <v>0</v>
      </c>
      <c r="P31" s="1433">
        <f t="shared" si="6"/>
        <v>0</v>
      </c>
      <c r="Q31" s="1465" t="e">
        <f t="shared" si="4"/>
        <v>#DIV/0!</v>
      </c>
      <c r="R31" s="32"/>
      <c r="S31" s="32"/>
    </row>
    <row r="32" spans="1:19" ht="18" customHeight="1">
      <c r="A32" s="1464" t="str">
        <f>'Staff Hour Summary - Firm'!A34</f>
        <v>23. Lighting Analysis</v>
      </c>
      <c r="B32" s="1014">
        <f>'Staff Hour Summary - Firm'!B34</f>
        <v>0</v>
      </c>
      <c r="C32" s="1014">
        <f>'Staff Hour Summary - Firm'!C34</f>
        <v>0</v>
      </c>
      <c r="D32" s="1014">
        <f>'Staff Hour Summary - Firm'!D34</f>
        <v>0</v>
      </c>
      <c r="E32" s="1014">
        <f>'Staff Hour Summary - Firm'!E34</f>
        <v>0</v>
      </c>
      <c r="F32" s="1014">
        <f>'Staff Hour Summary - Firm'!F34</f>
        <v>0</v>
      </c>
      <c r="G32" s="1014">
        <f>'Staff Hour Summary - Firm'!G34</f>
        <v>0</v>
      </c>
      <c r="H32" s="1014">
        <f>'Staff Hour Summary - Firm'!H34</f>
        <v>0</v>
      </c>
      <c r="I32" s="1014">
        <f>'Staff Hour Summary - Firm'!I34</f>
        <v>0</v>
      </c>
      <c r="J32" s="1014">
        <f>'Staff Hour Summary - Firm'!J34</f>
        <v>0</v>
      </c>
      <c r="K32" s="1014">
        <f>'Staff Hour Summary - Firm'!K34</f>
        <v>0</v>
      </c>
      <c r="L32" s="1014">
        <f>'Staff Hour Summary - Firm'!L34</f>
        <v>0</v>
      </c>
      <c r="M32" s="1014">
        <f>'Staff Hour Summary - Firm'!M34</f>
        <v>0</v>
      </c>
      <c r="N32" s="1014">
        <f>'Staff Hour Summary - Firm'!N34</f>
        <v>0</v>
      </c>
      <c r="O32" s="1014">
        <f t="shared" si="5"/>
        <v>0</v>
      </c>
      <c r="P32" s="1433">
        <f t="shared" si="6"/>
        <v>0</v>
      </c>
      <c r="Q32" s="1465" t="e">
        <f t="shared" si="4"/>
        <v>#DIV/0!</v>
      </c>
      <c r="R32" s="32"/>
      <c r="S32" s="32"/>
    </row>
    <row r="33" spans="1:19" ht="18" customHeight="1">
      <c r="A33" s="1464" t="str">
        <f>'Staff Hour Summary - Firm'!A35</f>
        <v>24. Lighting Plans</v>
      </c>
      <c r="B33" s="1014">
        <f>'Staff Hour Summary - Firm'!B35</f>
        <v>0</v>
      </c>
      <c r="C33" s="1014">
        <f>'Staff Hour Summary - Firm'!C35</f>
        <v>0</v>
      </c>
      <c r="D33" s="1014">
        <f>'Staff Hour Summary - Firm'!D35</f>
        <v>0</v>
      </c>
      <c r="E33" s="1014">
        <f>'Staff Hour Summary - Firm'!E35</f>
        <v>0</v>
      </c>
      <c r="F33" s="1014">
        <f>'Staff Hour Summary - Firm'!F35</f>
        <v>0</v>
      </c>
      <c r="G33" s="1014">
        <f>'Staff Hour Summary - Firm'!G35</f>
        <v>0</v>
      </c>
      <c r="H33" s="1014">
        <f>'Staff Hour Summary - Firm'!H35</f>
        <v>0</v>
      </c>
      <c r="I33" s="1014">
        <f>'Staff Hour Summary - Firm'!I35</f>
        <v>0</v>
      </c>
      <c r="J33" s="1014">
        <f>'Staff Hour Summary - Firm'!J35</f>
        <v>0</v>
      </c>
      <c r="K33" s="1014">
        <f>'Staff Hour Summary - Firm'!K35</f>
        <v>0</v>
      </c>
      <c r="L33" s="1014">
        <f>'Staff Hour Summary - Firm'!L35</f>
        <v>0</v>
      </c>
      <c r="M33" s="1014">
        <f>'Staff Hour Summary - Firm'!M35</f>
        <v>0</v>
      </c>
      <c r="N33" s="1014">
        <f>'Staff Hour Summary - Firm'!N35</f>
        <v>0</v>
      </c>
      <c r="O33" s="1014">
        <f t="shared" si="5"/>
        <v>0</v>
      </c>
      <c r="P33" s="1433">
        <f t="shared" si="6"/>
        <v>0</v>
      </c>
      <c r="Q33" s="1465" t="e">
        <f t="shared" si="4"/>
        <v>#DIV/0!</v>
      </c>
      <c r="R33" s="32"/>
      <c r="S33" s="32"/>
    </row>
    <row r="34" spans="1:19" ht="18" customHeight="1">
      <c r="A34" s="1464" t="str">
        <f>'Staff Hour Summary - Firm'!A36</f>
        <v>25. Landscape Analysis</v>
      </c>
      <c r="B34" s="1014">
        <f>'Staff Hour Summary - Firm'!B36</f>
        <v>0</v>
      </c>
      <c r="C34" s="1014">
        <f>'Staff Hour Summary - Firm'!C36</f>
        <v>0</v>
      </c>
      <c r="D34" s="1014">
        <f>'Staff Hour Summary - Firm'!D36</f>
        <v>0</v>
      </c>
      <c r="E34" s="1014">
        <f>'Staff Hour Summary - Firm'!E36</f>
        <v>0</v>
      </c>
      <c r="F34" s="1014">
        <f>'Staff Hour Summary - Firm'!F36</f>
        <v>0</v>
      </c>
      <c r="G34" s="1014">
        <f>'Staff Hour Summary - Firm'!G36</f>
        <v>0</v>
      </c>
      <c r="H34" s="1014">
        <f>'Staff Hour Summary - Firm'!H36</f>
        <v>0</v>
      </c>
      <c r="I34" s="1014">
        <f>'Staff Hour Summary - Firm'!I36</f>
        <v>0</v>
      </c>
      <c r="J34" s="1014">
        <f>'Staff Hour Summary - Firm'!J36</f>
        <v>0</v>
      </c>
      <c r="K34" s="1014">
        <f>'Staff Hour Summary - Firm'!K36</f>
        <v>0</v>
      </c>
      <c r="L34" s="1014">
        <f>'Staff Hour Summary - Firm'!L36</f>
        <v>0</v>
      </c>
      <c r="M34" s="1014">
        <f>'Staff Hour Summary - Firm'!M36</f>
        <v>0</v>
      </c>
      <c r="N34" s="1014">
        <f>'Staff Hour Summary - Firm'!N36</f>
        <v>0</v>
      </c>
      <c r="O34" s="1014">
        <f t="shared" si="5"/>
        <v>0</v>
      </c>
      <c r="P34" s="1433">
        <f t="shared" si="6"/>
        <v>0</v>
      </c>
      <c r="Q34" s="1465" t="e">
        <f t="shared" si="4"/>
        <v>#DIV/0!</v>
      </c>
      <c r="R34" s="32"/>
      <c r="S34" s="32"/>
    </row>
    <row r="35" spans="1:19" ht="18" customHeight="1">
      <c r="A35" s="1464" t="str">
        <f>'Staff Hour Summary - Firm'!A37</f>
        <v>26. Landscape Plans</v>
      </c>
      <c r="B35" s="1014">
        <f>'Staff Hour Summary - Firm'!B37</f>
        <v>0</v>
      </c>
      <c r="C35" s="1014">
        <f>'Staff Hour Summary - Firm'!C37</f>
        <v>0</v>
      </c>
      <c r="D35" s="1014">
        <f>'Staff Hour Summary - Firm'!D37</f>
        <v>0</v>
      </c>
      <c r="E35" s="1014">
        <f>'Staff Hour Summary - Firm'!E37</f>
        <v>0</v>
      </c>
      <c r="F35" s="1014">
        <f>'Staff Hour Summary - Firm'!F37</f>
        <v>0</v>
      </c>
      <c r="G35" s="1014">
        <f>'Staff Hour Summary - Firm'!G37</f>
        <v>0</v>
      </c>
      <c r="H35" s="1014">
        <f>'Staff Hour Summary - Firm'!H37</f>
        <v>0</v>
      </c>
      <c r="I35" s="1014">
        <f>'Staff Hour Summary - Firm'!I37</f>
        <v>0</v>
      </c>
      <c r="J35" s="1014">
        <f>'Staff Hour Summary - Firm'!J37</f>
        <v>0</v>
      </c>
      <c r="K35" s="1014">
        <f>'Staff Hour Summary - Firm'!K37</f>
        <v>0</v>
      </c>
      <c r="L35" s="1014">
        <f>'Staff Hour Summary - Firm'!L37</f>
        <v>0</v>
      </c>
      <c r="M35" s="1014">
        <f>'Staff Hour Summary - Firm'!M37</f>
        <v>0</v>
      </c>
      <c r="N35" s="1014">
        <f>'Staff Hour Summary - Firm'!N37</f>
        <v>0</v>
      </c>
      <c r="O35" s="1014">
        <f t="shared" si="5"/>
        <v>0</v>
      </c>
      <c r="P35" s="1433">
        <f t="shared" si="6"/>
        <v>0</v>
      </c>
      <c r="Q35" s="1465" t="e">
        <f t="shared" si="4"/>
        <v>#DIV/0!</v>
      </c>
      <c r="R35" s="32"/>
      <c r="S35" s="32"/>
    </row>
    <row r="36" spans="1:19" ht="18" customHeight="1">
      <c r="A36" s="1464" t="str">
        <f>'Staff Hour Summary - Firm'!A38</f>
        <v>27. Survey (Field &amp; Office Support)</v>
      </c>
      <c r="B36" s="1014">
        <f>'Staff Hour Summary - Firm'!B38</f>
        <v>0</v>
      </c>
      <c r="C36" s="1014">
        <f>'Staff Hour Summary - Firm'!C38</f>
        <v>0</v>
      </c>
      <c r="D36" s="1014">
        <f>'Staff Hour Summary - Firm'!D38</f>
        <v>0</v>
      </c>
      <c r="E36" s="1014">
        <f>'Staff Hour Summary - Firm'!E38</f>
        <v>0</v>
      </c>
      <c r="F36" s="1014">
        <f>'Staff Hour Summary - Firm'!F38</f>
        <v>0</v>
      </c>
      <c r="G36" s="1014">
        <f>'Staff Hour Summary - Firm'!G38</f>
        <v>0</v>
      </c>
      <c r="H36" s="1014">
        <f>'Staff Hour Summary - Firm'!H38</f>
        <v>0</v>
      </c>
      <c r="I36" s="1014">
        <f>'Staff Hour Summary - Firm'!I38</f>
        <v>0</v>
      </c>
      <c r="J36" s="1014">
        <f>'Staff Hour Summary - Firm'!J38</f>
        <v>0</v>
      </c>
      <c r="K36" s="1014">
        <f>'Staff Hour Summary - Firm'!K38</f>
        <v>0</v>
      </c>
      <c r="L36" s="1014">
        <f>'Staff Hour Summary - Firm'!L38</f>
        <v>0</v>
      </c>
      <c r="M36" s="1014">
        <f>'Staff Hour Summary - Firm'!M38</f>
        <v>0</v>
      </c>
      <c r="N36" s="1014">
        <f>'Staff Hour Summary - Firm'!N38</f>
        <v>0</v>
      </c>
      <c r="O36" s="1014">
        <f t="shared" si="5"/>
        <v>0</v>
      </c>
      <c r="P36" s="1433">
        <f t="shared" si="6"/>
        <v>0</v>
      </c>
      <c r="Q36" s="1465" t="e">
        <f t="shared" si="4"/>
        <v>#DIV/0!</v>
      </c>
      <c r="R36" s="32"/>
      <c r="S36" s="32"/>
    </row>
    <row r="37" spans="1:19" ht="18" customHeight="1">
      <c r="A37" s="1464" t="str">
        <f>'Staff Hour Summary - Firm'!A39</f>
        <v>28. Photogrammetry</v>
      </c>
      <c r="B37" s="1014">
        <f>'Staff Hour Summary - Firm'!B39</f>
        <v>0</v>
      </c>
      <c r="C37" s="1014">
        <f>'Staff Hour Summary - Firm'!C39</f>
        <v>0</v>
      </c>
      <c r="D37" s="1014">
        <f>'Staff Hour Summary - Firm'!D39</f>
        <v>0</v>
      </c>
      <c r="E37" s="1014">
        <f>'Staff Hour Summary - Firm'!E39</f>
        <v>0</v>
      </c>
      <c r="F37" s="1014">
        <f>'Staff Hour Summary - Firm'!F39</f>
        <v>0</v>
      </c>
      <c r="G37" s="1014">
        <f>'Staff Hour Summary - Firm'!G39</f>
        <v>0</v>
      </c>
      <c r="H37" s="1014">
        <f>'Staff Hour Summary - Firm'!H39</f>
        <v>0</v>
      </c>
      <c r="I37" s="1014">
        <f>'Staff Hour Summary - Firm'!I39</f>
        <v>0</v>
      </c>
      <c r="J37" s="1014">
        <f>'Staff Hour Summary - Firm'!J39</f>
        <v>0</v>
      </c>
      <c r="K37" s="1014">
        <f>'Staff Hour Summary - Firm'!K39</f>
        <v>0</v>
      </c>
      <c r="L37" s="1014">
        <f>'Staff Hour Summary - Firm'!L39</f>
        <v>0</v>
      </c>
      <c r="M37" s="1014">
        <f>'Staff Hour Summary - Firm'!M39</f>
        <v>0</v>
      </c>
      <c r="N37" s="1014">
        <f>'Staff Hour Summary - Firm'!N39</f>
        <v>0</v>
      </c>
      <c r="O37" s="1014">
        <f t="shared" si="5"/>
        <v>0</v>
      </c>
      <c r="P37" s="1433">
        <f t="shared" si="6"/>
        <v>0</v>
      </c>
      <c r="Q37" s="1465" t="e">
        <f t="shared" si="4"/>
        <v>#DIV/0!</v>
      </c>
      <c r="R37" s="32"/>
      <c r="S37" s="32"/>
    </row>
    <row r="38" spans="1:19" ht="18" customHeight="1">
      <c r="A38" s="1464" t="str">
        <f>'Staff Hour Summary - Firm'!A40</f>
        <v>29. Mapping</v>
      </c>
      <c r="B38" s="1014">
        <f>'Staff Hour Summary - Firm'!B40</f>
        <v>0</v>
      </c>
      <c r="C38" s="1014">
        <f>'Staff Hour Summary - Firm'!C40</f>
        <v>0</v>
      </c>
      <c r="D38" s="1014">
        <f>'Staff Hour Summary - Firm'!D40</f>
        <v>0</v>
      </c>
      <c r="E38" s="1014">
        <f>'Staff Hour Summary - Firm'!E40</f>
        <v>0</v>
      </c>
      <c r="F38" s="1014">
        <f>'Staff Hour Summary - Firm'!F40</f>
        <v>0</v>
      </c>
      <c r="G38" s="1014">
        <f>'Staff Hour Summary - Firm'!G40</f>
        <v>0</v>
      </c>
      <c r="H38" s="1014">
        <f>'Staff Hour Summary - Firm'!H40</f>
        <v>0</v>
      </c>
      <c r="I38" s="1014">
        <f>'Staff Hour Summary - Firm'!I40</f>
        <v>0</v>
      </c>
      <c r="J38" s="1014">
        <f>'Staff Hour Summary - Firm'!J40</f>
        <v>0</v>
      </c>
      <c r="K38" s="1014">
        <f>'Staff Hour Summary - Firm'!K40</f>
        <v>0</v>
      </c>
      <c r="L38" s="1014">
        <f>'Staff Hour Summary - Firm'!L40</f>
        <v>0</v>
      </c>
      <c r="M38" s="1014">
        <f>'Staff Hour Summary - Firm'!M40</f>
        <v>0</v>
      </c>
      <c r="N38" s="1014">
        <f>'Staff Hour Summary - Firm'!N40</f>
        <v>0</v>
      </c>
      <c r="O38" s="1014">
        <f t="shared" si="5"/>
        <v>0</v>
      </c>
      <c r="P38" s="1433">
        <f t="shared" si="6"/>
        <v>0</v>
      </c>
      <c r="Q38" s="1465" t="e">
        <f t="shared" si="4"/>
        <v>#DIV/0!</v>
      </c>
      <c r="R38" s="32"/>
      <c r="S38" s="32"/>
    </row>
    <row r="39" spans="1:19" ht="18" customHeight="1">
      <c r="A39" s="1464" t="str">
        <f>'Staff Hour Summary - Firm'!A41</f>
        <v>30. Terrestrial Mobile LiDAR</v>
      </c>
      <c r="B39" s="1014">
        <f>'Staff Hour Summary - Firm'!B41</f>
        <v>0</v>
      </c>
      <c r="C39" s="1014">
        <f>'Staff Hour Summary - Firm'!C41</f>
        <v>0</v>
      </c>
      <c r="D39" s="1014">
        <f>'Staff Hour Summary - Firm'!D41</f>
        <v>0</v>
      </c>
      <c r="E39" s="1014">
        <f>'Staff Hour Summary - Firm'!E41</f>
        <v>0</v>
      </c>
      <c r="F39" s="1014">
        <f>'Staff Hour Summary - Firm'!F41</f>
        <v>0</v>
      </c>
      <c r="G39" s="1014">
        <f>'Staff Hour Summary - Firm'!G41</f>
        <v>0</v>
      </c>
      <c r="H39" s="1014">
        <f>'Staff Hour Summary - Firm'!H41</f>
        <v>0</v>
      </c>
      <c r="I39" s="1014">
        <f>'Staff Hour Summary - Firm'!I41</f>
        <v>0</v>
      </c>
      <c r="J39" s="1014">
        <f>'Staff Hour Summary - Firm'!J41</f>
        <v>0</v>
      </c>
      <c r="K39" s="1014">
        <f>'Staff Hour Summary - Firm'!K41</f>
        <v>0</v>
      </c>
      <c r="L39" s="1014">
        <f>'Staff Hour Summary - Firm'!L41</f>
        <v>0</v>
      </c>
      <c r="M39" s="1014">
        <f>'Staff Hour Summary - Firm'!M41</f>
        <v>0</v>
      </c>
      <c r="N39" s="1014">
        <f>'Staff Hour Summary - Firm'!N41</f>
        <v>0</v>
      </c>
      <c r="O39" s="1014">
        <f t="shared" si="5"/>
        <v>0</v>
      </c>
      <c r="P39" s="1433">
        <f t="shared" si="6"/>
        <v>0</v>
      </c>
      <c r="Q39" s="1465" t="e">
        <f t="shared" si="4"/>
        <v>#DIV/0!</v>
      </c>
      <c r="R39" s="32"/>
      <c r="S39" s="32"/>
    </row>
    <row r="40" spans="1:19" ht="18" customHeight="1">
      <c r="A40" s="1464" t="str">
        <f>'Staff Hour Summary - Firm'!A42</f>
        <v>31. Architecture Development</v>
      </c>
      <c r="B40" s="1014">
        <f>'Staff Hour Summary - Firm'!B42</f>
        <v>0</v>
      </c>
      <c r="C40" s="1014">
        <f>'Staff Hour Summary - Firm'!C42</f>
        <v>0</v>
      </c>
      <c r="D40" s="1014">
        <f>'Staff Hour Summary - Firm'!D42</f>
        <v>0</v>
      </c>
      <c r="E40" s="1014">
        <f>'Staff Hour Summary - Firm'!E42</f>
        <v>0</v>
      </c>
      <c r="F40" s="1014">
        <f>'Staff Hour Summary - Firm'!F42</f>
        <v>0</v>
      </c>
      <c r="G40" s="1014">
        <f>'Staff Hour Summary - Firm'!G42</f>
        <v>0</v>
      </c>
      <c r="H40" s="1014">
        <f>'Staff Hour Summary - Firm'!H42</f>
        <v>0</v>
      </c>
      <c r="I40" s="1014">
        <f>'Staff Hour Summary - Firm'!I42</f>
        <v>0</v>
      </c>
      <c r="J40" s="1014">
        <f>'Staff Hour Summary - Firm'!J42</f>
        <v>0</v>
      </c>
      <c r="K40" s="1014">
        <f>'Staff Hour Summary - Firm'!K42</f>
        <v>0</v>
      </c>
      <c r="L40" s="1014">
        <f>'Staff Hour Summary - Firm'!L42</f>
        <v>0</v>
      </c>
      <c r="M40" s="1014">
        <f>'Staff Hour Summary - Firm'!M42</f>
        <v>0</v>
      </c>
      <c r="N40" s="1014">
        <f>'Staff Hour Summary - Firm'!N42</f>
        <v>0</v>
      </c>
      <c r="O40" s="1014">
        <f t="shared" ref="O40:O44" si="7">SUM(C40:N40)</f>
        <v>0</v>
      </c>
      <c r="P40" s="1433">
        <f t="shared" ref="P40:P44" si="8">C40*$C$9+D40*$D$9+E40*$E$9+F40*$F$9+G40*$G$9+H40*$H$9+I40*$I$9+J40*$J$9+K40*$K$9+L40*$L$9+M40*$M$9+N40*$N$9</f>
        <v>0</v>
      </c>
      <c r="Q40" s="1465" t="e">
        <f t="shared" si="4"/>
        <v>#DIV/0!</v>
      </c>
      <c r="R40" s="32"/>
      <c r="S40" s="32"/>
    </row>
    <row r="41" spans="1:19" ht="18" customHeight="1">
      <c r="A41" s="1464" t="str">
        <f>'Staff Hour Summary - Firm'!A43</f>
        <v>32. Noise Barriers Impact Design Assessment</v>
      </c>
      <c r="B41" s="1014">
        <f>'Staff Hour Summary - Firm'!B43</f>
        <v>0</v>
      </c>
      <c r="C41" s="1014">
        <f>'Staff Hour Summary - Firm'!C43</f>
        <v>0</v>
      </c>
      <c r="D41" s="1014">
        <f>'Staff Hour Summary - Firm'!D43</f>
        <v>0</v>
      </c>
      <c r="E41" s="1014">
        <f>'Staff Hour Summary - Firm'!E43</f>
        <v>0</v>
      </c>
      <c r="F41" s="1014">
        <f>'Staff Hour Summary - Firm'!F43</f>
        <v>0</v>
      </c>
      <c r="G41" s="1014">
        <f>'Staff Hour Summary - Firm'!G43</f>
        <v>0</v>
      </c>
      <c r="H41" s="1014">
        <f>'Staff Hour Summary - Firm'!H43</f>
        <v>0</v>
      </c>
      <c r="I41" s="1014">
        <f>'Staff Hour Summary - Firm'!I43</f>
        <v>0</v>
      </c>
      <c r="J41" s="1014">
        <f>'Staff Hour Summary - Firm'!J43</f>
        <v>0</v>
      </c>
      <c r="K41" s="1014">
        <f>'Staff Hour Summary - Firm'!K43</f>
        <v>0</v>
      </c>
      <c r="L41" s="1014">
        <f>'Staff Hour Summary - Firm'!L43</f>
        <v>0</v>
      </c>
      <c r="M41" s="1014">
        <f>'Staff Hour Summary - Firm'!M43</f>
        <v>0</v>
      </c>
      <c r="N41" s="1014">
        <f>'Staff Hour Summary - Firm'!N43</f>
        <v>0</v>
      </c>
      <c r="O41" s="1014">
        <f t="shared" si="7"/>
        <v>0</v>
      </c>
      <c r="P41" s="1433">
        <f t="shared" si="8"/>
        <v>0</v>
      </c>
      <c r="Q41" s="1465" t="e">
        <f t="shared" si="4"/>
        <v>#DIV/0!</v>
      </c>
      <c r="R41" s="32"/>
      <c r="S41" s="32"/>
    </row>
    <row r="42" spans="1:19" ht="18" customHeight="1">
      <c r="A42" s="1464" t="str">
        <f>'Staff Hour Summary - Firm'!A44</f>
        <v>33. Intelligent Transportation Systems Analysis</v>
      </c>
      <c r="B42" s="1014">
        <f>'Staff Hour Summary - Firm'!B44</f>
        <v>0</v>
      </c>
      <c r="C42" s="1014">
        <f>'Staff Hour Summary - Firm'!C44</f>
        <v>0</v>
      </c>
      <c r="D42" s="1014">
        <f>'Staff Hour Summary - Firm'!D44</f>
        <v>0</v>
      </c>
      <c r="E42" s="1014">
        <f>'Staff Hour Summary - Firm'!E44</f>
        <v>0</v>
      </c>
      <c r="F42" s="1014">
        <f>'Staff Hour Summary - Firm'!F44</f>
        <v>0</v>
      </c>
      <c r="G42" s="1014">
        <f>'Staff Hour Summary - Firm'!G44</f>
        <v>0</v>
      </c>
      <c r="H42" s="1014">
        <f>'Staff Hour Summary - Firm'!H44</f>
        <v>0</v>
      </c>
      <c r="I42" s="1014">
        <f>'Staff Hour Summary - Firm'!I44</f>
        <v>0</v>
      </c>
      <c r="J42" s="1014">
        <f>'Staff Hour Summary - Firm'!J44</f>
        <v>0</v>
      </c>
      <c r="K42" s="1014">
        <f>'Staff Hour Summary - Firm'!K44</f>
        <v>0</v>
      </c>
      <c r="L42" s="1014">
        <f>'Staff Hour Summary - Firm'!L44</f>
        <v>0</v>
      </c>
      <c r="M42" s="1014">
        <f>'Staff Hour Summary - Firm'!M44</f>
        <v>0</v>
      </c>
      <c r="N42" s="1014">
        <f>'Staff Hour Summary - Firm'!N44</f>
        <v>0</v>
      </c>
      <c r="O42" s="1014">
        <f t="shared" si="7"/>
        <v>0</v>
      </c>
      <c r="P42" s="1433">
        <f t="shared" si="8"/>
        <v>0</v>
      </c>
      <c r="Q42" s="1465" t="e">
        <f t="shared" si="4"/>
        <v>#DIV/0!</v>
      </c>
      <c r="R42" s="32"/>
      <c r="S42" s="32"/>
    </row>
    <row r="43" spans="1:19" ht="18" customHeight="1">
      <c r="A43" s="1464" t="str">
        <f>'Staff Hour Summary - Firm'!A45</f>
        <v>34. Intelligent Transportation Systems Plans</v>
      </c>
      <c r="B43" s="1014">
        <f>'Staff Hour Summary - Firm'!B45</f>
        <v>0</v>
      </c>
      <c r="C43" s="1014">
        <f>'Staff Hour Summary - Firm'!C45</f>
        <v>0</v>
      </c>
      <c r="D43" s="1014">
        <f>'Staff Hour Summary - Firm'!D45</f>
        <v>0</v>
      </c>
      <c r="E43" s="1014">
        <f>'Staff Hour Summary - Firm'!E45</f>
        <v>0</v>
      </c>
      <c r="F43" s="1014">
        <f>'Staff Hour Summary - Firm'!F45</f>
        <v>0</v>
      </c>
      <c r="G43" s="1014">
        <f>'Staff Hour Summary - Firm'!G45</f>
        <v>0</v>
      </c>
      <c r="H43" s="1014">
        <f>'Staff Hour Summary - Firm'!H45</f>
        <v>0</v>
      </c>
      <c r="I43" s="1014">
        <f>'Staff Hour Summary - Firm'!I45</f>
        <v>0</v>
      </c>
      <c r="J43" s="1014">
        <f>'Staff Hour Summary - Firm'!J45</f>
        <v>0</v>
      </c>
      <c r="K43" s="1014">
        <f>'Staff Hour Summary - Firm'!K45</f>
        <v>0</v>
      </c>
      <c r="L43" s="1014">
        <f>'Staff Hour Summary - Firm'!L45</f>
        <v>0</v>
      </c>
      <c r="M43" s="1014">
        <f>'Staff Hour Summary - Firm'!M45</f>
        <v>0</v>
      </c>
      <c r="N43" s="1014">
        <f>'Staff Hour Summary - Firm'!N45</f>
        <v>0</v>
      </c>
      <c r="O43" s="1014">
        <f t="shared" si="7"/>
        <v>0</v>
      </c>
      <c r="P43" s="1433">
        <f t="shared" si="8"/>
        <v>0</v>
      </c>
      <c r="Q43" s="1465" t="e">
        <f t="shared" si="4"/>
        <v>#DIV/0!</v>
      </c>
      <c r="R43" s="32"/>
      <c r="S43" s="32"/>
    </row>
    <row r="44" spans="1:19" ht="18" customHeight="1" thickBot="1">
      <c r="A44" s="1464" t="str">
        <f>'Staff Hour Summary - Firm'!A46</f>
        <v>35. Geotechnical</v>
      </c>
      <c r="B44" s="1014">
        <f>'Staff Hour Summary - Firm'!B46</f>
        <v>0</v>
      </c>
      <c r="C44" s="1014">
        <f>'Staff Hour Summary - Firm'!C46</f>
        <v>0</v>
      </c>
      <c r="D44" s="1014">
        <f>'Staff Hour Summary - Firm'!D46</f>
        <v>0</v>
      </c>
      <c r="E44" s="1014">
        <f>'Staff Hour Summary - Firm'!E46</f>
        <v>0</v>
      </c>
      <c r="F44" s="1014">
        <f>'Staff Hour Summary - Firm'!F46</f>
        <v>0</v>
      </c>
      <c r="G44" s="1014">
        <f>'Staff Hour Summary - Firm'!G46</f>
        <v>0</v>
      </c>
      <c r="H44" s="1014">
        <f>'Staff Hour Summary - Firm'!H46</f>
        <v>0</v>
      </c>
      <c r="I44" s="1014">
        <f>'Staff Hour Summary - Firm'!I46</f>
        <v>0</v>
      </c>
      <c r="J44" s="1014">
        <f>'Staff Hour Summary - Firm'!J46</f>
        <v>0</v>
      </c>
      <c r="K44" s="1014">
        <f>'Staff Hour Summary - Firm'!K46</f>
        <v>0</v>
      </c>
      <c r="L44" s="1014">
        <f>'Staff Hour Summary - Firm'!L46</f>
        <v>0</v>
      </c>
      <c r="M44" s="1014">
        <f>'Staff Hour Summary - Firm'!M46</f>
        <v>0</v>
      </c>
      <c r="N44" s="1014">
        <f>'Staff Hour Summary - Firm'!N46</f>
        <v>0</v>
      </c>
      <c r="O44" s="1014">
        <f t="shared" si="7"/>
        <v>0</v>
      </c>
      <c r="P44" s="1433">
        <f t="shared" si="8"/>
        <v>0</v>
      </c>
      <c r="Q44" s="1465" t="e">
        <f>ROUND(+P44/O44,2)</f>
        <v>#DIV/0!</v>
      </c>
      <c r="R44" s="32"/>
      <c r="S44" s="32"/>
    </row>
    <row r="45" spans="1:19" ht="18" customHeight="1" thickTop="1" thickBot="1">
      <c r="A45" s="1466" t="s">
        <v>537</v>
      </c>
      <c r="B45" s="1447">
        <f t="shared" ref="B45:O45" si="9">SUM(B10:B44)</f>
        <v>0</v>
      </c>
      <c r="C45" s="1447">
        <f t="shared" si="9"/>
        <v>0</v>
      </c>
      <c r="D45" s="1447">
        <f t="shared" si="9"/>
        <v>0</v>
      </c>
      <c r="E45" s="1447">
        <f t="shared" si="9"/>
        <v>0</v>
      </c>
      <c r="F45" s="1447">
        <f t="shared" si="9"/>
        <v>0</v>
      </c>
      <c r="G45" s="1447">
        <f t="shared" si="9"/>
        <v>0</v>
      </c>
      <c r="H45" s="1447">
        <f t="shared" si="9"/>
        <v>0</v>
      </c>
      <c r="I45" s="1447">
        <f t="shared" si="9"/>
        <v>0</v>
      </c>
      <c r="J45" s="1447">
        <f t="shared" si="9"/>
        <v>0</v>
      </c>
      <c r="K45" s="1447">
        <f t="shared" si="9"/>
        <v>0</v>
      </c>
      <c r="L45" s="1447">
        <f t="shared" si="9"/>
        <v>0</v>
      </c>
      <c r="M45" s="1447">
        <f t="shared" si="9"/>
        <v>0</v>
      </c>
      <c r="N45" s="1447">
        <f t="shared" si="9"/>
        <v>0</v>
      </c>
      <c r="O45" s="1447">
        <f t="shared" si="9"/>
        <v>0</v>
      </c>
      <c r="P45" s="1448"/>
      <c r="Q45" s="1467"/>
      <c r="R45" s="32"/>
      <c r="S45" s="32"/>
    </row>
    <row r="46" spans="1:19" ht="18" customHeight="1" thickTop="1" thickBot="1">
      <c r="A46" s="1539" t="s">
        <v>538</v>
      </c>
      <c r="B46" s="1540"/>
      <c r="C46" s="1541">
        <f t="shared" ref="C46:N46" si="10">C45*C9</f>
        <v>0</v>
      </c>
      <c r="D46" s="1541">
        <f t="shared" si="10"/>
        <v>0</v>
      </c>
      <c r="E46" s="1541">
        <f t="shared" si="10"/>
        <v>0</v>
      </c>
      <c r="F46" s="1541">
        <f t="shared" si="10"/>
        <v>0</v>
      </c>
      <c r="G46" s="1541">
        <f t="shared" si="10"/>
        <v>0</v>
      </c>
      <c r="H46" s="1541">
        <f t="shared" si="10"/>
        <v>0</v>
      </c>
      <c r="I46" s="1541">
        <f t="shared" si="10"/>
        <v>0</v>
      </c>
      <c r="J46" s="1541">
        <f t="shared" si="10"/>
        <v>0</v>
      </c>
      <c r="K46" s="1541">
        <f t="shared" si="10"/>
        <v>0</v>
      </c>
      <c r="L46" s="1541">
        <f t="shared" si="10"/>
        <v>0</v>
      </c>
      <c r="M46" s="1541">
        <f t="shared" si="10"/>
        <v>0</v>
      </c>
      <c r="N46" s="1541">
        <f t="shared" si="10"/>
        <v>0</v>
      </c>
      <c r="O46" s="1542"/>
      <c r="P46" s="1543">
        <f>ROUND(SUM(P10:P44),2)</f>
        <v>0</v>
      </c>
      <c r="Q46" s="1544" t="e">
        <f>ROUND(SUM(+P46/O45),2)</f>
        <v>#DIV/0!</v>
      </c>
      <c r="R46" s="32"/>
      <c r="S46" s="38"/>
    </row>
    <row r="47" spans="1:19" ht="16.8" thickTop="1" thickBot="1">
      <c r="A47" s="1469"/>
      <c r="B47" s="1009"/>
      <c r="C47" s="1009"/>
      <c r="D47" s="1009"/>
      <c r="E47" s="1009"/>
      <c r="F47" s="1009"/>
      <c r="G47" s="1009"/>
      <c r="H47" s="1009"/>
      <c r="I47" s="1009"/>
      <c r="J47" s="1009"/>
      <c r="K47" s="1009"/>
      <c r="L47" s="1009"/>
      <c r="M47" s="1009"/>
      <c r="N47" s="1009"/>
      <c r="O47" s="1536" t="s">
        <v>550</v>
      </c>
      <c r="P47" s="1537">
        <f>SUM(C46:N46)</f>
        <v>0</v>
      </c>
      <c r="Q47" s="1538"/>
      <c r="R47" s="35"/>
      <c r="S47" s="35"/>
    </row>
    <row r="48" spans="1:19" ht="16.2" thickTop="1">
      <c r="A48" s="1468"/>
      <c r="B48" s="1009"/>
      <c r="C48" s="1009"/>
      <c r="D48" s="1009"/>
      <c r="E48" s="1009"/>
      <c r="F48" s="1009"/>
      <c r="G48" s="108" t="s">
        <v>477</v>
      </c>
      <c r="H48" s="109"/>
      <c r="I48" s="110"/>
      <c r="J48" s="1009"/>
      <c r="K48" s="1545" t="s">
        <v>606</v>
      </c>
      <c r="L48" s="1546"/>
      <c r="M48" s="1546"/>
      <c r="N48" s="1546"/>
      <c r="O48" s="1547"/>
      <c r="P48" s="1547"/>
      <c r="Q48" s="1548">
        <f>P46</f>
        <v>0</v>
      </c>
      <c r="R48" s="39"/>
      <c r="S48" s="40"/>
    </row>
    <row r="49" spans="1:19" ht="15.6">
      <c r="A49" s="1469"/>
      <c r="B49" s="1009"/>
      <c r="C49" s="1009"/>
      <c r="D49" s="1009"/>
      <c r="E49" s="1009"/>
      <c r="F49" s="1009"/>
      <c r="G49" s="111" t="s">
        <v>478</v>
      </c>
      <c r="H49" s="112"/>
      <c r="I49" s="113"/>
      <c r="J49" s="1009"/>
      <c r="K49" s="1549" t="s">
        <v>588</v>
      </c>
      <c r="L49" s="1010"/>
      <c r="M49" s="1010"/>
      <c r="N49" s="1012">
        <v>0</v>
      </c>
      <c r="O49" s="1010"/>
      <c r="P49" s="1010"/>
      <c r="Q49" s="1465">
        <f>ROUND(+Q48*N49,2)</f>
        <v>0</v>
      </c>
      <c r="R49" s="39"/>
      <c r="S49" s="41"/>
    </row>
    <row r="50" spans="1:19" ht="15.6">
      <c r="A50" s="1469"/>
      <c r="B50" s="1009"/>
      <c r="C50" s="1009"/>
      <c r="D50" s="1009"/>
      <c r="E50" s="1009"/>
      <c r="F50" s="1009"/>
      <c r="G50" s="1009"/>
      <c r="H50" s="1009"/>
      <c r="I50" s="1009"/>
      <c r="J50" s="1009"/>
      <c r="K50" s="1549" t="s">
        <v>589</v>
      </c>
      <c r="L50" s="1010"/>
      <c r="M50" s="1010"/>
      <c r="N50" s="1012">
        <v>0</v>
      </c>
      <c r="O50" s="1010"/>
      <c r="P50" s="1010"/>
      <c r="Q50" s="1465">
        <f>ROUND(+Q48*N50,2)</f>
        <v>0</v>
      </c>
      <c r="R50" s="39"/>
      <c r="S50" s="42"/>
    </row>
    <row r="51" spans="1:19" ht="15.6">
      <c r="A51" s="1469"/>
      <c r="B51" s="1009" t="s">
        <v>605</v>
      </c>
      <c r="C51" s="1009"/>
      <c r="D51" s="1009"/>
      <c r="E51" s="1009"/>
      <c r="F51" s="1009"/>
      <c r="G51" s="1009"/>
      <c r="H51" s="1009"/>
      <c r="I51" s="1009"/>
      <c r="J51" s="1009"/>
      <c r="K51" s="1549" t="s">
        <v>590</v>
      </c>
      <c r="L51" s="1010"/>
      <c r="M51" s="1010"/>
      <c r="N51" s="1013">
        <v>0</v>
      </c>
      <c r="O51" s="1010"/>
      <c r="P51" s="1010"/>
      <c r="Q51" s="1465">
        <f>ROUND(+Q48*N51,2)</f>
        <v>0</v>
      </c>
      <c r="R51" s="39"/>
      <c r="S51" s="42"/>
    </row>
    <row r="52" spans="1:19" ht="13.8">
      <c r="A52" s="1469"/>
      <c r="B52" s="1446" t="s">
        <v>432</v>
      </c>
      <c r="C52" s="1009"/>
      <c r="D52" s="1009"/>
      <c r="E52" s="1009"/>
      <c r="F52" s="1009"/>
      <c r="G52" s="1009"/>
      <c r="H52" s="1009"/>
      <c r="I52" s="1009"/>
      <c r="J52" s="1009"/>
      <c r="K52" s="1549" t="s">
        <v>359</v>
      </c>
      <c r="L52" s="1010"/>
      <c r="M52" s="1010"/>
      <c r="N52" s="1013">
        <v>0</v>
      </c>
      <c r="O52" s="1010"/>
      <c r="P52" s="1010"/>
      <c r="Q52" s="1465">
        <f>ROUND(+Q48*N52,2)</f>
        <v>0</v>
      </c>
      <c r="S52" s="42"/>
    </row>
    <row r="53" spans="1:19" ht="28.2" customHeight="1">
      <c r="A53" s="1469"/>
      <c r="B53" s="1446" t="s">
        <v>433</v>
      </c>
      <c r="C53" s="1009"/>
      <c r="D53" s="1009"/>
      <c r="E53" s="1009"/>
      <c r="F53" s="1009"/>
      <c r="G53" s="1009"/>
      <c r="H53" s="1009"/>
      <c r="I53" s="1009"/>
      <c r="J53" s="1009"/>
      <c r="K53" s="1549" t="s">
        <v>479</v>
      </c>
      <c r="L53" s="1010"/>
      <c r="M53" s="1014">
        <f>ROUND(SUM('27. Survey'!F107),0)</f>
        <v>0</v>
      </c>
      <c r="N53" s="1015" t="s">
        <v>1605</v>
      </c>
      <c r="O53" s="1016">
        <v>0</v>
      </c>
      <c r="P53" s="1010" t="s">
        <v>607</v>
      </c>
      <c r="Q53" s="1465">
        <f>O53*M53</f>
        <v>0</v>
      </c>
      <c r="S53" s="43"/>
    </row>
    <row r="54" spans="1:19" ht="18" customHeight="1">
      <c r="A54" s="1469"/>
      <c r="B54" s="1446"/>
      <c r="C54" s="1009"/>
      <c r="D54" s="1009"/>
      <c r="E54" s="1009"/>
      <c r="F54" s="1009"/>
      <c r="G54" s="1009"/>
      <c r="H54" s="1009"/>
      <c r="I54" s="1009"/>
      <c r="J54" s="1009"/>
      <c r="K54" s="1550" t="s">
        <v>608</v>
      </c>
      <c r="L54" s="1010"/>
      <c r="M54" s="1017"/>
      <c r="N54" s="1015"/>
      <c r="O54" s="1018"/>
      <c r="P54" s="1010"/>
      <c r="Q54" s="1470">
        <f>SUM(Q48:Q53)</f>
        <v>0</v>
      </c>
      <c r="S54" s="43"/>
    </row>
    <row r="55" spans="1:19" ht="18" customHeight="1">
      <c r="A55" s="1469"/>
      <c r="B55" s="1446"/>
      <c r="C55" s="1009"/>
      <c r="D55" s="1009"/>
      <c r="E55" s="1009"/>
      <c r="F55" s="1009"/>
      <c r="G55" s="1009"/>
      <c r="H55" s="1009"/>
      <c r="I55" s="1009"/>
      <c r="J55" s="1009"/>
      <c r="K55" s="1549" t="s">
        <v>591</v>
      </c>
      <c r="L55" s="1019" t="str">
        <f>Summary!D4</f>
        <v>Enter Name Sub 1</v>
      </c>
      <c r="M55" s="1010"/>
      <c r="N55" s="1010"/>
      <c r="O55" s="1010"/>
      <c r="P55" s="1010"/>
      <c r="Q55" s="1471">
        <v>0</v>
      </c>
      <c r="S55" s="43"/>
    </row>
    <row r="56" spans="1:19" ht="18" customHeight="1">
      <c r="A56" s="1469"/>
      <c r="B56" s="1009"/>
      <c r="C56" s="1009"/>
      <c r="D56" s="1009"/>
      <c r="E56" s="1009"/>
      <c r="F56" s="1009"/>
      <c r="G56" s="1009"/>
      <c r="H56" s="1009"/>
      <c r="I56" s="1009"/>
      <c r="J56" s="1009"/>
      <c r="K56" s="1549" t="s">
        <v>591</v>
      </c>
      <c r="L56" s="1019" t="str">
        <f>Summary!E4</f>
        <v>Sub 2</v>
      </c>
      <c r="M56" s="1010"/>
      <c r="N56" s="1010"/>
      <c r="O56" s="1010"/>
      <c r="P56" s="1010"/>
      <c r="Q56" s="1471">
        <v>0</v>
      </c>
      <c r="S56" s="43"/>
    </row>
    <row r="57" spans="1:19" ht="18" customHeight="1">
      <c r="A57" s="1469"/>
      <c r="B57" s="1009"/>
      <c r="C57" s="1009"/>
      <c r="D57" s="1009"/>
      <c r="E57" s="1009"/>
      <c r="F57" s="1009"/>
      <c r="G57" s="1009"/>
      <c r="H57" s="1009"/>
      <c r="I57" s="1009"/>
      <c r="J57" s="1009"/>
      <c r="K57" s="1549" t="s">
        <v>591</v>
      </c>
      <c r="L57" s="1019" t="str">
        <f>Summary!F4</f>
        <v>Sub 3</v>
      </c>
      <c r="M57" s="1010"/>
      <c r="N57" s="1010"/>
      <c r="O57" s="1010"/>
      <c r="P57" s="1010"/>
      <c r="Q57" s="1471">
        <v>0</v>
      </c>
      <c r="S57" s="43"/>
    </row>
    <row r="58" spans="1:19" ht="18" customHeight="1">
      <c r="A58" s="1469"/>
      <c r="B58" s="1009"/>
      <c r="C58" s="1009"/>
      <c r="D58" s="1009"/>
      <c r="E58" s="1009"/>
      <c r="F58" s="1009"/>
      <c r="G58" s="1009"/>
      <c r="H58" s="1009"/>
      <c r="I58" s="1009"/>
      <c r="J58" s="1009"/>
      <c r="K58" s="1549" t="s">
        <v>591</v>
      </c>
      <c r="L58" s="1019" t="str">
        <f>Summary!G4</f>
        <v>Sub 4</v>
      </c>
      <c r="M58" s="1010"/>
      <c r="N58" s="1010"/>
      <c r="O58" s="1010"/>
      <c r="P58" s="1010"/>
      <c r="Q58" s="1471">
        <v>0</v>
      </c>
      <c r="S58" s="43"/>
    </row>
    <row r="59" spans="1:19" ht="18" customHeight="1">
      <c r="A59" s="1469"/>
      <c r="B59" s="1009"/>
      <c r="C59" s="1009"/>
      <c r="D59" s="1009"/>
      <c r="E59" s="1009"/>
      <c r="F59" s="1009"/>
      <c r="G59" s="1009"/>
      <c r="H59" s="1009"/>
      <c r="I59" s="1009"/>
      <c r="J59" s="1009"/>
      <c r="K59" s="1549" t="s">
        <v>591</v>
      </c>
      <c r="L59" s="1019" t="str">
        <f>Summary!H4</f>
        <v>Sub 5</v>
      </c>
      <c r="M59" s="1010"/>
      <c r="N59" s="1010"/>
      <c r="O59" s="1010"/>
      <c r="P59" s="1010"/>
      <c r="Q59" s="1471">
        <v>0</v>
      </c>
      <c r="S59" s="43"/>
    </row>
    <row r="60" spans="1:19" ht="18" customHeight="1">
      <c r="A60" s="1469"/>
      <c r="B60" s="1009"/>
      <c r="C60" s="1009"/>
      <c r="D60" s="1009"/>
      <c r="E60" s="1009"/>
      <c r="F60" s="1009"/>
      <c r="G60" s="1009"/>
      <c r="H60" s="1009"/>
      <c r="I60" s="1009"/>
      <c r="J60" s="1009"/>
      <c r="K60" s="1549" t="s">
        <v>591</v>
      </c>
      <c r="L60" s="1019" t="str">
        <f>Summary!I4</f>
        <v>Sub 6</v>
      </c>
      <c r="M60" s="1010"/>
      <c r="N60" s="1010"/>
      <c r="O60" s="1010"/>
      <c r="P60" s="1010"/>
      <c r="Q60" s="1471">
        <v>0</v>
      </c>
      <c r="S60" s="43"/>
    </row>
    <row r="61" spans="1:19" ht="18" customHeight="1">
      <c r="A61" s="1469"/>
      <c r="B61" s="1009"/>
      <c r="C61" s="1009"/>
      <c r="D61" s="1009"/>
      <c r="E61" s="1009"/>
      <c r="F61" s="1009"/>
      <c r="G61" s="1009"/>
      <c r="H61" s="1009"/>
      <c r="I61" s="1009"/>
      <c r="J61" s="1009"/>
      <c r="K61" s="1549" t="s">
        <v>591</v>
      </c>
      <c r="L61" s="1019" t="str">
        <f>Summary!J4</f>
        <v>Sub 7</v>
      </c>
      <c r="M61" s="1010"/>
      <c r="N61" s="1010"/>
      <c r="O61" s="1010"/>
      <c r="P61" s="1010"/>
      <c r="Q61" s="1471">
        <v>0</v>
      </c>
      <c r="S61" s="43"/>
    </row>
    <row r="62" spans="1:19" ht="18" customHeight="1">
      <c r="A62" s="1469"/>
      <c r="B62" s="1009"/>
      <c r="C62" s="1009"/>
      <c r="D62" s="1009"/>
      <c r="E62" s="1009"/>
      <c r="F62" s="1009"/>
      <c r="G62" s="1009"/>
      <c r="H62" s="1009"/>
      <c r="I62" s="1009"/>
      <c r="J62" s="1009"/>
      <c r="K62" s="1549" t="s">
        <v>591</v>
      </c>
      <c r="L62" s="1019" t="str">
        <f>Summary!K4</f>
        <v>Sub 8</v>
      </c>
      <c r="M62" s="1010"/>
      <c r="N62" s="1010"/>
      <c r="O62" s="1010"/>
      <c r="P62" s="1010"/>
      <c r="Q62" s="1471">
        <v>0</v>
      </c>
      <c r="S62" s="43"/>
    </row>
    <row r="63" spans="1:19" ht="18" customHeight="1">
      <c r="A63" s="1469"/>
      <c r="B63" s="1009"/>
      <c r="C63" s="1009"/>
      <c r="D63" s="1009"/>
      <c r="E63" s="1009"/>
      <c r="F63" s="1009"/>
      <c r="G63" s="1009"/>
      <c r="H63" s="1009"/>
      <c r="I63" s="1009"/>
      <c r="J63" s="1009"/>
      <c r="K63" s="1549" t="s">
        <v>591</v>
      </c>
      <c r="L63" s="1019" t="str">
        <f>Summary!L4</f>
        <v>Sub 9</v>
      </c>
      <c r="M63" s="1010"/>
      <c r="N63" s="1010"/>
      <c r="O63" s="1010"/>
      <c r="P63" s="1010"/>
      <c r="Q63" s="1471">
        <v>0</v>
      </c>
      <c r="S63" s="43"/>
    </row>
    <row r="64" spans="1:19" ht="18" customHeight="1">
      <c r="A64" s="1469"/>
      <c r="B64" s="1009"/>
      <c r="C64" s="1009"/>
      <c r="D64" s="1009"/>
      <c r="E64" s="1009"/>
      <c r="F64" s="1009"/>
      <c r="G64" s="1009"/>
      <c r="H64" s="1009"/>
      <c r="I64" s="1009"/>
      <c r="J64" s="1009"/>
      <c r="K64" s="1549" t="s">
        <v>591</v>
      </c>
      <c r="L64" s="1019" t="str">
        <f>Summary!M4</f>
        <v>Sub 10</v>
      </c>
      <c r="M64" s="1010"/>
      <c r="N64" s="1010"/>
      <c r="O64" s="1010"/>
      <c r="P64" s="1010"/>
      <c r="Q64" s="1471">
        <v>0</v>
      </c>
      <c r="S64" s="43"/>
    </row>
    <row r="65" spans="1:19" ht="18" customHeight="1">
      <c r="A65" s="1469"/>
      <c r="B65" s="1009"/>
      <c r="C65" s="1009"/>
      <c r="D65" s="1009"/>
      <c r="E65" s="1009"/>
      <c r="F65" s="1009"/>
      <c r="G65" s="1009"/>
      <c r="H65" s="1009"/>
      <c r="I65" s="1009"/>
      <c r="J65" s="1009"/>
      <c r="K65" s="1549" t="s">
        <v>591</v>
      </c>
      <c r="L65" s="1019" t="str">
        <f>Summary!N4</f>
        <v>Sub 11</v>
      </c>
      <c r="M65" s="1010"/>
      <c r="N65" s="1010"/>
      <c r="O65" s="1010"/>
      <c r="P65" s="1010"/>
      <c r="Q65" s="1471">
        <v>0</v>
      </c>
      <c r="S65" s="43"/>
    </row>
    <row r="66" spans="1:19" ht="18" customHeight="1">
      <c r="A66" s="1469"/>
      <c r="B66" s="1009"/>
      <c r="C66" s="1009"/>
      <c r="D66" s="1009"/>
      <c r="E66" s="1009"/>
      <c r="F66" s="1009"/>
      <c r="G66" s="1009"/>
      <c r="H66" s="1009"/>
      <c r="I66" s="1009"/>
      <c r="J66" s="1009"/>
      <c r="K66" s="1549" t="s">
        <v>591</v>
      </c>
      <c r="L66" s="1019" t="str">
        <f>Summary!O4</f>
        <v>Sub 12</v>
      </c>
      <c r="M66" s="1010"/>
      <c r="N66" s="1010"/>
      <c r="O66" s="1010"/>
      <c r="P66" s="1010"/>
      <c r="Q66" s="1471">
        <v>0</v>
      </c>
      <c r="S66" s="43"/>
    </row>
    <row r="67" spans="1:19" ht="18" customHeight="1">
      <c r="A67" s="1469"/>
      <c r="B67" s="1009"/>
      <c r="C67" s="1009"/>
      <c r="D67" s="1009"/>
      <c r="E67" s="1009"/>
      <c r="F67" s="1009"/>
      <c r="G67" s="1009"/>
      <c r="H67" s="1009"/>
      <c r="I67" s="1009"/>
      <c r="J67" s="1009"/>
      <c r="K67" s="1550" t="s">
        <v>608</v>
      </c>
      <c r="L67" s="1010"/>
      <c r="M67" s="1010"/>
      <c r="N67" s="1010"/>
      <c r="O67" s="1010"/>
      <c r="P67" s="1010"/>
      <c r="Q67" s="1470">
        <f>ROUND(SUM(Q54:Q66),2)</f>
        <v>0</v>
      </c>
      <c r="R67" s="44"/>
    </row>
    <row r="68" spans="1:19" ht="18" customHeight="1">
      <c r="A68" s="1469"/>
      <c r="B68" s="1009"/>
      <c r="C68" s="1009"/>
      <c r="D68" s="1009"/>
      <c r="E68" s="1009"/>
      <c r="F68" s="1009"/>
      <c r="G68" s="1009"/>
      <c r="H68" s="1009"/>
      <c r="I68" s="1009"/>
      <c r="J68" s="1009"/>
      <c r="K68" s="1551" t="s">
        <v>140</v>
      </c>
      <c r="L68" s="1010"/>
      <c r="M68" s="1010"/>
      <c r="N68" s="1010"/>
      <c r="O68" s="1010"/>
      <c r="P68" s="1010"/>
      <c r="Q68" s="1471">
        <v>0</v>
      </c>
      <c r="R68" s="44"/>
    </row>
    <row r="69" spans="1:19" ht="18" customHeight="1">
      <c r="A69" s="1469"/>
      <c r="B69" s="1009"/>
      <c r="C69" s="1009"/>
      <c r="D69" s="1009"/>
      <c r="E69" s="1009"/>
      <c r="F69" s="1009"/>
      <c r="G69" s="1009"/>
      <c r="H69" s="1009"/>
      <c r="I69" s="1009"/>
      <c r="J69" s="1009"/>
      <c r="K69" s="1550" t="s">
        <v>608</v>
      </c>
      <c r="L69" s="1010"/>
      <c r="M69" s="1010"/>
      <c r="N69" s="1010"/>
      <c r="O69" s="1010"/>
      <c r="P69" s="1010"/>
      <c r="Q69" s="1470">
        <f>SUM(Q67:Q68)</f>
        <v>0</v>
      </c>
      <c r="R69" s="44"/>
    </row>
    <row r="70" spans="1:19" ht="18" customHeight="1">
      <c r="A70" s="1469"/>
      <c r="B70" s="1009"/>
      <c r="C70" s="1009"/>
      <c r="D70" s="1009"/>
      <c r="E70" s="1009"/>
      <c r="F70" s="1009"/>
      <c r="G70" s="1009"/>
      <c r="H70" s="1009"/>
      <c r="I70" s="1009"/>
      <c r="J70" s="1009"/>
      <c r="K70" s="1549" t="s">
        <v>609</v>
      </c>
      <c r="L70" s="1010"/>
      <c r="M70" s="1010"/>
      <c r="N70" s="1010"/>
      <c r="O70" s="1011"/>
      <c r="P70" s="1011"/>
      <c r="Q70" s="1472">
        <v>0</v>
      </c>
      <c r="R70" s="45"/>
      <c r="S70" s="46"/>
    </row>
    <row r="71" spans="1:19" ht="18" customHeight="1" thickBot="1">
      <c r="A71" s="1473"/>
      <c r="B71" s="1474"/>
      <c r="C71" s="1474"/>
      <c r="D71" s="1474"/>
      <c r="E71" s="1474"/>
      <c r="F71" s="1474"/>
      <c r="G71" s="1474"/>
      <c r="H71" s="1474"/>
      <c r="I71" s="1474"/>
      <c r="J71" s="1474"/>
      <c r="K71" s="1552" t="s">
        <v>610</v>
      </c>
      <c r="L71" s="1475"/>
      <c r="M71" s="1475"/>
      <c r="N71" s="1475"/>
      <c r="O71" s="1475"/>
      <c r="P71" s="1475"/>
      <c r="Q71" s="1476">
        <f>SUM(Q69:Q70)</f>
        <v>0</v>
      </c>
      <c r="R71" s="42"/>
      <c r="S71" s="42"/>
    </row>
    <row r="72" spans="1:19" ht="13.8" thickTop="1">
      <c r="A72" s="42"/>
      <c r="B72" s="42"/>
      <c r="C72" s="42"/>
      <c r="D72" s="42"/>
      <c r="E72" s="42"/>
      <c r="F72" s="42"/>
      <c r="G72" s="42"/>
      <c r="H72" s="42"/>
      <c r="I72" s="42"/>
      <c r="J72" s="42"/>
      <c r="K72" s="42"/>
      <c r="L72" s="42"/>
      <c r="M72" s="42"/>
      <c r="N72" s="42"/>
      <c r="O72" s="42"/>
      <c r="P72" s="42"/>
      <c r="Q72" s="42"/>
      <c r="R72" s="42"/>
      <c r="S72" s="42"/>
    </row>
    <row r="73" spans="1:19">
      <c r="A73" s="42"/>
      <c r="B73" s="42"/>
      <c r="C73" s="42"/>
      <c r="D73" s="42"/>
      <c r="E73" s="42"/>
      <c r="F73" s="42"/>
      <c r="G73" s="42"/>
      <c r="H73" s="42"/>
      <c r="I73" s="42"/>
      <c r="J73" s="42"/>
      <c r="K73" s="42"/>
      <c r="L73" s="42"/>
      <c r="M73" s="42"/>
      <c r="N73" s="42"/>
      <c r="O73" s="42"/>
      <c r="P73" s="42"/>
      <c r="Q73" s="42"/>
      <c r="R73" s="42"/>
      <c r="S73" s="42"/>
    </row>
  </sheetData>
  <mergeCells count="14">
    <mergeCell ref="D7:D8"/>
    <mergeCell ref="E7:E8"/>
    <mergeCell ref="F7:F8"/>
    <mergeCell ref="G7:G8"/>
    <mergeCell ref="A7:A8"/>
    <mergeCell ref="B7:B9"/>
    <mergeCell ref="C7:C8"/>
    <mergeCell ref="N7:N8"/>
    <mergeCell ref="K7:K8"/>
    <mergeCell ref="L7:L8"/>
    <mergeCell ref="M7:M8"/>
    <mergeCell ref="H7:H8"/>
    <mergeCell ref="I7:I8"/>
    <mergeCell ref="J7:J8"/>
  </mergeCells>
  <phoneticPr fontId="0" type="noConversion"/>
  <printOptions horizontalCentered="1"/>
  <pageMargins left="0.25" right="0.25" top="0.46" bottom="0.48" header="0.71" footer="0.19"/>
  <pageSetup scale="46" orientation="landscape" r:id="rId1"/>
  <headerFooter alignWithMargins="0">
    <oddFooter>&amp;L&amp;F 
&amp;A&amp;CPage &amp;N of &amp;P&amp;R&amp;D  &amp;T</oddFooter>
  </headerFooter>
  <rowBreaks count="11" manualBreakCount="11">
    <brk id="79" max="65535" man="1"/>
    <brk id="135" max="65535" man="1"/>
    <brk id="191" max="65535" man="1"/>
    <brk id="247" max="65535" man="1"/>
    <brk id="303" max="65535" man="1"/>
    <brk id="359" max="65535" man="1"/>
    <brk id="415" max="65535" man="1"/>
    <brk id="471" max="65535" man="1"/>
    <brk id="527" max="65535" man="1"/>
    <brk id="583" max="65535" man="1"/>
    <brk id="639" max="65535" man="1"/>
  </rowBreaks>
  <ignoredErrors>
    <ignoredError sqref="A16:Q44 A2:Q14 A45:Q46"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transitionEntry="1" codeName="Sheet10">
    <pageSetUpPr fitToPage="1"/>
  </sheetPr>
  <dimension ref="A1:AG60"/>
  <sheetViews>
    <sheetView showGridLines="0" showRuler="0" defaultGridColor="0" colorId="22" zoomScale="75" zoomScaleNormal="55" zoomScaleSheetLayoutView="55" workbookViewId="0"/>
  </sheetViews>
  <sheetFormatPr defaultColWidth="7" defaultRowHeight="13.2"/>
  <cols>
    <col min="1" max="1" width="48" style="33" customWidth="1"/>
    <col min="2" max="2" width="12.88671875" style="33" customWidth="1"/>
    <col min="3" max="3" width="12.6640625" style="33" customWidth="1"/>
    <col min="4" max="14" width="14.6640625" style="33" customWidth="1"/>
    <col min="15" max="15" width="14" style="33" customWidth="1"/>
    <col min="16" max="16" width="14.33203125" style="33" customWidth="1"/>
    <col min="17" max="17" width="17.44140625" style="33" customWidth="1"/>
    <col min="18" max="18" width="14" style="33" customWidth="1"/>
    <col min="19" max="19" width="11.33203125" style="33" customWidth="1"/>
    <col min="20" max="20" width="2.44140625" style="33" customWidth="1"/>
    <col min="21" max="21" width="13.88671875" style="155" customWidth="1"/>
    <col min="22" max="33" width="7" style="155"/>
    <col min="34" max="16384" width="7" style="33"/>
  </cols>
  <sheetData>
    <row r="1" spans="1:19" ht="18" thickTop="1">
      <c r="A1" s="1449" t="s">
        <v>437</v>
      </c>
      <c r="B1" s="1477"/>
      <c r="C1" s="1478"/>
      <c r="D1" s="1478"/>
      <c r="E1" s="1478"/>
      <c r="F1" s="1478"/>
      <c r="G1" s="1478"/>
      <c r="H1" s="1478"/>
      <c r="I1" s="1478"/>
      <c r="J1" s="1478"/>
      <c r="K1" s="1478"/>
      <c r="L1" s="1478"/>
      <c r="M1" s="1478"/>
      <c r="N1" s="1478"/>
      <c r="O1" s="1478"/>
      <c r="P1" s="1478"/>
      <c r="Q1" s="1479"/>
      <c r="R1" s="34" t="s">
        <v>400</v>
      </c>
      <c r="S1" s="34"/>
    </row>
    <row r="2" spans="1:19" ht="15.6">
      <c r="A2" s="1480"/>
      <c r="B2" s="115"/>
      <c r="C2" s="104"/>
      <c r="D2" s="104"/>
      <c r="E2" s="104"/>
      <c r="F2" s="104"/>
      <c r="G2" s="104"/>
      <c r="H2" s="104"/>
      <c r="I2" s="104"/>
      <c r="J2" s="104"/>
      <c r="K2" s="104"/>
      <c r="L2" s="104"/>
      <c r="M2" s="104"/>
      <c r="N2" s="104"/>
      <c r="O2" s="104"/>
      <c r="P2" s="104"/>
      <c r="Q2" s="1456"/>
      <c r="R2" s="32"/>
      <c r="S2" s="32"/>
    </row>
    <row r="3" spans="1:19" ht="18" customHeight="1">
      <c r="A3" s="1453" t="s">
        <v>567</v>
      </c>
      <c r="B3" s="104" t="str">
        <f>'Project Information'!B3</f>
        <v>Enter project name &amp; description</v>
      </c>
      <c r="C3" s="105"/>
      <c r="D3" s="114"/>
      <c r="E3" s="114"/>
      <c r="F3" s="104"/>
      <c r="G3" s="114"/>
      <c r="H3" s="114"/>
      <c r="I3" s="114"/>
      <c r="J3" s="114"/>
      <c r="K3" s="114"/>
      <c r="L3" s="114"/>
      <c r="M3" s="114"/>
      <c r="N3" s="1436" t="s">
        <v>774</v>
      </c>
      <c r="O3" s="1437" t="str">
        <f>'Project Information'!B2</f>
        <v>Enter name of prime or subconsultant</v>
      </c>
      <c r="P3" s="105"/>
      <c r="Q3" s="1454"/>
      <c r="R3" s="36"/>
      <c r="S3" s="36"/>
    </row>
    <row r="4" spans="1:19" ht="18" customHeight="1">
      <c r="A4" s="1455" t="s">
        <v>570</v>
      </c>
      <c r="B4" s="1438" t="str">
        <f>'Project Information'!L2</f>
        <v>enter name of county</v>
      </c>
      <c r="C4" s="105"/>
      <c r="D4" s="104"/>
      <c r="E4" s="104"/>
      <c r="F4" s="104"/>
      <c r="G4" s="104"/>
      <c r="H4" s="104"/>
      <c r="I4" s="104"/>
      <c r="J4" s="104"/>
      <c r="K4" s="104"/>
      <c r="L4" s="104"/>
      <c r="M4" s="104"/>
      <c r="N4" s="1436" t="s">
        <v>775</v>
      </c>
      <c r="O4" s="1439" t="s">
        <v>587</v>
      </c>
      <c r="P4" s="105"/>
      <c r="Q4" s="1456"/>
      <c r="R4" s="35"/>
      <c r="S4" s="35"/>
    </row>
    <row r="5" spans="1:19" ht="18" customHeight="1">
      <c r="A5" s="1457" t="s">
        <v>593</v>
      </c>
      <c r="B5" s="1440" t="str">
        <f>'Project Information'!B1</f>
        <v>999999-1-32-01</v>
      </c>
      <c r="C5" s="105"/>
      <c r="D5" s="104"/>
      <c r="E5" s="104"/>
      <c r="F5" s="104"/>
      <c r="G5" s="104"/>
      <c r="I5" s="104"/>
      <c r="J5" s="104"/>
      <c r="K5" s="104"/>
      <c r="L5" s="104"/>
      <c r="M5" s="104"/>
      <c r="N5" s="1436" t="s">
        <v>776</v>
      </c>
      <c r="O5" s="1441">
        <f ca="1">TODAY()</f>
        <v>45751</v>
      </c>
      <c r="P5" s="105"/>
      <c r="Q5" s="1456"/>
      <c r="R5" s="35"/>
      <c r="S5" s="35"/>
    </row>
    <row r="6" spans="1:19" ht="18" customHeight="1" thickBot="1">
      <c r="A6" s="1457" t="s">
        <v>594</v>
      </c>
      <c r="B6" s="1442" t="str">
        <f>'Project Information'!L1</f>
        <v>54321</v>
      </c>
      <c r="C6" s="105"/>
      <c r="D6" s="105"/>
      <c r="E6" s="105"/>
      <c r="F6" s="105"/>
      <c r="G6" s="105"/>
      <c r="H6" s="105"/>
      <c r="I6" s="105"/>
      <c r="J6" s="105"/>
      <c r="K6" s="105"/>
      <c r="L6" s="105"/>
      <c r="M6" s="105"/>
      <c r="N6" s="1443" t="s">
        <v>777</v>
      </c>
      <c r="O6" s="1444" t="s">
        <v>569</v>
      </c>
      <c r="P6" s="1445"/>
      <c r="Q6" s="1456"/>
      <c r="R6" s="35"/>
      <c r="S6" s="35"/>
    </row>
    <row r="7" spans="1:19" ht="16.5" customHeight="1" thickTop="1">
      <c r="A7" s="2059" t="s">
        <v>536</v>
      </c>
      <c r="B7" s="2061" t="s">
        <v>474</v>
      </c>
      <c r="C7" s="2057" t="str">
        <f>'Staff Hour Summary--Grand Total'!C10</f>
        <v>Project Manager</v>
      </c>
      <c r="D7" s="2057" t="str">
        <f>'Staff Hour Summary--Grand Total'!D10</f>
        <v>Staff Classi- fication 2</v>
      </c>
      <c r="E7" s="2057" t="str">
        <f>'Staff Hour Summary--Grand Total'!E10</f>
        <v>Staff Classi- fication 3</v>
      </c>
      <c r="F7" s="2057" t="str">
        <f>'Staff Hour Summary--Grand Total'!F10</f>
        <v>Staff Classi- fication 4</v>
      </c>
      <c r="G7" s="2057" t="str">
        <f>'Staff Hour Summary--Grand Total'!G10</f>
        <v>Staff Classi- fication 5</v>
      </c>
      <c r="H7" s="2057" t="str">
        <f>'Staff Hour Summary--Grand Total'!H10</f>
        <v>Staff Classi- fication 6</v>
      </c>
      <c r="I7" s="2057" t="str">
        <f>'Staff Hour Summary--Grand Total'!I10</f>
        <v>Staff Classi- fication 7</v>
      </c>
      <c r="J7" s="2057" t="str">
        <f>'Staff Hour Summary--Grand Total'!J10</f>
        <v>Staff Classi- fication 8</v>
      </c>
      <c r="K7" s="2057" t="str">
        <f>'Staff Hour Summary--Grand Total'!K10</f>
        <v>Staff Classi- fication 9</v>
      </c>
      <c r="L7" s="2057" t="str">
        <f>'Staff Hour Summary--Grand Total'!L10</f>
        <v>Staff Classi- fication 10</v>
      </c>
      <c r="M7" s="2057" t="str">
        <f>'Staff Hour Summary--Grand Total'!M10</f>
        <v>Staff Classi- fication 11</v>
      </c>
      <c r="N7" s="2055" t="str">
        <f>'Staff Hour Summary--Grand Total'!N10</f>
        <v>Staff Classi- fication 12</v>
      </c>
      <c r="O7" s="1481" t="s">
        <v>513</v>
      </c>
      <c r="P7" s="1481" t="s">
        <v>597</v>
      </c>
      <c r="Q7" s="1482" t="s">
        <v>598</v>
      </c>
      <c r="R7" s="32"/>
      <c r="S7" s="32"/>
    </row>
    <row r="8" spans="1:19" ht="15.6">
      <c r="A8" s="2060"/>
      <c r="B8" s="2062"/>
      <c r="C8" s="2058"/>
      <c r="D8" s="2058"/>
      <c r="E8" s="2058"/>
      <c r="F8" s="2058"/>
      <c r="G8" s="2058"/>
      <c r="H8" s="2058"/>
      <c r="I8" s="2058"/>
      <c r="J8" s="2058"/>
      <c r="K8" s="2058"/>
      <c r="L8" s="2058"/>
      <c r="M8" s="2058"/>
      <c r="N8" s="2056"/>
      <c r="O8" s="103" t="s">
        <v>602</v>
      </c>
      <c r="P8" s="103" t="s">
        <v>603</v>
      </c>
      <c r="Q8" s="1483" t="s">
        <v>604</v>
      </c>
      <c r="R8" s="32"/>
      <c r="S8" s="32"/>
    </row>
    <row r="9" spans="1:19" ht="19.5" customHeight="1" thickBot="1">
      <c r="A9" s="1501"/>
      <c r="B9" s="2062"/>
      <c r="C9" s="1502">
        <v>0</v>
      </c>
      <c r="D9" s="1502">
        <v>0</v>
      </c>
      <c r="E9" s="1502">
        <v>0</v>
      </c>
      <c r="F9" s="1502">
        <v>0</v>
      </c>
      <c r="G9" s="1502">
        <v>0</v>
      </c>
      <c r="H9" s="1502">
        <v>0</v>
      </c>
      <c r="I9" s="1502">
        <v>0</v>
      </c>
      <c r="J9" s="1502">
        <v>0</v>
      </c>
      <c r="K9" s="1502">
        <v>0</v>
      </c>
      <c r="L9" s="1502">
        <v>0</v>
      </c>
      <c r="M9" s="1502">
        <v>0</v>
      </c>
      <c r="N9" s="1502">
        <v>0</v>
      </c>
      <c r="O9" s="1503" t="s">
        <v>694</v>
      </c>
      <c r="P9" s="1504" t="s">
        <v>694</v>
      </c>
      <c r="Q9" s="1505" t="s">
        <v>190</v>
      </c>
      <c r="R9" s="32"/>
      <c r="S9" s="32"/>
    </row>
    <row r="10" spans="1:19" ht="18" customHeight="1" thickTop="1">
      <c r="A10" s="1462" t="str">
        <f>'Staff Hour Summary - Firm'!A12</f>
        <v>3. Project Common and Project General Tasks</v>
      </c>
      <c r="B10" s="1510">
        <f>'Staff Hour Summary - Firm'!B12</f>
        <v>0</v>
      </c>
      <c r="C10" s="1510">
        <f>'Staff Hour Summary - Firm'!C12</f>
        <v>0</v>
      </c>
      <c r="D10" s="1510">
        <f>'Staff Hour Summary - Firm'!D12</f>
        <v>0</v>
      </c>
      <c r="E10" s="1510">
        <f>'Staff Hour Summary - Firm'!E12</f>
        <v>0</v>
      </c>
      <c r="F10" s="1510">
        <f>'Staff Hour Summary - Firm'!F12</f>
        <v>0</v>
      </c>
      <c r="G10" s="1510">
        <f>'Staff Hour Summary - Firm'!G12</f>
        <v>0</v>
      </c>
      <c r="H10" s="1510">
        <f>'Staff Hour Summary - Firm'!H12</f>
        <v>0</v>
      </c>
      <c r="I10" s="1510">
        <f>'Staff Hour Summary - Firm'!I12</f>
        <v>0</v>
      </c>
      <c r="J10" s="1510">
        <f>'Staff Hour Summary - Firm'!J12</f>
        <v>0</v>
      </c>
      <c r="K10" s="1510">
        <f>'Staff Hour Summary - Firm'!K12</f>
        <v>0</v>
      </c>
      <c r="L10" s="1510">
        <f>'Staff Hour Summary - Firm'!L12</f>
        <v>0</v>
      </c>
      <c r="M10" s="1510">
        <f>'Staff Hour Summary - Firm'!M12</f>
        <v>0</v>
      </c>
      <c r="N10" s="1510">
        <f>'Staff Hour Summary - Firm'!N12</f>
        <v>0</v>
      </c>
      <c r="O10" s="1510">
        <f t="shared" ref="O10:O40" si="0">SUM(C10:N10)</f>
        <v>0</v>
      </c>
      <c r="P10" s="1511">
        <f t="shared" ref="P10:P40" si="1">C10*$C$9+D10*$D$9+E10*$E$9+F10*$F$9+G10*$G$9+H10*$H$9+I10*$I$9+J10*$J$9+K10*$K$9+L10*$L$9+M10*$M$9+N10*$N$9</f>
        <v>0</v>
      </c>
      <c r="Q10" s="1512" t="e">
        <f t="shared" ref="Q10:Q40" si="2">ROUND(+P10/O10,2)</f>
        <v>#DIV/0!</v>
      </c>
      <c r="R10" s="32"/>
      <c r="S10" s="32"/>
    </row>
    <row r="11" spans="1:19" ht="18" customHeight="1">
      <c r="A11" s="1464" t="str">
        <f>'Staff Hour Summary - Firm'!A13</f>
        <v>4. Roadway Analysis</v>
      </c>
      <c r="B11" s="1506">
        <f>'Staff Hour Summary - Firm'!B13</f>
        <v>0</v>
      </c>
      <c r="C11" s="1506">
        <f>'Staff Hour Summary - Firm'!C13</f>
        <v>0</v>
      </c>
      <c r="D11" s="1506">
        <f>'Staff Hour Summary - Firm'!D13</f>
        <v>0</v>
      </c>
      <c r="E11" s="1506">
        <f>'Staff Hour Summary - Firm'!E13</f>
        <v>0</v>
      </c>
      <c r="F11" s="1506">
        <f>'Staff Hour Summary - Firm'!F13</f>
        <v>0</v>
      </c>
      <c r="G11" s="1506">
        <f>'Staff Hour Summary - Firm'!G13</f>
        <v>0</v>
      </c>
      <c r="H11" s="1506">
        <f>'Staff Hour Summary - Firm'!H13</f>
        <v>0</v>
      </c>
      <c r="I11" s="1506">
        <f>'Staff Hour Summary - Firm'!I13</f>
        <v>0</v>
      </c>
      <c r="J11" s="1506">
        <f>'Staff Hour Summary - Firm'!J13</f>
        <v>0</v>
      </c>
      <c r="K11" s="1506">
        <f>'Staff Hour Summary - Firm'!K13</f>
        <v>0</v>
      </c>
      <c r="L11" s="1506">
        <f>'Staff Hour Summary - Firm'!L13</f>
        <v>0</v>
      </c>
      <c r="M11" s="1506">
        <f>'Staff Hour Summary - Firm'!M13</f>
        <v>0</v>
      </c>
      <c r="N11" s="1506">
        <f>'Staff Hour Summary - Firm'!N13</f>
        <v>0</v>
      </c>
      <c r="O11" s="1506">
        <f t="shared" si="0"/>
        <v>0</v>
      </c>
      <c r="P11" s="1507">
        <f t="shared" si="1"/>
        <v>0</v>
      </c>
      <c r="Q11" s="1513" t="e">
        <f t="shared" si="2"/>
        <v>#DIV/0!</v>
      </c>
      <c r="R11" s="32"/>
      <c r="S11" s="32"/>
    </row>
    <row r="12" spans="1:19" ht="18" customHeight="1">
      <c r="A12" s="1464" t="str">
        <f>'Staff Hour Summary - Firm'!A14</f>
        <v>5. Roadway Plans</v>
      </c>
      <c r="B12" s="1506">
        <f>'Staff Hour Summary - Firm'!B14</f>
        <v>0</v>
      </c>
      <c r="C12" s="1506">
        <f>'Staff Hour Summary - Firm'!C14</f>
        <v>0</v>
      </c>
      <c r="D12" s="1506">
        <f>'Staff Hour Summary - Firm'!D14</f>
        <v>0</v>
      </c>
      <c r="E12" s="1506">
        <f>'Staff Hour Summary - Firm'!E14</f>
        <v>0</v>
      </c>
      <c r="F12" s="1506">
        <f>'Staff Hour Summary - Firm'!F14</f>
        <v>0</v>
      </c>
      <c r="G12" s="1506">
        <f>'Staff Hour Summary - Firm'!G14</f>
        <v>0</v>
      </c>
      <c r="H12" s="1506">
        <f>'Staff Hour Summary - Firm'!H14</f>
        <v>0</v>
      </c>
      <c r="I12" s="1506">
        <f>'Staff Hour Summary - Firm'!I14</f>
        <v>0</v>
      </c>
      <c r="J12" s="1506">
        <f>'Staff Hour Summary - Firm'!J14</f>
        <v>0</v>
      </c>
      <c r="K12" s="1506">
        <f>'Staff Hour Summary - Firm'!K14</f>
        <v>0</v>
      </c>
      <c r="L12" s="1506">
        <f>'Staff Hour Summary - Firm'!L14</f>
        <v>0</v>
      </c>
      <c r="M12" s="1506">
        <f>'Staff Hour Summary - Firm'!M14</f>
        <v>0</v>
      </c>
      <c r="N12" s="1506">
        <f>'Staff Hour Summary - Firm'!N14</f>
        <v>0</v>
      </c>
      <c r="O12" s="1506">
        <f t="shared" si="0"/>
        <v>0</v>
      </c>
      <c r="P12" s="1507">
        <f t="shared" si="1"/>
        <v>0</v>
      </c>
      <c r="Q12" s="1513" t="e">
        <f t="shared" si="2"/>
        <v>#DIV/0!</v>
      </c>
      <c r="R12" s="32"/>
      <c r="S12" s="32"/>
    </row>
    <row r="13" spans="1:19" ht="18" customHeight="1">
      <c r="A13" s="1464" t="str">
        <f>'Staff Hour Summary - Firm'!A15</f>
        <v>6a. Drainage Analysis</v>
      </c>
      <c r="B13" s="1506">
        <f>'Staff Hour Summary - Firm'!B15</f>
        <v>0</v>
      </c>
      <c r="C13" s="1506">
        <f>'Staff Hour Summary - Firm'!C15</f>
        <v>0</v>
      </c>
      <c r="D13" s="1506">
        <f>'Staff Hour Summary - Firm'!D15</f>
        <v>0</v>
      </c>
      <c r="E13" s="1506">
        <f>'Staff Hour Summary - Firm'!E15</f>
        <v>0</v>
      </c>
      <c r="F13" s="1506">
        <f>'Staff Hour Summary - Firm'!F15</f>
        <v>0</v>
      </c>
      <c r="G13" s="1506">
        <f>'Staff Hour Summary - Firm'!G15</f>
        <v>0</v>
      </c>
      <c r="H13" s="1506">
        <f>'Staff Hour Summary - Firm'!H15</f>
        <v>0</v>
      </c>
      <c r="I13" s="1506">
        <f>'Staff Hour Summary - Firm'!I15</f>
        <v>0</v>
      </c>
      <c r="J13" s="1506">
        <f>'Staff Hour Summary - Firm'!J15</f>
        <v>0</v>
      </c>
      <c r="K13" s="1506">
        <f>'Staff Hour Summary - Firm'!K15</f>
        <v>0</v>
      </c>
      <c r="L13" s="1506">
        <f>'Staff Hour Summary - Firm'!L15</f>
        <v>0</v>
      </c>
      <c r="M13" s="1506">
        <f>'Staff Hour Summary - Firm'!M15</f>
        <v>0</v>
      </c>
      <c r="N13" s="1506">
        <f>'Staff Hour Summary - Firm'!N15</f>
        <v>0</v>
      </c>
      <c r="O13" s="1506">
        <f t="shared" si="0"/>
        <v>0</v>
      </c>
      <c r="P13" s="1507">
        <f t="shared" si="1"/>
        <v>0</v>
      </c>
      <c r="Q13" s="1513" t="e">
        <f t="shared" si="2"/>
        <v>#DIV/0!</v>
      </c>
      <c r="R13" s="32"/>
      <c r="S13" s="32"/>
    </row>
    <row r="14" spans="1:19" ht="18" customHeight="1">
      <c r="A14" s="1464" t="str">
        <f>'Staff Hour Summary - Firm'!A16</f>
        <v>6b. Drainage Plans</v>
      </c>
      <c r="B14" s="1508">
        <f>'Staff Hour Summary - Firm'!B16</f>
        <v>0</v>
      </c>
      <c r="C14" s="1508">
        <f>'Staff Hour Summary - Firm'!C16</f>
        <v>0</v>
      </c>
      <c r="D14" s="1508">
        <f>'Staff Hour Summary - Firm'!D16</f>
        <v>0</v>
      </c>
      <c r="E14" s="1508">
        <f>'Staff Hour Summary - Firm'!E16</f>
        <v>0</v>
      </c>
      <c r="F14" s="1508">
        <f>'Staff Hour Summary - Firm'!F16</f>
        <v>0</v>
      </c>
      <c r="G14" s="1508">
        <f>'Staff Hour Summary - Firm'!G16</f>
        <v>0</v>
      </c>
      <c r="H14" s="1508">
        <f>'Staff Hour Summary - Firm'!H16</f>
        <v>0</v>
      </c>
      <c r="I14" s="1508">
        <f>'Staff Hour Summary - Firm'!I16</f>
        <v>0</v>
      </c>
      <c r="J14" s="1508">
        <f>'Staff Hour Summary - Firm'!J16</f>
        <v>0</v>
      </c>
      <c r="K14" s="1508">
        <f>'Staff Hour Summary - Firm'!K16</f>
        <v>0</v>
      </c>
      <c r="L14" s="1508">
        <f>'Staff Hour Summary - Firm'!L16</f>
        <v>0</v>
      </c>
      <c r="M14" s="1508">
        <f>'Staff Hour Summary - Firm'!M16</f>
        <v>0</v>
      </c>
      <c r="N14" s="1508">
        <f>'Staff Hour Summary - Firm'!N16</f>
        <v>0</v>
      </c>
      <c r="O14" s="1506">
        <f t="shared" si="0"/>
        <v>0</v>
      </c>
      <c r="P14" s="1509">
        <f>C14*$C$9+D14*$D$9+E14*$E$9+F14*$F$9+G14*$G$9+H14*$H$9+I14*$I$9+J14*$J$9+K14*$K$9+L14*$L$9+M14*$M$9+N14*$N$9</f>
        <v>0</v>
      </c>
      <c r="Q14" s="1514" t="e">
        <f>ROUND(+P14/O14,2)</f>
        <v>#DIV/0!</v>
      </c>
      <c r="R14" s="32"/>
      <c r="S14" s="32"/>
    </row>
    <row r="15" spans="1:19" ht="18" customHeight="1">
      <c r="A15" s="1464" t="str">
        <f>'Staff Hour Summary - Firm'!A17</f>
        <v>6c. Selective C&amp;G</v>
      </c>
      <c r="B15" s="1508">
        <f>'Staff Hour Summary - Firm'!B17</f>
        <v>0</v>
      </c>
      <c r="C15" s="1508">
        <f>'Staff Hour Summary - Firm'!C17</f>
        <v>0</v>
      </c>
      <c r="D15" s="1508">
        <f>'Staff Hour Summary - Firm'!D17</f>
        <v>0</v>
      </c>
      <c r="E15" s="1508">
        <f>'Staff Hour Summary - Firm'!E17</f>
        <v>0</v>
      </c>
      <c r="F15" s="1508">
        <f>'Staff Hour Summary - Firm'!F17</f>
        <v>0</v>
      </c>
      <c r="G15" s="1508">
        <f>'Staff Hour Summary - Firm'!G17</f>
        <v>0</v>
      </c>
      <c r="H15" s="1508">
        <f>'Staff Hour Summary - Firm'!H17</f>
        <v>0</v>
      </c>
      <c r="I15" s="1508">
        <f>'Staff Hour Summary - Firm'!I17</f>
        <v>0</v>
      </c>
      <c r="J15" s="1508">
        <f>'Staff Hour Summary - Firm'!J17</f>
        <v>0</v>
      </c>
      <c r="K15" s="1508">
        <f>'Staff Hour Summary - Firm'!K17</f>
        <v>0</v>
      </c>
      <c r="L15" s="1508">
        <f>'Staff Hour Summary - Firm'!L17</f>
        <v>0</v>
      </c>
      <c r="M15" s="1508">
        <f>'Staff Hour Summary - Firm'!M17</f>
        <v>0</v>
      </c>
      <c r="N15" s="1508">
        <f>'Staff Hour Summary - Firm'!N17</f>
        <v>0</v>
      </c>
      <c r="O15" s="1506">
        <f t="shared" ref="O15" si="3">SUM(C15:N15)</f>
        <v>0</v>
      </c>
      <c r="P15" s="1509">
        <f>C15*$C$9+D15*$D$9+E15*$E$9+F15*$F$9+G15*$G$9+H15*$H$9+I15*$I$9+J15*$J$9+K15*$K$9+L15*$L$9+M15*$M$9+N15*$N$9</f>
        <v>0</v>
      </c>
      <c r="Q15" s="1514" t="e">
        <f>ROUND(+P15/O15,2)</f>
        <v>#DIV/0!</v>
      </c>
      <c r="R15" s="32"/>
      <c r="S15" s="32"/>
    </row>
    <row r="16" spans="1:19" ht="18" customHeight="1">
      <c r="A16" s="1464" t="str">
        <f>'Staff Hour Summary - Firm'!A18</f>
        <v>7. Utilities</v>
      </c>
      <c r="B16" s="1506">
        <f>'Staff Hour Summary - Firm'!B18</f>
        <v>0</v>
      </c>
      <c r="C16" s="1506">
        <f>'Staff Hour Summary - Firm'!C18</f>
        <v>0</v>
      </c>
      <c r="D16" s="1506">
        <f>'Staff Hour Summary - Firm'!D18</f>
        <v>0</v>
      </c>
      <c r="E16" s="1506">
        <f>'Staff Hour Summary - Firm'!E18</f>
        <v>0</v>
      </c>
      <c r="F16" s="1506">
        <f>'Staff Hour Summary - Firm'!F18</f>
        <v>0</v>
      </c>
      <c r="G16" s="1506">
        <f>'Staff Hour Summary - Firm'!G18</f>
        <v>0</v>
      </c>
      <c r="H16" s="1506">
        <f>'Staff Hour Summary - Firm'!H18</f>
        <v>0</v>
      </c>
      <c r="I16" s="1506">
        <f>'Staff Hour Summary - Firm'!I18</f>
        <v>0</v>
      </c>
      <c r="J16" s="1506">
        <f>'Staff Hour Summary - Firm'!J18</f>
        <v>0</v>
      </c>
      <c r="K16" s="1506">
        <f>'Staff Hour Summary - Firm'!K18</f>
        <v>0</v>
      </c>
      <c r="L16" s="1506">
        <f>'Staff Hour Summary - Firm'!L18</f>
        <v>0</v>
      </c>
      <c r="M16" s="1506">
        <f>'Staff Hour Summary - Firm'!M18</f>
        <v>0</v>
      </c>
      <c r="N16" s="1506">
        <f>'Staff Hour Summary - Firm'!N18</f>
        <v>0</v>
      </c>
      <c r="O16" s="1506">
        <f t="shared" si="0"/>
        <v>0</v>
      </c>
      <c r="P16" s="1507">
        <f t="shared" si="1"/>
        <v>0</v>
      </c>
      <c r="Q16" s="1513" t="e">
        <f t="shared" si="2"/>
        <v>#DIV/0!</v>
      </c>
      <c r="R16" s="32"/>
      <c r="S16" s="32"/>
    </row>
    <row r="17" spans="1:19" ht="18" customHeight="1">
      <c r="A17" s="1464" t="str">
        <f>'Staff Hour Summary - Firm'!A19</f>
        <v>8. Environmental Permits,and Env. Clearances</v>
      </c>
      <c r="B17" s="1506">
        <f>'Staff Hour Summary - Firm'!B19</f>
        <v>0</v>
      </c>
      <c r="C17" s="1506">
        <f>'Staff Hour Summary - Firm'!C19</f>
        <v>0</v>
      </c>
      <c r="D17" s="1506">
        <f>'Staff Hour Summary - Firm'!D19</f>
        <v>0</v>
      </c>
      <c r="E17" s="1506">
        <f>'Staff Hour Summary - Firm'!E19</f>
        <v>0</v>
      </c>
      <c r="F17" s="1506">
        <f>'Staff Hour Summary - Firm'!F19</f>
        <v>0</v>
      </c>
      <c r="G17" s="1506">
        <f>'Staff Hour Summary - Firm'!G19</f>
        <v>0</v>
      </c>
      <c r="H17" s="1506">
        <f>'Staff Hour Summary - Firm'!H19</f>
        <v>0</v>
      </c>
      <c r="I17" s="1506">
        <f>'Staff Hour Summary - Firm'!I19</f>
        <v>0</v>
      </c>
      <c r="J17" s="1506">
        <f>'Staff Hour Summary - Firm'!J19</f>
        <v>0</v>
      </c>
      <c r="K17" s="1506">
        <f>'Staff Hour Summary - Firm'!K19</f>
        <v>0</v>
      </c>
      <c r="L17" s="1506">
        <f>'Staff Hour Summary - Firm'!L19</f>
        <v>0</v>
      </c>
      <c r="M17" s="1506">
        <f>'Staff Hour Summary - Firm'!M19</f>
        <v>0</v>
      </c>
      <c r="N17" s="1506">
        <f>'Staff Hour Summary - Firm'!N19</f>
        <v>0</v>
      </c>
      <c r="O17" s="1506">
        <f t="shared" si="0"/>
        <v>0</v>
      </c>
      <c r="P17" s="1507">
        <f t="shared" si="1"/>
        <v>0</v>
      </c>
      <c r="Q17" s="1513" t="e">
        <f t="shared" si="2"/>
        <v>#DIV/0!</v>
      </c>
      <c r="R17" s="32"/>
      <c r="S17" s="32"/>
    </row>
    <row r="18" spans="1:19" ht="18" customHeight="1">
      <c r="A18" s="1464" t="str">
        <f>'Staff Hour Summary - Firm'!A20</f>
        <v>9. Structures - Misc. Tasks, Dwgs, Non-Tech.</v>
      </c>
      <c r="B18" s="1506">
        <f>'Staff Hour Summary - Firm'!B20</f>
        <v>0</v>
      </c>
      <c r="C18" s="1506">
        <f>'Staff Hour Summary - Firm'!C20</f>
        <v>0</v>
      </c>
      <c r="D18" s="1506">
        <f>'Staff Hour Summary - Firm'!D20</f>
        <v>0</v>
      </c>
      <c r="E18" s="1506">
        <f>'Staff Hour Summary - Firm'!E20</f>
        <v>0</v>
      </c>
      <c r="F18" s="1506">
        <f>'Staff Hour Summary - Firm'!F20</f>
        <v>0</v>
      </c>
      <c r="G18" s="1506">
        <f>'Staff Hour Summary - Firm'!G20</f>
        <v>0</v>
      </c>
      <c r="H18" s="1506">
        <f>'Staff Hour Summary - Firm'!H20</f>
        <v>0</v>
      </c>
      <c r="I18" s="1506">
        <f>'Staff Hour Summary - Firm'!I20</f>
        <v>0</v>
      </c>
      <c r="J18" s="1506">
        <f>'Staff Hour Summary - Firm'!J20</f>
        <v>0</v>
      </c>
      <c r="K18" s="1506">
        <f>'Staff Hour Summary - Firm'!K20</f>
        <v>0</v>
      </c>
      <c r="L18" s="1506">
        <f>'Staff Hour Summary - Firm'!L20</f>
        <v>0</v>
      </c>
      <c r="M18" s="1506">
        <f>'Staff Hour Summary - Firm'!M20</f>
        <v>0</v>
      </c>
      <c r="N18" s="1506">
        <f>'Staff Hour Summary - Firm'!N20</f>
        <v>0</v>
      </c>
      <c r="O18" s="1506">
        <f t="shared" si="0"/>
        <v>0</v>
      </c>
      <c r="P18" s="1507">
        <f t="shared" si="1"/>
        <v>0</v>
      </c>
      <c r="Q18" s="1513" t="e">
        <f t="shared" si="2"/>
        <v>#DIV/0!</v>
      </c>
      <c r="R18" s="32"/>
      <c r="S18" s="32"/>
    </row>
    <row r="19" spans="1:19" ht="18" customHeight="1">
      <c r="A19" s="1464" t="str">
        <f>'Staff Hour Summary - Firm'!A21</f>
        <v>10. Structures - Bridge Development Report</v>
      </c>
      <c r="B19" s="1506">
        <f>'Staff Hour Summary - Firm'!B21</f>
        <v>0</v>
      </c>
      <c r="C19" s="1506">
        <f>'Staff Hour Summary - Firm'!C21</f>
        <v>0</v>
      </c>
      <c r="D19" s="1506">
        <f>'Staff Hour Summary - Firm'!D21</f>
        <v>0</v>
      </c>
      <c r="E19" s="1506">
        <f>'Staff Hour Summary - Firm'!E21</f>
        <v>0</v>
      </c>
      <c r="F19" s="1506">
        <f>'Staff Hour Summary - Firm'!F21</f>
        <v>0</v>
      </c>
      <c r="G19" s="1506">
        <f>'Staff Hour Summary - Firm'!G21</f>
        <v>0</v>
      </c>
      <c r="H19" s="1506">
        <f>'Staff Hour Summary - Firm'!H21</f>
        <v>0</v>
      </c>
      <c r="I19" s="1506">
        <f>'Staff Hour Summary - Firm'!I21</f>
        <v>0</v>
      </c>
      <c r="J19" s="1506">
        <f>'Staff Hour Summary - Firm'!J21</f>
        <v>0</v>
      </c>
      <c r="K19" s="1506">
        <f>'Staff Hour Summary - Firm'!K21</f>
        <v>0</v>
      </c>
      <c r="L19" s="1506">
        <f>'Staff Hour Summary - Firm'!L21</f>
        <v>0</v>
      </c>
      <c r="M19" s="1506">
        <f>'Staff Hour Summary - Firm'!M21</f>
        <v>0</v>
      </c>
      <c r="N19" s="1506">
        <f>'Staff Hour Summary - Firm'!N21</f>
        <v>0</v>
      </c>
      <c r="O19" s="1506">
        <f t="shared" si="0"/>
        <v>0</v>
      </c>
      <c r="P19" s="1507">
        <f t="shared" si="1"/>
        <v>0</v>
      </c>
      <c r="Q19" s="1513" t="e">
        <f t="shared" si="2"/>
        <v>#DIV/0!</v>
      </c>
      <c r="R19" s="32"/>
      <c r="S19" s="32"/>
    </row>
    <row r="20" spans="1:19" ht="18" customHeight="1">
      <c r="A20" s="1464" t="str">
        <f>'Staff Hour Summary - Firm'!A22</f>
        <v>11. Structures - Temporary Bridge</v>
      </c>
      <c r="B20" s="1506">
        <f>'Staff Hour Summary - Firm'!B22</f>
        <v>0</v>
      </c>
      <c r="C20" s="1506">
        <f>'Staff Hour Summary - Firm'!C22</f>
        <v>0</v>
      </c>
      <c r="D20" s="1506">
        <f>'Staff Hour Summary - Firm'!D22</f>
        <v>0</v>
      </c>
      <c r="E20" s="1506">
        <f>'Staff Hour Summary - Firm'!E22</f>
        <v>0</v>
      </c>
      <c r="F20" s="1506">
        <f>'Staff Hour Summary - Firm'!F22</f>
        <v>0</v>
      </c>
      <c r="G20" s="1506">
        <f>'Staff Hour Summary - Firm'!G22</f>
        <v>0</v>
      </c>
      <c r="H20" s="1506">
        <f>'Staff Hour Summary - Firm'!H22</f>
        <v>0</v>
      </c>
      <c r="I20" s="1506">
        <f>'Staff Hour Summary - Firm'!I22</f>
        <v>0</v>
      </c>
      <c r="J20" s="1506">
        <f>'Staff Hour Summary - Firm'!J22</f>
        <v>0</v>
      </c>
      <c r="K20" s="1506">
        <f>'Staff Hour Summary - Firm'!K22</f>
        <v>0</v>
      </c>
      <c r="L20" s="1506">
        <f>'Staff Hour Summary - Firm'!L22</f>
        <v>0</v>
      </c>
      <c r="M20" s="1506">
        <f>'Staff Hour Summary - Firm'!M22</f>
        <v>0</v>
      </c>
      <c r="N20" s="1506">
        <f>'Staff Hour Summary - Firm'!N22</f>
        <v>0</v>
      </c>
      <c r="O20" s="1506">
        <f t="shared" si="0"/>
        <v>0</v>
      </c>
      <c r="P20" s="1507">
        <f t="shared" si="1"/>
        <v>0</v>
      </c>
      <c r="Q20" s="1513" t="e">
        <f t="shared" si="2"/>
        <v>#DIV/0!</v>
      </c>
      <c r="R20" s="32"/>
      <c r="S20" s="32"/>
    </row>
    <row r="21" spans="1:19" ht="18" customHeight="1">
      <c r="A21" s="1464" t="str">
        <f>'Staff Hour Summary - Firm'!A23</f>
        <v>12. Structures - Short Span Concrete Bridge</v>
      </c>
      <c r="B21" s="1506">
        <f>'Staff Hour Summary - Firm'!B23</f>
        <v>0</v>
      </c>
      <c r="C21" s="1506">
        <f>'Staff Hour Summary - Firm'!C23</f>
        <v>0</v>
      </c>
      <c r="D21" s="1506">
        <f>'Staff Hour Summary - Firm'!D23</f>
        <v>0</v>
      </c>
      <c r="E21" s="1506">
        <f>'Staff Hour Summary - Firm'!E23</f>
        <v>0</v>
      </c>
      <c r="F21" s="1506">
        <f>'Staff Hour Summary - Firm'!F23</f>
        <v>0</v>
      </c>
      <c r="G21" s="1506">
        <f>'Staff Hour Summary - Firm'!G23</f>
        <v>0</v>
      </c>
      <c r="H21" s="1506">
        <f>'Staff Hour Summary - Firm'!H23</f>
        <v>0</v>
      </c>
      <c r="I21" s="1506">
        <f>'Staff Hour Summary - Firm'!I23</f>
        <v>0</v>
      </c>
      <c r="J21" s="1506">
        <f>'Staff Hour Summary - Firm'!J23</f>
        <v>0</v>
      </c>
      <c r="K21" s="1506">
        <f>'Staff Hour Summary - Firm'!K23</f>
        <v>0</v>
      </c>
      <c r="L21" s="1506">
        <f>'Staff Hour Summary - Firm'!L23</f>
        <v>0</v>
      </c>
      <c r="M21" s="1506">
        <f>'Staff Hour Summary - Firm'!M23</f>
        <v>0</v>
      </c>
      <c r="N21" s="1506">
        <f>'Staff Hour Summary - Firm'!N23</f>
        <v>0</v>
      </c>
      <c r="O21" s="1506">
        <f t="shared" si="0"/>
        <v>0</v>
      </c>
      <c r="P21" s="1507">
        <f t="shared" si="1"/>
        <v>0</v>
      </c>
      <c r="Q21" s="1513" t="e">
        <f t="shared" si="2"/>
        <v>#DIV/0!</v>
      </c>
      <c r="R21" s="32"/>
      <c r="S21" s="32"/>
    </row>
    <row r="22" spans="1:19" ht="18" customHeight="1">
      <c r="A22" s="1464" t="str">
        <f>'Staff Hour Summary - Firm'!A24</f>
        <v>13. Structures - Medium Span Concrete Bridge</v>
      </c>
      <c r="B22" s="1506">
        <f>'Staff Hour Summary - Firm'!B24</f>
        <v>0</v>
      </c>
      <c r="C22" s="1506">
        <f>'Staff Hour Summary - Firm'!C24</f>
        <v>0</v>
      </c>
      <c r="D22" s="1506">
        <f>'Staff Hour Summary - Firm'!D24</f>
        <v>0</v>
      </c>
      <c r="E22" s="1506">
        <f>'Staff Hour Summary - Firm'!E24</f>
        <v>0</v>
      </c>
      <c r="F22" s="1506">
        <f>'Staff Hour Summary - Firm'!F24</f>
        <v>0</v>
      </c>
      <c r="G22" s="1506">
        <f>'Staff Hour Summary - Firm'!G24</f>
        <v>0</v>
      </c>
      <c r="H22" s="1506">
        <f>'Staff Hour Summary - Firm'!H24</f>
        <v>0</v>
      </c>
      <c r="I22" s="1506">
        <f>'Staff Hour Summary - Firm'!I24</f>
        <v>0</v>
      </c>
      <c r="J22" s="1506">
        <f>'Staff Hour Summary - Firm'!J24</f>
        <v>0</v>
      </c>
      <c r="K22" s="1506">
        <f>'Staff Hour Summary - Firm'!K24</f>
        <v>0</v>
      </c>
      <c r="L22" s="1506">
        <f>'Staff Hour Summary - Firm'!L24</f>
        <v>0</v>
      </c>
      <c r="M22" s="1506">
        <f>'Staff Hour Summary - Firm'!M24</f>
        <v>0</v>
      </c>
      <c r="N22" s="1506">
        <f>'Staff Hour Summary - Firm'!N24</f>
        <v>0</v>
      </c>
      <c r="O22" s="1506">
        <f t="shared" si="0"/>
        <v>0</v>
      </c>
      <c r="P22" s="1507">
        <f t="shared" si="1"/>
        <v>0</v>
      </c>
      <c r="Q22" s="1513" t="e">
        <f t="shared" si="2"/>
        <v>#DIV/0!</v>
      </c>
      <c r="R22" s="32"/>
      <c r="S22" s="32"/>
    </row>
    <row r="23" spans="1:19" ht="18" customHeight="1">
      <c r="A23" s="1464" t="str">
        <f>'Staff Hour Summary - Firm'!A25</f>
        <v>14. Structures - Structural Steel Bridge</v>
      </c>
      <c r="B23" s="1506">
        <f>'Staff Hour Summary - Firm'!B25</f>
        <v>0</v>
      </c>
      <c r="C23" s="1506">
        <f>'Staff Hour Summary - Firm'!C25</f>
        <v>0</v>
      </c>
      <c r="D23" s="1506">
        <f>'Staff Hour Summary - Firm'!D25</f>
        <v>0</v>
      </c>
      <c r="E23" s="1506">
        <f>'Staff Hour Summary - Firm'!E25</f>
        <v>0</v>
      </c>
      <c r="F23" s="1506">
        <f>'Staff Hour Summary - Firm'!F25</f>
        <v>0</v>
      </c>
      <c r="G23" s="1506">
        <f>'Staff Hour Summary - Firm'!G25</f>
        <v>0</v>
      </c>
      <c r="H23" s="1506">
        <f>'Staff Hour Summary - Firm'!H25</f>
        <v>0</v>
      </c>
      <c r="I23" s="1506">
        <f>'Staff Hour Summary - Firm'!I25</f>
        <v>0</v>
      </c>
      <c r="J23" s="1506">
        <f>'Staff Hour Summary - Firm'!J25</f>
        <v>0</v>
      </c>
      <c r="K23" s="1506">
        <f>'Staff Hour Summary - Firm'!K25</f>
        <v>0</v>
      </c>
      <c r="L23" s="1506">
        <f>'Staff Hour Summary - Firm'!L25</f>
        <v>0</v>
      </c>
      <c r="M23" s="1506">
        <f>'Staff Hour Summary - Firm'!M25</f>
        <v>0</v>
      </c>
      <c r="N23" s="1506">
        <f>'Staff Hour Summary - Firm'!N25</f>
        <v>0</v>
      </c>
      <c r="O23" s="1506">
        <f t="shared" si="0"/>
        <v>0</v>
      </c>
      <c r="P23" s="1507">
        <f t="shared" si="1"/>
        <v>0</v>
      </c>
      <c r="Q23" s="1513" t="e">
        <f t="shared" si="2"/>
        <v>#DIV/0!</v>
      </c>
      <c r="R23" s="32"/>
      <c r="S23" s="32"/>
    </row>
    <row r="24" spans="1:19" ht="18" customHeight="1">
      <c r="A24" s="1464" t="str">
        <f>'Staff Hour Summary - Firm'!A26</f>
        <v>15. Structures - Segmental Concrete Bridge</v>
      </c>
      <c r="B24" s="1506">
        <f>'Staff Hour Summary - Firm'!B26</f>
        <v>0</v>
      </c>
      <c r="C24" s="1506">
        <f>'Staff Hour Summary - Firm'!C26</f>
        <v>0</v>
      </c>
      <c r="D24" s="1506">
        <f>'Staff Hour Summary - Firm'!D26</f>
        <v>0</v>
      </c>
      <c r="E24" s="1506">
        <f>'Staff Hour Summary - Firm'!E26</f>
        <v>0</v>
      </c>
      <c r="F24" s="1506">
        <f>'Staff Hour Summary - Firm'!F26</f>
        <v>0</v>
      </c>
      <c r="G24" s="1506">
        <f>'Staff Hour Summary - Firm'!G26</f>
        <v>0</v>
      </c>
      <c r="H24" s="1506">
        <f>'Staff Hour Summary - Firm'!H26</f>
        <v>0</v>
      </c>
      <c r="I24" s="1506">
        <f>'Staff Hour Summary - Firm'!I26</f>
        <v>0</v>
      </c>
      <c r="J24" s="1506">
        <f>'Staff Hour Summary - Firm'!J26</f>
        <v>0</v>
      </c>
      <c r="K24" s="1506">
        <f>'Staff Hour Summary - Firm'!K26</f>
        <v>0</v>
      </c>
      <c r="L24" s="1506">
        <f>'Staff Hour Summary - Firm'!L26</f>
        <v>0</v>
      </c>
      <c r="M24" s="1506">
        <f>'Staff Hour Summary - Firm'!M26</f>
        <v>0</v>
      </c>
      <c r="N24" s="1506">
        <f>'Staff Hour Summary - Firm'!N26</f>
        <v>0</v>
      </c>
      <c r="O24" s="1506">
        <f t="shared" si="0"/>
        <v>0</v>
      </c>
      <c r="P24" s="1507">
        <f t="shared" si="1"/>
        <v>0</v>
      </c>
      <c r="Q24" s="1513" t="e">
        <f t="shared" si="2"/>
        <v>#DIV/0!</v>
      </c>
      <c r="R24" s="32"/>
      <c r="S24" s="32"/>
    </row>
    <row r="25" spans="1:19" ht="18" customHeight="1">
      <c r="A25" s="1464" t="str">
        <f>'Staff Hour Summary - Firm'!A27</f>
        <v>16. Structures - Movable Span</v>
      </c>
      <c r="B25" s="1506">
        <f>'Staff Hour Summary - Firm'!B27</f>
        <v>0</v>
      </c>
      <c r="C25" s="1506">
        <f>'Staff Hour Summary - Firm'!C27</f>
        <v>0</v>
      </c>
      <c r="D25" s="1506">
        <f>'Staff Hour Summary - Firm'!D27</f>
        <v>0</v>
      </c>
      <c r="E25" s="1506">
        <f>'Staff Hour Summary - Firm'!E27</f>
        <v>0</v>
      </c>
      <c r="F25" s="1506">
        <f>'Staff Hour Summary - Firm'!F27</f>
        <v>0</v>
      </c>
      <c r="G25" s="1506">
        <f>'Staff Hour Summary - Firm'!G27</f>
        <v>0</v>
      </c>
      <c r="H25" s="1506">
        <f>'Staff Hour Summary - Firm'!H27</f>
        <v>0</v>
      </c>
      <c r="I25" s="1506">
        <f>'Staff Hour Summary - Firm'!I27</f>
        <v>0</v>
      </c>
      <c r="J25" s="1506">
        <f>'Staff Hour Summary - Firm'!J27</f>
        <v>0</v>
      </c>
      <c r="K25" s="1506">
        <f>'Staff Hour Summary - Firm'!K27</f>
        <v>0</v>
      </c>
      <c r="L25" s="1506">
        <f>'Staff Hour Summary - Firm'!L27</f>
        <v>0</v>
      </c>
      <c r="M25" s="1506">
        <f>'Staff Hour Summary - Firm'!M27</f>
        <v>0</v>
      </c>
      <c r="N25" s="1506">
        <f>'Staff Hour Summary - Firm'!N27</f>
        <v>0</v>
      </c>
      <c r="O25" s="1506">
        <f t="shared" si="0"/>
        <v>0</v>
      </c>
      <c r="P25" s="1507">
        <f t="shared" si="1"/>
        <v>0</v>
      </c>
      <c r="Q25" s="1513" t="e">
        <f t="shared" si="2"/>
        <v>#DIV/0!</v>
      </c>
      <c r="R25" s="32"/>
      <c r="S25" s="32"/>
    </row>
    <row r="26" spans="1:19" ht="18" customHeight="1">
      <c r="A26" s="1464" t="str">
        <f>'Staff Hour Summary - Firm'!A28</f>
        <v>17. Structures - Retaining Walls</v>
      </c>
      <c r="B26" s="1506">
        <f>'Staff Hour Summary - Firm'!B28</f>
        <v>0</v>
      </c>
      <c r="C26" s="1506">
        <f>'Staff Hour Summary - Firm'!C28</f>
        <v>0</v>
      </c>
      <c r="D26" s="1506">
        <f>'Staff Hour Summary - Firm'!D28</f>
        <v>0</v>
      </c>
      <c r="E26" s="1506">
        <f>'Staff Hour Summary - Firm'!E28</f>
        <v>0</v>
      </c>
      <c r="F26" s="1506">
        <f>'Staff Hour Summary - Firm'!F28</f>
        <v>0</v>
      </c>
      <c r="G26" s="1506">
        <f>'Staff Hour Summary - Firm'!G28</f>
        <v>0</v>
      </c>
      <c r="H26" s="1506">
        <f>'Staff Hour Summary - Firm'!H28</f>
        <v>0</v>
      </c>
      <c r="I26" s="1506">
        <f>'Staff Hour Summary - Firm'!I28</f>
        <v>0</v>
      </c>
      <c r="J26" s="1506">
        <f>'Staff Hour Summary - Firm'!J28</f>
        <v>0</v>
      </c>
      <c r="K26" s="1506">
        <f>'Staff Hour Summary - Firm'!K28</f>
        <v>0</v>
      </c>
      <c r="L26" s="1506">
        <f>'Staff Hour Summary - Firm'!L28</f>
        <v>0</v>
      </c>
      <c r="M26" s="1506">
        <f>'Staff Hour Summary - Firm'!M28</f>
        <v>0</v>
      </c>
      <c r="N26" s="1506">
        <f>'Staff Hour Summary - Firm'!N28</f>
        <v>0</v>
      </c>
      <c r="O26" s="1506">
        <f t="shared" si="0"/>
        <v>0</v>
      </c>
      <c r="P26" s="1507">
        <f t="shared" si="1"/>
        <v>0</v>
      </c>
      <c r="Q26" s="1513" t="e">
        <f t="shared" si="2"/>
        <v>#DIV/0!</v>
      </c>
      <c r="R26" s="32"/>
      <c r="S26" s="32"/>
    </row>
    <row r="27" spans="1:19" ht="18" customHeight="1">
      <c r="A27" s="1464" t="str">
        <f>'Staff Hour Summary - Firm'!A29</f>
        <v>18. Structures - Miscellaneous</v>
      </c>
      <c r="B27" s="1506">
        <f>'Staff Hour Summary - Firm'!B29</f>
        <v>0</v>
      </c>
      <c r="C27" s="1506">
        <f>'Staff Hour Summary - Firm'!C29</f>
        <v>0</v>
      </c>
      <c r="D27" s="1506">
        <f>'Staff Hour Summary - Firm'!D29</f>
        <v>0</v>
      </c>
      <c r="E27" s="1506">
        <f>'Staff Hour Summary - Firm'!E29</f>
        <v>0</v>
      </c>
      <c r="F27" s="1506">
        <f>'Staff Hour Summary - Firm'!F29</f>
        <v>0</v>
      </c>
      <c r="G27" s="1506">
        <f>'Staff Hour Summary - Firm'!G29</f>
        <v>0</v>
      </c>
      <c r="H27" s="1506">
        <f>'Staff Hour Summary - Firm'!H29</f>
        <v>0</v>
      </c>
      <c r="I27" s="1506">
        <f>'Staff Hour Summary - Firm'!I29</f>
        <v>0</v>
      </c>
      <c r="J27" s="1506">
        <f>'Staff Hour Summary - Firm'!J29</f>
        <v>0</v>
      </c>
      <c r="K27" s="1506">
        <f>'Staff Hour Summary - Firm'!K29</f>
        <v>0</v>
      </c>
      <c r="L27" s="1506">
        <f>'Staff Hour Summary - Firm'!L29</f>
        <v>0</v>
      </c>
      <c r="M27" s="1506">
        <f>'Staff Hour Summary - Firm'!M29</f>
        <v>0</v>
      </c>
      <c r="N27" s="1506">
        <f>'Staff Hour Summary - Firm'!N29</f>
        <v>0</v>
      </c>
      <c r="O27" s="1506">
        <f t="shared" si="0"/>
        <v>0</v>
      </c>
      <c r="P27" s="1507">
        <f t="shared" si="1"/>
        <v>0</v>
      </c>
      <c r="Q27" s="1513" t="e">
        <f t="shared" si="2"/>
        <v>#DIV/0!</v>
      </c>
      <c r="R27" s="32"/>
      <c r="S27" s="32"/>
    </row>
    <row r="28" spans="1:19" ht="18" customHeight="1">
      <c r="A28" s="1464" t="str">
        <f>'Staff Hour Summary - Firm'!A30</f>
        <v>19. Signing &amp; Pavement Marking Analysis</v>
      </c>
      <c r="B28" s="1506">
        <f>'Staff Hour Summary - Firm'!B30</f>
        <v>0</v>
      </c>
      <c r="C28" s="1506">
        <f>'Staff Hour Summary - Firm'!C30</f>
        <v>0</v>
      </c>
      <c r="D28" s="1506">
        <f>'Staff Hour Summary - Firm'!D30</f>
        <v>0</v>
      </c>
      <c r="E28" s="1506">
        <f>'Staff Hour Summary - Firm'!E30</f>
        <v>0</v>
      </c>
      <c r="F28" s="1506">
        <f>'Staff Hour Summary - Firm'!F30</f>
        <v>0</v>
      </c>
      <c r="G28" s="1506">
        <f>'Staff Hour Summary - Firm'!G30</f>
        <v>0</v>
      </c>
      <c r="H28" s="1506">
        <f>'Staff Hour Summary - Firm'!H30</f>
        <v>0</v>
      </c>
      <c r="I28" s="1506">
        <f>'Staff Hour Summary - Firm'!I30</f>
        <v>0</v>
      </c>
      <c r="J28" s="1506">
        <f>'Staff Hour Summary - Firm'!J30</f>
        <v>0</v>
      </c>
      <c r="K28" s="1506">
        <f>'Staff Hour Summary - Firm'!K30</f>
        <v>0</v>
      </c>
      <c r="L28" s="1506">
        <f>'Staff Hour Summary - Firm'!L30</f>
        <v>0</v>
      </c>
      <c r="M28" s="1506">
        <f>'Staff Hour Summary - Firm'!M30</f>
        <v>0</v>
      </c>
      <c r="N28" s="1506">
        <f>'Staff Hour Summary - Firm'!N30</f>
        <v>0</v>
      </c>
      <c r="O28" s="1506">
        <f t="shared" si="0"/>
        <v>0</v>
      </c>
      <c r="P28" s="1507">
        <f t="shared" si="1"/>
        <v>0</v>
      </c>
      <c r="Q28" s="1513" t="e">
        <f t="shared" si="2"/>
        <v>#DIV/0!</v>
      </c>
      <c r="R28" s="32"/>
      <c r="S28" s="32"/>
    </row>
    <row r="29" spans="1:19" ht="18" customHeight="1">
      <c r="A29" s="1464" t="str">
        <f>'Staff Hour Summary - Firm'!A31</f>
        <v>20. Signing &amp; Pavement Marking Plans</v>
      </c>
      <c r="B29" s="1506">
        <f>'Staff Hour Summary - Firm'!B31</f>
        <v>0</v>
      </c>
      <c r="C29" s="1506">
        <f>'Staff Hour Summary - Firm'!C31</f>
        <v>0</v>
      </c>
      <c r="D29" s="1506">
        <f>'Staff Hour Summary - Firm'!D31</f>
        <v>0</v>
      </c>
      <c r="E29" s="1506">
        <f>'Staff Hour Summary - Firm'!E31</f>
        <v>0</v>
      </c>
      <c r="F29" s="1506">
        <f>'Staff Hour Summary - Firm'!F31</f>
        <v>0</v>
      </c>
      <c r="G29" s="1506">
        <f>'Staff Hour Summary - Firm'!G31</f>
        <v>0</v>
      </c>
      <c r="H29" s="1506">
        <f>'Staff Hour Summary - Firm'!H31</f>
        <v>0</v>
      </c>
      <c r="I29" s="1506">
        <f>'Staff Hour Summary - Firm'!I31</f>
        <v>0</v>
      </c>
      <c r="J29" s="1506">
        <f>'Staff Hour Summary - Firm'!J31</f>
        <v>0</v>
      </c>
      <c r="K29" s="1506">
        <f>'Staff Hour Summary - Firm'!K31</f>
        <v>0</v>
      </c>
      <c r="L29" s="1506">
        <f>'Staff Hour Summary - Firm'!L31</f>
        <v>0</v>
      </c>
      <c r="M29" s="1506">
        <f>'Staff Hour Summary - Firm'!M31</f>
        <v>0</v>
      </c>
      <c r="N29" s="1506">
        <f>'Staff Hour Summary - Firm'!N31</f>
        <v>0</v>
      </c>
      <c r="O29" s="1506">
        <f t="shared" si="0"/>
        <v>0</v>
      </c>
      <c r="P29" s="1507">
        <f t="shared" si="1"/>
        <v>0</v>
      </c>
      <c r="Q29" s="1513" t="e">
        <f t="shared" si="2"/>
        <v>#DIV/0!</v>
      </c>
      <c r="R29" s="32"/>
      <c r="S29" s="32"/>
    </row>
    <row r="30" spans="1:19" ht="18" customHeight="1">
      <c r="A30" s="1464" t="str">
        <f>'Staff Hour Summary - Firm'!A32</f>
        <v>21. Signalization Analysis</v>
      </c>
      <c r="B30" s="1506">
        <f>'Staff Hour Summary - Firm'!B32</f>
        <v>0</v>
      </c>
      <c r="C30" s="1506">
        <f>'Staff Hour Summary - Firm'!C32</f>
        <v>0</v>
      </c>
      <c r="D30" s="1506">
        <f>'Staff Hour Summary - Firm'!D32</f>
        <v>0</v>
      </c>
      <c r="E30" s="1506">
        <f>'Staff Hour Summary - Firm'!E32</f>
        <v>0</v>
      </c>
      <c r="F30" s="1506">
        <f>'Staff Hour Summary - Firm'!F32</f>
        <v>0</v>
      </c>
      <c r="G30" s="1506">
        <f>'Staff Hour Summary - Firm'!G32</f>
        <v>0</v>
      </c>
      <c r="H30" s="1506">
        <f>'Staff Hour Summary - Firm'!H32</f>
        <v>0</v>
      </c>
      <c r="I30" s="1506">
        <f>'Staff Hour Summary - Firm'!I32</f>
        <v>0</v>
      </c>
      <c r="J30" s="1506">
        <f>'Staff Hour Summary - Firm'!J32</f>
        <v>0</v>
      </c>
      <c r="K30" s="1506">
        <f>'Staff Hour Summary - Firm'!K32</f>
        <v>0</v>
      </c>
      <c r="L30" s="1506">
        <f>'Staff Hour Summary - Firm'!L32</f>
        <v>0</v>
      </c>
      <c r="M30" s="1506">
        <f>'Staff Hour Summary - Firm'!M32</f>
        <v>0</v>
      </c>
      <c r="N30" s="1506">
        <f>'Staff Hour Summary - Firm'!N32</f>
        <v>0</v>
      </c>
      <c r="O30" s="1506">
        <f t="shared" si="0"/>
        <v>0</v>
      </c>
      <c r="P30" s="1507">
        <f t="shared" si="1"/>
        <v>0</v>
      </c>
      <c r="Q30" s="1513" t="e">
        <f t="shared" si="2"/>
        <v>#DIV/0!</v>
      </c>
      <c r="R30" s="32"/>
      <c r="S30" s="32"/>
    </row>
    <row r="31" spans="1:19" ht="18" customHeight="1">
      <c r="A31" s="1464" t="str">
        <f>'Staff Hour Summary - Firm'!A33</f>
        <v>22. Signalization Plans</v>
      </c>
      <c r="B31" s="1506">
        <f>'Staff Hour Summary - Firm'!B33</f>
        <v>0</v>
      </c>
      <c r="C31" s="1506">
        <f>'Staff Hour Summary - Firm'!C33</f>
        <v>0</v>
      </c>
      <c r="D31" s="1506">
        <f>'Staff Hour Summary - Firm'!D33</f>
        <v>0</v>
      </c>
      <c r="E31" s="1506">
        <f>'Staff Hour Summary - Firm'!E33</f>
        <v>0</v>
      </c>
      <c r="F31" s="1506">
        <f>'Staff Hour Summary - Firm'!F33</f>
        <v>0</v>
      </c>
      <c r="G31" s="1506">
        <f>'Staff Hour Summary - Firm'!G33</f>
        <v>0</v>
      </c>
      <c r="H31" s="1506">
        <f>'Staff Hour Summary - Firm'!H33</f>
        <v>0</v>
      </c>
      <c r="I31" s="1506">
        <f>'Staff Hour Summary - Firm'!I33</f>
        <v>0</v>
      </c>
      <c r="J31" s="1506">
        <f>'Staff Hour Summary - Firm'!J33</f>
        <v>0</v>
      </c>
      <c r="K31" s="1506">
        <f>'Staff Hour Summary - Firm'!K33</f>
        <v>0</v>
      </c>
      <c r="L31" s="1506">
        <f>'Staff Hour Summary - Firm'!L33</f>
        <v>0</v>
      </c>
      <c r="M31" s="1506">
        <f>'Staff Hour Summary - Firm'!M33</f>
        <v>0</v>
      </c>
      <c r="N31" s="1506">
        <f>'Staff Hour Summary - Firm'!N33</f>
        <v>0</v>
      </c>
      <c r="O31" s="1506">
        <f t="shared" si="0"/>
        <v>0</v>
      </c>
      <c r="P31" s="1507">
        <f t="shared" si="1"/>
        <v>0</v>
      </c>
      <c r="Q31" s="1513" t="e">
        <f t="shared" si="2"/>
        <v>#DIV/0!</v>
      </c>
      <c r="R31" s="32"/>
      <c r="S31" s="32"/>
    </row>
    <row r="32" spans="1:19" ht="18" customHeight="1">
      <c r="A32" s="1464" t="str">
        <f>'Staff Hour Summary - Firm'!A34</f>
        <v>23. Lighting Analysis</v>
      </c>
      <c r="B32" s="1506">
        <f>'Staff Hour Summary - Firm'!B34</f>
        <v>0</v>
      </c>
      <c r="C32" s="1506">
        <f>'Staff Hour Summary - Firm'!C34</f>
        <v>0</v>
      </c>
      <c r="D32" s="1506">
        <f>'Staff Hour Summary - Firm'!D34</f>
        <v>0</v>
      </c>
      <c r="E32" s="1506">
        <f>'Staff Hour Summary - Firm'!E34</f>
        <v>0</v>
      </c>
      <c r="F32" s="1506">
        <f>'Staff Hour Summary - Firm'!F34</f>
        <v>0</v>
      </c>
      <c r="G32" s="1506">
        <f>'Staff Hour Summary - Firm'!G34</f>
        <v>0</v>
      </c>
      <c r="H32" s="1506">
        <f>'Staff Hour Summary - Firm'!H34</f>
        <v>0</v>
      </c>
      <c r="I32" s="1506">
        <f>'Staff Hour Summary - Firm'!I34</f>
        <v>0</v>
      </c>
      <c r="J32" s="1506">
        <f>'Staff Hour Summary - Firm'!J34</f>
        <v>0</v>
      </c>
      <c r="K32" s="1506">
        <f>'Staff Hour Summary - Firm'!K34</f>
        <v>0</v>
      </c>
      <c r="L32" s="1506">
        <f>'Staff Hour Summary - Firm'!L34</f>
        <v>0</v>
      </c>
      <c r="M32" s="1506">
        <f>'Staff Hour Summary - Firm'!M34</f>
        <v>0</v>
      </c>
      <c r="N32" s="1506">
        <f>'Staff Hour Summary - Firm'!N34</f>
        <v>0</v>
      </c>
      <c r="O32" s="1506">
        <f t="shared" si="0"/>
        <v>0</v>
      </c>
      <c r="P32" s="1507">
        <f t="shared" si="1"/>
        <v>0</v>
      </c>
      <c r="Q32" s="1513" t="e">
        <f t="shared" si="2"/>
        <v>#DIV/0!</v>
      </c>
      <c r="R32" s="32"/>
      <c r="S32" s="32"/>
    </row>
    <row r="33" spans="1:19" ht="18" customHeight="1">
      <c r="A33" s="1464" t="str">
        <f>'Staff Hour Summary - Firm'!A35</f>
        <v>24. Lighting Plans</v>
      </c>
      <c r="B33" s="1506">
        <f>'Staff Hour Summary - Firm'!B35</f>
        <v>0</v>
      </c>
      <c r="C33" s="1506">
        <f>'Staff Hour Summary - Firm'!C35</f>
        <v>0</v>
      </c>
      <c r="D33" s="1506">
        <f>'Staff Hour Summary - Firm'!D35</f>
        <v>0</v>
      </c>
      <c r="E33" s="1506">
        <f>'Staff Hour Summary - Firm'!E35</f>
        <v>0</v>
      </c>
      <c r="F33" s="1506">
        <f>'Staff Hour Summary - Firm'!F35</f>
        <v>0</v>
      </c>
      <c r="G33" s="1506">
        <f>'Staff Hour Summary - Firm'!G35</f>
        <v>0</v>
      </c>
      <c r="H33" s="1506">
        <f>'Staff Hour Summary - Firm'!H35</f>
        <v>0</v>
      </c>
      <c r="I33" s="1506">
        <f>'Staff Hour Summary - Firm'!I35</f>
        <v>0</v>
      </c>
      <c r="J33" s="1506">
        <f>'Staff Hour Summary - Firm'!J35</f>
        <v>0</v>
      </c>
      <c r="K33" s="1506">
        <f>'Staff Hour Summary - Firm'!K35</f>
        <v>0</v>
      </c>
      <c r="L33" s="1506">
        <f>'Staff Hour Summary - Firm'!L35</f>
        <v>0</v>
      </c>
      <c r="M33" s="1506">
        <f>'Staff Hour Summary - Firm'!M35</f>
        <v>0</v>
      </c>
      <c r="N33" s="1506">
        <f>'Staff Hour Summary - Firm'!N35</f>
        <v>0</v>
      </c>
      <c r="O33" s="1506">
        <f t="shared" si="0"/>
        <v>0</v>
      </c>
      <c r="P33" s="1507">
        <f t="shared" si="1"/>
        <v>0</v>
      </c>
      <c r="Q33" s="1513" t="e">
        <f t="shared" si="2"/>
        <v>#DIV/0!</v>
      </c>
      <c r="R33" s="32"/>
      <c r="S33" s="32"/>
    </row>
    <row r="34" spans="1:19" ht="18" customHeight="1">
      <c r="A34" s="1464" t="str">
        <f>'Staff Hour Summary - Firm'!A36</f>
        <v>25. Landscape Analysis</v>
      </c>
      <c r="B34" s="1506">
        <f>'Staff Hour Summary - Firm'!B36</f>
        <v>0</v>
      </c>
      <c r="C34" s="1506">
        <f>'Staff Hour Summary - Firm'!C36</f>
        <v>0</v>
      </c>
      <c r="D34" s="1506">
        <f>'Staff Hour Summary - Firm'!D36</f>
        <v>0</v>
      </c>
      <c r="E34" s="1506">
        <f>'Staff Hour Summary - Firm'!E36</f>
        <v>0</v>
      </c>
      <c r="F34" s="1506">
        <f>'Staff Hour Summary - Firm'!F36</f>
        <v>0</v>
      </c>
      <c r="G34" s="1506">
        <f>'Staff Hour Summary - Firm'!G36</f>
        <v>0</v>
      </c>
      <c r="H34" s="1506">
        <f>'Staff Hour Summary - Firm'!H36</f>
        <v>0</v>
      </c>
      <c r="I34" s="1506">
        <f>'Staff Hour Summary - Firm'!I36</f>
        <v>0</v>
      </c>
      <c r="J34" s="1506">
        <f>'Staff Hour Summary - Firm'!J36</f>
        <v>0</v>
      </c>
      <c r="K34" s="1506">
        <f>'Staff Hour Summary - Firm'!K36</f>
        <v>0</v>
      </c>
      <c r="L34" s="1506">
        <f>'Staff Hour Summary - Firm'!L36</f>
        <v>0</v>
      </c>
      <c r="M34" s="1506">
        <f>'Staff Hour Summary - Firm'!M36</f>
        <v>0</v>
      </c>
      <c r="N34" s="1506">
        <f>'Staff Hour Summary - Firm'!N36</f>
        <v>0</v>
      </c>
      <c r="O34" s="1506">
        <f t="shared" si="0"/>
        <v>0</v>
      </c>
      <c r="P34" s="1507">
        <f t="shared" si="1"/>
        <v>0</v>
      </c>
      <c r="Q34" s="1513" t="e">
        <f t="shared" si="2"/>
        <v>#DIV/0!</v>
      </c>
      <c r="R34" s="32"/>
      <c r="S34" s="32"/>
    </row>
    <row r="35" spans="1:19" ht="18" customHeight="1">
      <c r="A35" s="1464" t="str">
        <f>'Staff Hour Summary - Firm'!A37</f>
        <v>26. Landscape Plans</v>
      </c>
      <c r="B35" s="1506">
        <f>'Staff Hour Summary - Firm'!B37</f>
        <v>0</v>
      </c>
      <c r="C35" s="1506">
        <f>'Staff Hour Summary - Firm'!C37</f>
        <v>0</v>
      </c>
      <c r="D35" s="1506">
        <f>'Staff Hour Summary - Firm'!D37</f>
        <v>0</v>
      </c>
      <c r="E35" s="1506">
        <f>'Staff Hour Summary - Firm'!E37</f>
        <v>0</v>
      </c>
      <c r="F35" s="1506">
        <f>'Staff Hour Summary - Firm'!F37</f>
        <v>0</v>
      </c>
      <c r="G35" s="1506">
        <f>'Staff Hour Summary - Firm'!G37</f>
        <v>0</v>
      </c>
      <c r="H35" s="1506">
        <f>'Staff Hour Summary - Firm'!H37</f>
        <v>0</v>
      </c>
      <c r="I35" s="1506">
        <f>'Staff Hour Summary - Firm'!I37</f>
        <v>0</v>
      </c>
      <c r="J35" s="1506">
        <f>'Staff Hour Summary - Firm'!J37</f>
        <v>0</v>
      </c>
      <c r="K35" s="1506">
        <f>'Staff Hour Summary - Firm'!K37</f>
        <v>0</v>
      </c>
      <c r="L35" s="1506">
        <f>'Staff Hour Summary - Firm'!L37</f>
        <v>0</v>
      </c>
      <c r="M35" s="1506">
        <f>'Staff Hour Summary - Firm'!M37</f>
        <v>0</v>
      </c>
      <c r="N35" s="1506">
        <f>'Staff Hour Summary - Firm'!N37</f>
        <v>0</v>
      </c>
      <c r="O35" s="1506">
        <f t="shared" si="0"/>
        <v>0</v>
      </c>
      <c r="P35" s="1507">
        <f t="shared" si="1"/>
        <v>0</v>
      </c>
      <c r="Q35" s="1513" t="e">
        <f t="shared" si="2"/>
        <v>#DIV/0!</v>
      </c>
      <c r="R35" s="32"/>
      <c r="S35" s="32"/>
    </row>
    <row r="36" spans="1:19" ht="18" customHeight="1">
      <c r="A36" s="1464" t="str">
        <f>'Staff Hour Summary - Firm'!A38</f>
        <v>27. Survey (Field &amp; Office Support)</v>
      </c>
      <c r="B36" s="1506">
        <f>'Staff Hour Summary - Firm'!B38</f>
        <v>0</v>
      </c>
      <c r="C36" s="1506">
        <f>'Staff Hour Summary - Firm'!C38</f>
        <v>0</v>
      </c>
      <c r="D36" s="1506">
        <f>'Staff Hour Summary - Firm'!D38</f>
        <v>0</v>
      </c>
      <c r="E36" s="1506">
        <f>'Staff Hour Summary - Firm'!E38</f>
        <v>0</v>
      </c>
      <c r="F36" s="1506">
        <f>'Staff Hour Summary - Firm'!F38</f>
        <v>0</v>
      </c>
      <c r="G36" s="1506">
        <f>'Staff Hour Summary - Firm'!G38</f>
        <v>0</v>
      </c>
      <c r="H36" s="1506">
        <f>'Staff Hour Summary - Firm'!H38</f>
        <v>0</v>
      </c>
      <c r="I36" s="1506">
        <f>'Staff Hour Summary - Firm'!I38</f>
        <v>0</v>
      </c>
      <c r="J36" s="1506">
        <f>'Staff Hour Summary - Firm'!J38</f>
        <v>0</v>
      </c>
      <c r="K36" s="1506">
        <f>'Staff Hour Summary - Firm'!K38</f>
        <v>0</v>
      </c>
      <c r="L36" s="1506">
        <f>'Staff Hour Summary - Firm'!L38</f>
        <v>0</v>
      </c>
      <c r="M36" s="1506">
        <f>'Staff Hour Summary - Firm'!M38</f>
        <v>0</v>
      </c>
      <c r="N36" s="1506">
        <f>'Staff Hour Summary - Firm'!N38</f>
        <v>0</v>
      </c>
      <c r="O36" s="1506">
        <f t="shared" si="0"/>
        <v>0</v>
      </c>
      <c r="P36" s="1507">
        <f t="shared" si="1"/>
        <v>0</v>
      </c>
      <c r="Q36" s="1513" t="e">
        <f t="shared" si="2"/>
        <v>#DIV/0!</v>
      </c>
      <c r="R36" s="32"/>
      <c r="S36" s="32"/>
    </row>
    <row r="37" spans="1:19" ht="18" customHeight="1">
      <c r="A37" s="1464" t="str">
        <f>'Staff Hour Summary - Firm'!A39</f>
        <v>28. Photogrammetry</v>
      </c>
      <c r="B37" s="1506">
        <f>'Staff Hour Summary - Firm'!B39</f>
        <v>0</v>
      </c>
      <c r="C37" s="1506">
        <f>'Staff Hour Summary - Firm'!C39</f>
        <v>0</v>
      </c>
      <c r="D37" s="1506">
        <f>'Staff Hour Summary - Firm'!D39</f>
        <v>0</v>
      </c>
      <c r="E37" s="1506">
        <f>'Staff Hour Summary - Firm'!E39</f>
        <v>0</v>
      </c>
      <c r="F37" s="1506">
        <f>'Staff Hour Summary - Firm'!F39</f>
        <v>0</v>
      </c>
      <c r="G37" s="1506">
        <f>'Staff Hour Summary - Firm'!G39</f>
        <v>0</v>
      </c>
      <c r="H37" s="1506">
        <f>'Staff Hour Summary - Firm'!H39</f>
        <v>0</v>
      </c>
      <c r="I37" s="1506">
        <f>'Staff Hour Summary - Firm'!I39</f>
        <v>0</v>
      </c>
      <c r="J37" s="1506">
        <f>'Staff Hour Summary - Firm'!J39</f>
        <v>0</v>
      </c>
      <c r="K37" s="1506">
        <f>'Staff Hour Summary - Firm'!K39</f>
        <v>0</v>
      </c>
      <c r="L37" s="1506">
        <f>'Staff Hour Summary - Firm'!L39</f>
        <v>0</v>
      </c>
      <c r="M37" s="1506">
        <f>'Staff Hour Summary - Firm'!M39</f>
        <v>0</v>
      </c>
      <c r="N37" s="1506">
        <f>'Staff Hour Summary - Firm'!N39</f>
        <v>0</v>
      </c>
      <c r="O37" s="1506">
        <f t="shared" si="0"/>
        <v>0</v>
      </c>
      <c r="P37" s="1507">
        <f t="shared" si="1"/>
        <v>0</v>
      </c>
      <c r="Q37" s="1513" t="e">
        <f t="shared" si="2"/>
        <v>#DIV/0!</v>
      </c>
      <c r="R37" s="32"/>
      <c r="S37" s="32"/>
    </row>
    <row r="38" spans="1:19" ht="18" customHeight="1">
      <c r="A38" s="1464" t="str">
        <f>'Staff Hour Summary - Firm'!A40</f>
        <v>29. Mapping</v>
      </c>
      <c r="B38" s="1506">
        <f>'Staff Hour Summary - Firm'!B40</f>
        <v>0</v>
      </c>
      <c r="C38" s="1506">
        <f>'Staff Hour Summary - Firm'!C40</f>
        <v>0</v>
      </c>
      <c r="D38" s="1506">
        <f>'Staff Hour Summary - Firm'!D40</f>
        <v>0</v>
      </c>
      <c r="E38" s="1506">
        <f>'Staff Hour Summary - Firm'!E40</f>
        <v>0</v>
      </c>
      <c r="F38" s="1506">
        <f>'Staff Hour Summary - Firm'!F40</f>
        <v>0</v>
      </c>
      <c r="G38" s="1506">
        <f>'Staff Hour Summary - Firm'!G40</f>
        <v>0</v>
      </c>
      <c r="H38" s="1506">
        <f>'Staff Hour Summary - Firm'!H40</f>
        <v>0</v>
      </c>
      <c r="I38" s="1506">
        <f>'Staff Hour Summary - Firm'!I40</f>
        <v>0</v>
      </c>
      <c r="J38" s="1506">
        <f>'Staff Hour Summary - Firm'!J40</f>
        <v>0</v>
      </c>
      <c r="K38" s="1506">
        <f>'Staff Hour Summary - Firm'!K40</f>
        <v>0</v>
      </c>
      <c r="L38" s="1506">
        <f>'Staff Hour Summary - Firm'!L40</f>
        <v>0</v>
      </c>
      <c r="M38" s="1506">
        <f>'Staff Hour Summary - Firm'!M40</f>
        <v>0</v>
      </c>
      <c r="N38" s="1506">
        <f>'Staff Hour Summary - Firm'!N40</f>
        <v>0</v>
      </c>
      <c r="O38" s="1506">
        <f t="shared" si="0"/>
        <v>0</v>
      </c>
      <c r="P38" s="1507">
        <f t="shared" si="1"/>
        <v>0</v>
      </c>
      <c r="Q38" s="1513" t="e">
        <f t="shared" si="2"/>
        <v>#DIV/0!</v>
      </c>
      <c r="R38" s="32"/>
      <c r="S38" s="32"/>
    </row>
    <row r="39" spans="1:19" ht="18" customHeight="1">
      <c r="A39" s="1464" t="str">
        <f>'Staff Hour Summary - Firm'!A41</f>
        <v>30. Terrestrial Mobile LiDAR</v>
      </c>
      <c r="B39" s="1508">
        <f>'Staff Hour Summary - Firm'!B41</f>
        <v>0</v>
      </c>
      <c r="C39" s="1508">
        <f>'Staff Hour Summary - Firm'!C41</f>
        <v>0</v>
      </c>
      <c r="D39" s="1508">
        <f>'Staff Hour Summary - Firm'!D41</f>
        <v>0</v>
      </c>
      <c r="E39" s="1508">
        <f>'Staff Hour Summary - Firm'!E41</f>
        <v>0</v>
      </c>
      <c r="F39" s="1508">
        <f>'Staff Hour Summary - Firm'!F41</f>
        <v>0</v>
      </c>
      <c r="G39" s="1508">
        <f>'Staff Hour Summary - Firm'!G41</f>
        <v>0</v>
      </c>
      <c r="H39" s="1508">
        <f>'Staff Hour Summary - Firm'!H41</f>
        <v>0</v>
      </c>
      <c r="I39" s="1508">
        <f>'Staff Hour Summary - Firm'!I41</f>
        <v>0</v>
      </c>
      <c r="J39" s="1508">
        <f>'Staff Hour Summary - Firm'!J41</f>
        <v>0</v>
      </c>
      <c r="K39" s="1508">
        <f>'Staff Hour Summary - Firm'!K41</f>
        <v>0</v>
      </c>
      <c r="L39" s="1508">
        <f>'Staff Hour Summary - Firm'!L41</f>
        <v>0</v>
      </c>
      <c r="M39" s="1508">
        <f>'Staff Hour Summary - Firm'!M41</f>
        <v>0</v>
      </c>
      <c r="N39" s="1508">
        <f>'Staff Hour Summary - Firm'!N41</f>
        <v>0</v>
      </c>
      <c r="O39" s="1508">
        <f>SUM(C39:N39)</f>
        <v>0</v>
      </c>
      <c r="P39" s="1509">
        <f>C39*$C$9+D39*$D$9+E39*$E$9+F39*$F$9+G39*$G$9+H39*$H$9+I39*$I$9+J39*$J$9+K39*$K$9+L39*$L$9+M39*$M$9+N39*$N$9</f>
        <v>0</v>
      </c>
      <c r="Q39" s="1514" t="e">
        <f>ROUND(+P39/O39,2)</f>
        <v>#DIV/0!</v>
      </c>
      <c r="R39" s="32"/>
      <c r="S39" s="32"/>
    </row>
    <row r="40" spans="1:19" ht="18" customHeight="1">
      <c r="A40" s="1464" t="str">
        <f>'Staff Hour Summary - Firm'!A42</f>
        <v>31. Architecture Development</v>
      </c>
      <c r="B40" s="1506">
        <f>'Staff Hour Summary - Firm'!B42</f>
        <v>0</v>
      </c>
      <c r="C40" s="1506">
        <f>'Staff Hour Summary - Firm'!C42</f>
        <v>0</v>
      </c>
      <c r="D40" s="1506">
        <f>'Staff Hour Summary - Firm'!D42</f>
        <v>0</v>
      </c>
      <c r="E40" s="1506">
        <f>'Staff Hour Summary - Firm'!E42</f>
        <v>0</v>
      </c>
      <c r="F40" s="1506">
        <f>'Staff Hour Summary - Firm'!F42</f>
        <v>0</v>
      </c>
      <c r="G40" s="1506">
        <f>'Staff Hour Summary - Firm'!G42</f>
        <v>0</v>
      </c>
      <c r="H40" s="1506">
        <f>'Staff Hour Summary - Firm'!H42</f>
        <v>0</v>
      </c>
      <c r="I40" s="1506">
        <f>'Staff Hour Summary - Firm'!I42</f>
        <v>0</v>
      </c>
      <c r="J40" s="1506">
        <f>'Staff Hour Summary - Firm'!J42</f>
        <v>0</v>
      </c>
      <c r="K40" s="1506">
        <f>'Staff Hour Summary - Firm'!K42</f>
        <v>0</v>
      </c>
      <c r="L40" s="1506">
        <f>'Staff Hour Summary - Firm'!L42</f>
        <v>0</v>
      </c>
      <c r="M40" s="1506">
        <f>'Staff Hour Summary - Firm'!M42</f>
        <v>0</v>
      </c>
      <c r="N40" s="1506">
        <f>'Staff Hour Summary - Firm'!N42</f>
        <v>0</v>
      </c>
      <c r="O40" s="1506">
        <f t="shared" si="0"/>
        <v>0</v>
      </c>
      <c r="P40" s="1507">
        <f t="shared" si="1"/>
        <v>0</v>
      </c>
      <c r="Q40" s="1513" t="e">
        <f t="shared" si="2"/>
        <v>#DIV/0!</v>
      </c>
      <c r="R40" s="32"/>
      <c r="S40" s="32"/>
    </row>
    <row r="41" spans="1:19" ht="18" customHeight="1">
      <c r="A41" s="1464" t="str">
        <f>'Staff Hour Summary - Firm'!A43</f>
        <v>32. Noise Barriers Impact Design Assessment</v>
      </c>
      <c r="B41" s="1506">
        <f>'Staff Hour Summary - Firm'!B43</f>
        <v>0</v>
      </c>
      <c r="C41" s="1506">
        <f>'Staff Hour Summary - Firm'!C43</f>
        <v>0</v>
      </c>
      <c r="D41" s="1506">
        <f>'Staff Hour Summary - Firm'!D43</f>
        <v>0</v>
      </c>
      <c r="E41" s="1506">
        <f>'Staff Hour Summary - Firm'!E43</f>
        <v>0</v>
      </c>
      <c r="F41" s="1506">
        <f>'Staff Hour Summary - Firm'!F43</f>
        <v>0</v>
      </c>
      <c r="G41" s="1506">
        <f>'Staff Hour Summary - Firm'!G43</f>
        <v>0</v>
      </c>
      <c r="H41" s="1506">
        <f>'Staff Hour Summary - Firm'!H43</f>
        <v>0</v>
      </c>
      <c r="I41" s="1506">
        <f>'Staff Hour Summary - Firm'!I43</f>
        <v>0</v>
      </c>
      <c r="J41" s="1506">
        <f>'Staff Hour Summary - Firm'!J43</f>
        <v>0</v>
      </c>
      <c r="K41" s="1506">
        <f>'Staff Hour Summary - Firm'!K43</f>
        <v>0</v>
      </c>
      <c r="L41" s="1506">
        <f>'Staff Hour Summary - Firm'!L43</f>
        <v>0</v>
      </c>
      <c r="M41" s="1506">
        <f>'Staff Hour Summary - Firm'!M43</f>
        <v>0</v>
      </c>
      <c r="N41" s="1506">
        <f>'Staff Hour Summary - Firm'!N43</f>
        <v>0</v>
      </c>
      <c r="O41" s="1506">
        <f>SUM(C41:N41)</f>
        <v>0</v>
      </c>
      <c r="P41" s="1507">
        <f>C41*$C$9+D41*$D$9+E41*$E$9+F41*$F$9+G41*$G$9+H41*$H$9+I41*$I$9+J41*$J$9+K41*$K$9+L41*$L$9+M41*$M$9+N41*$N$9</f>
        <v>0</v>
      </c>
      <c r="Q41" s="1513" t="e">
        <f>ROUND(+P41/O41,2)</f>
        <v>#DIV/0!</v>
      </c>
      <c r="R41" s="32"/>
      <c r="S41" s="32"/>
    </row>
    <row r="42" spans="1:19" ht="18" customHeight="1">
      <c r="A42" s="1464" t="str">
        <f>'Staff Hour Summary - Firm'!A44</f>
        <v>33. Intelligent Transportation Systems Analysis</v>
      </c>
      <c r="B42" s="1506">
        <f>'Staff Hour Summary - Firm'!B44</f>
        <v>0</v>
      </c>
      <c r="C42" s="1506">
        <f>'Staff Hour Summary - Firm'!C44</f>
        <v>0</v>
      </c>
      <c r="D42" s="1506">
        <f>'Staff Hour Summary - Firm'!D44</f>
        <v>0</v>
      </c>
      <c r="E42" s="1506">
        <f>'Staff Hour Summary - Firm'!E44</f>
        <v>0</v>
      </c>
      <c r="F42" s="1506">
        <f>'Staff Hour Summary - Firm'!F44</f>
        <v>0</v>
      </c>
      <c r="G42" s="1506">
        <f>'Staff Hour Summary - Firm'!G44</f>
        <v>0</v>
      </c>
      <c r="H42" s="1506">
        <f>'Staff Hour Summary - Firm'!H44</f>
        <v>0</v>
      </c>
      <c r="I42" s="1506">
        <f>'Staff Hour Summary - Firm'!I44</f>
        <v>0</v>
      </c>
      <c r="J42" s="1506">
        <f>'Staff Hour Summary - Firm'!J44</f>
        <v>0</v>
      </c>
      <c r="K42" s="1506">
        <f>'Staff Hour Summary - Firm'!K44</f>
        <v>0</v>
      </c>
      <c r="L42" s="1506">
        <f>'Staff Hour Summary - Firm'!L44</f>
        <v>0</v>
      </c>
      <c r="M42" s="1506">
        <f>'Staff Hour Summary - Firm'!M44</f>
        <v>0</v>
      </c>
      <c r="N42" s="1506">
        <f>'Staff Hour Summary - Firm'!N44</f>
        <v>0</v>
      </c>
      <c r="O42" s="1506">
        <f>SUM(C42:N42)</f>
        <v>0</v>
      </c>
      <c r="P42" s="1507">
        <f>C42*$C$9+D42*$D$9+E42*$E$9+F42*$F$9+G42*$G$9+H42*$H$9+I42*$I$9+J42*$J$9+K42*$K$9+L42*$L$9+M42*$M$9+N42*$N$9</f>
        <v>0</v>
      </c>
      <c r="Q42" s="1513" t="e">
        <f>ROUND(+P42/O42,2)</f>
        <v>#DIV/0!</v>
      </c>
      <c r="R42" s="32"/>
      <c r="S42" s="32"/>
    </row>
    <row r="43" spans="1:19" ht="18" customHeight="1">
      <c r="A43" s="1464" t="str">
        <f>'Staff Hour Summary - Firm'!A45</f>
        <v>34. Intelligent Transportation Systems Plans</v>
      </c>
      <c r="B43" s="1506">
        <f>'Staff Hour Summary - Firm'!B45</f>
        <v>0</v>
      </c>
      <c r="C43" s="1506">
        <f>'Staff Hour Summary - Firm'!C45</f>
        <v>0</v>
      </c>
      <c r="D43" s="1506">
        <f>'Staff Hour Summary - Firm'!D45</f>
        <v>0</v>
      </c>
      <c r="E43" s="1506">
        <f>'Staff Hour Summary - Firm'!E45</f>
        <v>0</v>
      </c>
      <c r="F43" s="1506">
        <f>'Staff Hour Summary - Firm'!F45</f>
        <v>0</v>
      </c>
      <c r="G43" s="1506">
        <f>'Staff Hour Summary - Firm'!G45</f>
        <v>0</v>
      </c>
      <c r="H43" s="1506">
        <f>'Staff Hour Summary - Firm'!H45</f>
        <v>0</v>
      </c>
      <c r="I43" s="1506">
        <f>'Staff Hour Summary - Firm'!I45</f>
        <v>0</v>
      </c>
      <c r="J43" s="1506">
        <f>'Staff Hour Summary - Firm'!J45</f>
        <v>0</v>
      </c>
      <c r="K43" s="1506">
        <f>'Staff Hour Summary - Firm'!K45</f>
        <v>0</v>
      </c>
      <c r="L43" s="1506">
        <f>'Staff Hour Summary - Firm'!L45</f>
        <v>0</v>
      </c>
      <c r="M43" s="1506">
        <f>'Staff Hour Summary - Firm'!M45</f>
        <v>0</v>
      </c>
      <c r="N43" s="1506">
        <f>'Staff Hour Summary - Firm'!N45</f>
        <v>0</v>
      </c>
      <c r="O43" s="1506">
        <f>SUM(C43:N43)</f>
        <v>0</v>
      </c>
      <c r="P43" s="1507">
        <f>C43*$C$9+D43*$D$9+E43*$E$9+F43*$F$9+G43*$G$9+H43*$H$9+I43*$I$9+J43*$J$9+K43*$K$9+L43*$L$9+M43*$M$9+N43*$N$9</f>
        <v>0</v>
      </c>
      <c r="Q43" s="1513" t="e">
        <f>ROUND(+P43/O43,2)</f>
        <v>#DIV/0!</v>
      </c>
      <c r="R43" s="32"/>
      <c r="S43" s="32"/>
    </row>
    <row r="44" spans="1:19" ht="18" customHeight="1">
      <c r="A44" s="1464" t="str">
        <f>'Staff Hour Summary - Firm'!A46</f>
        <v>35. Geotechnical</v>
      </c>
      <c r="B44" s="1508">
        <f>'Staff Hour Summary - Firm'!B46</f>
        <v>0</v>
      </c>
      <c r="C44" s="1508">
        <f>'Staff Hour Summary - Firm'!C46</f>
        <v>0</v>
      </c>
      <c r="D44" s="1508">
        <f>'Staff Hour Summary - Firm'!D46</f>
        <v>0</v>
      </c>
      <c r="E44" s="1508">
        <f>'Staff Hour Summary - Firm'!E46</f>
        <v>0</v>
      </c>
      <c r="F44" s="1508">
        <f>'Staff Hour Summary - Firm'!F46</f>
        <v>0</v>
      </c>
      <c r="G44" s="1508">
        <f>'Staff Hour Summary - Firm'!G46</f>
        <v>0</v>
      </c>
      <c r="H44" s="1508">
        <f>'Staff Hour Summary - Firm'!H46</f>
        <v>0</v>
      </c>
      <c r="I44" s="1508">
        <f>'Staff Hour Summary - Firm'!I46</f>
        <v>0</v>
      </c>
      <c r="J44" s="1508">
        <f>'Staff Hour Summary - Firm'!J46</f>
        <v>0</v>
      </c>
      <c r="K44" s="1508">
        <f>'Staff Hour Summary - Firm'!K46</f>
        <v>0</v>
      </c>
      <c r="L44" s="1508">
        <f>'Staff Hour Summary - Firm'!L46</f>
        <v>0</v>
      </c>
      <c r="M44" s="1508">
        <f>'Staff Hour Summary - Firm'!M46</f>
        <v>0</v>
      </c>
      <c r="N44" s="1508">
        <f>'Staff Hour Summary - Firm'!N46</f>
        <v>0</v>
      </c>
      <c r="O44" s="1508">
        <f>SUM(C44:N44)</f>
        <v>0</v>
      </c>
      <c r="P44" s="1509">
        <f>C44*$C$9+D44*$D$9+E44*$E$9+F44*$F$9+G44*$G$9+H44*$H$9+I44*$I$9+J44*$J$9+K44*$K$9+L44*$L$9+M44*$M$9+N44*$N$9</f>
        <v>0</v>
      </c>
      <c r="Q44" s="1514" t="e">
        <f>ROUND(+P44/O44,2)</f>
        <v>#DIV/0!</v>
      </c>
      <c r="R44" s="32"/>
      <c r="S44" s="32"/>
    </row>
    <row r="45" spans="1:19" ht="16.2" thickBot="1">
      <c r="A45" s="1515" t="s">
        <v>537</v>
      </c>
      <c r="B45" s="1516">
        <f t="shared" ref="B45:O45" si="4">SUM(B10:B44)</f>
        <v>0</v>
      </c>
      <c r="C45" s="1516">
        <f t="shared" si="4"/>
        <v>0</v>
      </c>
      <c r="D45" s="1516">
        <f t="shared" si="4"/>
        <v>0</v>
      </c>
      <c r="E45" s="1516">
        <f t="shared" si="4"/>
        <v>0</v>
      </c>
      <c r="F45" s="1516">
        <f t="shared" si="4"/>
        <v>0</v>
      </c>
      <c r="G45" s="1516">
        <f t="shared" si="4"/>
        <v>0</v>
      </c>
      <c r="H45" s="1516">
        <f t="shared" si="4"/>
        <v>0</v>
      </c>
      <c r="I45" s="1516">
        <f t="shared" si="4"/>
        <v>0</v>
      </c>
      <c r="J45" s="1516">
        <f t="shared" si="4"/>
        <v>0</v>
      </c>
      <c r="K45" s="1516">
        <f t="shared" si="4"/>
        <v>0</v>
      </c>
      <c r="L45" s="1516">
        <f t="shared" si="4"/>
        <v>0</v>
      </c>
      <c r="M45" s="1516">
        <f t="shared" si="4"/>
        <v>0</v>
      </c>
      <c r="N45" s="1516">
        <f t="shared" si="4"/>
        <v>0</v>
      </c>
      <c r="O45" s="1516">
        <f t="shared" si="4"/>
        <v>0</v>
      </c>
      <c r="P45" s="1517"/>
      <c r="Q45" s="1518"/>
      <c r="R45" s="32"/>
      <c r="S45" s="32"/>
    </row>
    <row r="46" spans="1:19" ht="16.8" thickTop="1" thickBot="1">
      <c r="A46" s="1519" t="s">
        <v>538</v>
      </c>
      <c r="B46" s="1520"/>
      <c r="C46" s="1521">
        <f t="shared" ref="C46:N46" si="5">C45*C9</f>
        <v>0</v>
      </c>
      <c r="D46" s="1521">
        <f t="shared" si="5"/>
        <v>0</v>
      </c>
      <c r="E46" s="1521">
        <f t="shared" si="5"/>
        <v>0</v>
      </c>
      <c r="F46" s="1521">
        <f t="shared" si="5"/>
        <v>0</v>
      </c>
      <c r="G46" s="1521">
        <f t="shared" si="5"/>
        <v>0</v>
      </c>
      <c r="H46" s="1521">
        <f t="shared" si="5"/>
        <v>0</v>
      </c>
      <c r="I46" s="1521">
        <f t="shared" si="5"/>
        <v>0</v>
      </c>
      <c r="J46" s="1521">
        <f t="shared" si="5"/>
        <v>0</v>
      </c>
      <c r="K46" s="1521">
        <f t="shared" si="5"/>
        <v>0</v>
      </c>
      <c r="L46" s="1521">
        <f t="shared" si="5"/>
        <v>0</v>
      </c>
      <c r="M46" s="1521">
        <f t="shared" si="5"/>
        <v>0</v>
      </c>
      <c r="N46" s="1521">
        <f t="shared" si="5"/>
        <v>0</v>
      </c>
      <c r="O46" s="1522"/>
      <c r="P46" s="1523">
        <f>ROUND(SUM(P10:P44),2)</f>
        <v>0</v>
      </c>
      <c r="Q46" s="1524" t="e">
        <f>ROUND(SUM(+P46/O45),2)</f>
        <v>#DIV/0!</v>
      </c>
      <c r="R46" s="32"/>
      <c r="S46" s="38"/>
    </row>
    <row r="47" spans="1:19" ht="18" customHeight="1" thickTop="1" thickBot="1">
      <c r="A47" s="1484"/>
      <c r="B47" s="1485"/>
      <c r="C47" s="104"/>
      <c r="D47" s="104"/>
      <c r="E47" s="104"/>
      <c r="F47" s="104"/>
      <c r="G47" s="104"/>
      <c r="H47" s="104"/>
      <c r="I47" s="104"/>
      <c r="J47" s="104"/>
      <c r="K47" s="1486"/>
      <c r="L47" s="104"/>
      <c r="M47" s="104"/>
      <c r="N47" s="104"/>
      <c r="O47" s="1487" t="s">
        <v>550</v>
      </c>
      <c r="P47" s="1488">
        <f>SUM(C46:N46)</f>
        <v>0</v>
      </c>
      <c r="Q47" s="1456"/>
      <c r="R47" s="35"/>
      <c r="S47" s="35"/>
    </row>
    <row r="48" spans="1:19" ht="18" customHeight="1" thickTop="1">
      <c r="A48" s="1468"/>
      <c r="B48" s="104"/>
      <c r="C48" s="104"/>
      <c r="D48" s="104"/>
      <c r="E48" s="104"/>
      <c r="F48" s="104"/>
      <c r="G48" s="104"/>
      <c r="H48" s="104"/>
      <c r="I48" s="104"/>
      <c r="J48" s="104"/>
      <c r="K48" s="1527" t="s">
        <v>606</v>
      </c>
      <c r="L48" s="1528"/>
      <c r="M48" s="1529"/>
      <c r="N48" s="1530"/>
      <c r="O48" s="1531"/>
      <c r="P48" s="1531"/>
      <c r="Q48" s="1532">
        <f>P46</f>
        <v>0</v>
      </c>
      <c r="R48" s="39"/>
      <c r="S48" s="40"/>
    </row>
    <row r="49" spans="1:19" ht="18" customHeight="1">
      <c r="A49" s="1455"/>
      <c r="B49" s="104"/>
      <c r="C49" s="104"/>
      <c r="D49" s="104"/>
      <c r="E49" s="104"/>
      <c r="F49" s="104"/>
      <c r="G49" s="104"/>
      <c r="H49" s="104"/>
      <c r="I49" s="104"/>
      <c r="J49" s="104"/>
      <c r="K49" s="1533" t="s">
        <v>588</v>
      </c>
      <c r="L49" s="1021"/>
      <c r="M49" s="1027"/>
      <c r="N49" s="1028">
        <v>0</v>
      </c>
      <c r="O49" s="1020"/>
      <c r="P49" s="1020"/>
      <c r="Q49" s="1489">
        <f>ROUND(+Q48*N49,2)</f>
        <v>0</v>
      </c>
      <c r="R49" s="39"/>
      <c r="S49" s="41"/>
    </row>
    <row r="50" spans="1:19" ht="18" customHeight="1">
      <c r="A50" s="1484"/>
      <c r="B50" s="105"/>
      <c r="C50" s="1485"/>
      <c r="D50" s="1485"/>
      <c r="E50" s="1485"/>
      <c r="F50" s="1485"/>
      <c r="G50" s="1485"/>
      <c r="H50" s="1485"/>
      <c r="I50" s="1485"/>
      <c r="J50" s="1485"/>
      <c r="K50" s="1533" t="s">
        <v>589</v>
      </c>
      <c r="L50" s="1022"/>
      <c r="M50" s="1025"/>
      <c r="N50" s="1028">
        <v>0</v>
      </c>
      <c r="O50" s="1020"/>
      <c r="P50" s="1020"/>
      <c r="Q50" s="1489">
        <f>ROUND(+Q48*N50,2)</f>
        <v>0</v>
      </c>
      <c r="R50" s="39"/>
      <c r="S50" s="42"/>
    </row>
    <row r="51" spans="1:19" ht="18" customHeight="1">
      <c r="A51" s="1484"/>
      <c r="B51" s="104" t="s">
        <v>605</v>
      </c>
      <c r="C51" s="1485"/>
      <c r="D51" s="1485"/>
      <c r="E51" s="1485"/>
      <c r="F51" s="1485"/>
      <c r="G51" s="1485"/>
      <c r="H51" s="1485"/>
      <c r="I51" s="1485"/>
      <c r="J51" s="1485"/>
      <c r="K51" s="1533" t="s">
        <v>590</v>
      </c>
      <c r="L51" s="1023"/>
      <c r="M51" s="1026"/>
      <c r="N51" s="1024">
        <v>0</v>
      </c>
      <c r="O51" s="1020"/>
      <c r="P51" s="1020"/>
      <c r="Q51" s="1489">
        <f>ROUND(+Q48*N51,2)</f>
        <v>0</v>
      </c>
      <c r="R51" s="39"/>
      <c r="S51" s="42"/>
    </row>
    <row r="52" spans="1:19" ht="18" customHeight="1">
      <c r="A52" s="1484"/>
      <c r="B52" s="1490" t="s">
        <v>436</v>
      </c>
      <c r="C52" s="1485"/>
      <c r="D52" s="1485"/>
      <c r="E52" s="1485"/>
      <c r="F52" s="1485"/>
      <c r="G52" s="1485"/>
      <c r="H52" s="1485"/>
      <c r="I52" s="1485"/>
      <c r="J52" s="1485"/>
      <c r="K52" s="1534" t="s">
        <v>359</v>
      </c>
      <c r="L52" s="1022"/>
      <c r="M52" s="1025"/>
      <c r="N52" s="1024">
        <v>0</v>
      </c>
      <c r="O52" s="1020"/>
      <c r="P52" s="1020"/>
      <c r="Q52" s="1489">
        <f>ROUND(+Q48*N52,2)</f>
        <v>0</v>
      </c>
      <c r="S52" s="42"/>
    </row>
    <row r="53" spans="1:19" ht="18" customHeight="1">
      <c r="A53" s="1484"/>
      <c r="B53" s="1490"/>
      <c r="C53" s="1485"/>
      <c r="D53" s="1485"/>
      <c r="E53" s="1485"/>
      <c r="F53" s="1485"/>
      <c r="G53" s="1485"/>
      <c r="H53" s="1485"/>
      <c r="I53" s="1485"/>
      <c r="J53" s="1485"/>
      <c r="K53" s="1533" t="s">
        <v>608</v>
      </c>
      <c r="L53" s="1021"/>
      <c r="M53" s="1025"/>
      <c r="N53" s="1020"/>
      <c r="O53" s="1020"/>
      <c r="P53" s="1020"/>
      <c r="Q53" s="1491">
        <f>SUM(Q48:Q52)</f>
        <v>0</v>
      </c>
      <c r="S53" s="42"/>
    </row>
    <row r="54" spans="1:19" ht="18" customHeight="1">
      <c r="A54" s="1484"/>
      <c r="B54" s="1490"/>
      <c r="C54" s="1485"/>
      <c r="D54" s="1485"/>
      <c r="E54" s="1485"/>
      <c r="F54" s="1485"/>
      <c r="G54" s="1485"/>
      <c r="H54" s="1485"/>
      <c r="I54" s="1485"/>
      <c r="J54" s="1485"/>
      <c r="K54" s="1534" t="s">
        <v>435</v>
      </c>
      <c r="L54" s="1022"/>
      <c r="M54" s="1029">
        <f>ROUND(SUM('27. Survey'!F107),0)</f>
        <v>0</v>
      </c>
      <c r="N54" s="1030" t="s">
        <v>1605</v>
      </c>
      <c r="O54" s="1031">
        <v>0</v>
      </c>
      <c r="P54" s="1020" t="s">
        <v>607</v>
      </c>
      <c r="Q54" s="1492">
        <f>O54*M54</f>
        <v>0</v>
      </c>
      <c r="S54" s="43"/>
    </row>
    <row r="55" spans="1:19" ht="18" customHeight="1">
      <c r="A55" s="1484"/>
      <c r="B55" s="1490"/>
      <c r="C55" s="1485"/>
      <c r="D55" s="1485"/>
      <c r="E55" s="1485"/>
      <c r="F55" s="1485"/>
      <c r="G55" s="1485"/>
      <c r="H55" s="1485"/>
      <c r="I55" s="1485"/>
      <c r="J55" s="1485"/>
      <c r="K55" s="1533" t="s">
        <v>140</v>
      </c>
      <c r="L55" s="1021"/>
      <c r="M55" s="1032"/>
      <c r="N55" s="1030"/>
      <c r="O55" s="1033"/>
      <c r="P55" s="1020"/>
      <c r="Q55" s="1493">
        <v>0</v>
      </c>
      <c r="S55" s="43"/>
    </row>
    <row r="56" spans="1:19" ht="18" customHeight="1">
      <c r="A56" s="1484"/>
      <c r="B56" s="1485"/>
      <c r="C56" s="1485"/>
      <c r="D56" s="1485"/>
      <c r="E56" s="1485"/>
      <c r="F56" s="1485"/>
      <c r="G56" s="1485"/>
      <c r="H56" s="1485"/>
      <c r="I56" s="1485"/>
      <c r="J56" s="1485"/>
      <c r="K56" s="1533" t="s">
        <v>608</v>
      </c>
      <c r="L56" s="1022"/>
      <c r="M56" s="1025"/>
      <c r="N56" s="1020"/>
      <c r="O56" s="1020"/>
      <c r="P56" s="1020"/>
      <c r="Q56" s="1494">
        <f>ROUND(SUM(Q53:Q55),2)</f>
        <v>0</v>
      </c>
      <c r="R56" s="44"/>
    </row>
    <row r="57" spans="1:19" ht="18" customHeight="1">
      <c r="A57" s="1484"/>
      <c r="B57" s="1485"/>
      <c r="C57" s="1485"/>
      <c r="D57" s="1485"/>
      <c r="E57" s="1485"/>
      <c r="F57" s="1485"/>
      <c r="G57" s="1485"/>
      <c r="H57" s="1485"/>
      <c r="I57" s="1485"/>
      <c r="J57" s="1485"/>
      <c r="K57" s="1533" t="s">
        <v>609</v>
      </c>
      <c r="L57" s="1022"/>
      <c r="M57" s="1025"/>
      <c r="N57" s="1034"/>
      <c r="O57" s="1035"/>
      <c r="P57" s="1035"/>
      <c r="Q57" s="1493">
        <v>0</v>
      </c>
      <c r="R57" s="45"/>
      <c r="S57" s="46"/>
    </row>
    <row r="58" spans="1:19" ht="18" customHeight="1" thickBot="1">
      <c r="A58" s="1495"/>
      <c r="B58" s="1496"/>
      <c r="C58" s="1496"/>
      <c r="D58" s="1496"/>
      <c r="E58" s="1496"/>
      <c r="F58" s="1496"/>
      <c r="G58" s="1496"/>
      <c r="H58" s="1496"/>
      <c r="I58" s="1496"/>
      <c r="J58" s="1496"/>
      <c r="K58" s="1535" t="s">
        <v>610</v>
      </c>
      <c r="L58" s="1497"/>
      <c r="M58" s="1498"/>
      <c r="N58" s="1499"/>
      <c r="O58" s="1499"/>
      <c r="P58" s="1499"/>
      <c r="Q58" s="1500">
        <f>SUM(Q56:Q57)</f>
        <v>0</v>
      </c>
      <c r="R58" s="42"/>
      <c r="S58" s="42"/>
    </row>
    <row r="59" spans="1:19" ht="13.8" thickTop="1">
      <c r="A59" s="42"/>
      <c r="B59" s="42"/>
      <c r="C59" s="42"/>
      <c r="D59" s="42"/>
      <c r="E59" s="42"/>
      <c r="F59" s="42"/>
      <c r="G59" s="42"/>
      <c r="H59" s="42"/>
      <c r="I59" s="42"/>
      <c r="J59" s="42"/>
      <c r="K59" s="42"/>
      <c r="L59" s="42"/>
      <c r="M59" s="42"/>
      <c r="N59" s="42"/>
      <c r="O59" s="42"/>
      <c r="P59" s="42"/>
      <c r="Q59" s="42"/>
      <c r="R59" s="42"/>
      <c r="S59" s="42"/>
    </row>
    <row r="60" spans="1:19">
      <c r="A60" s="42"/>
      <c r="B60" s="42"/>
      <c r="C60" s="42"/>
      <c r="D60" s="42"/>
      <c r="E60" s="42"/>
      <c r="F60" s="42"/>
      <c r="G60" s="42"/>
      <c r="H60" s="42"/>
      <c r="I60" s="42"/>
      <c r="J60" s="42"/>
      <c r="K60" s="42"/>
      <c r="L60" s="42"/>
      <c r="M60" s="42"/>
      <c r="N60" s="42"/>
      <c r="O60" s="42"/>
      <c r="P60" s="42"/>
      <c r="Q60" s="42"/>
      <c r="R60" s="42"/>
      <c r="S60" s="42"/>
    </row>
  </sheetData>
  <mergeCells count="14">
    <mergeCell ref="N7:N8"/>
    <mergeCell ref="K7:K8"/>
    <mergeCell ref="L7:L8"/>
    <mergeCell ref="M7:M8"/>
    <mergeCell ref="A7:A8"/>
    <mergeCell ref="H7:H8"/>
    <mergeCell ref="I7:I8"/>
    <mergeCell ref="J7:J8"/>
    <mergeCell ref="C7:C8"/>
    <mergeCell ref="D7:D8"/>
    <mergeCell ref="E7:E8"/>
    <mergeCell ref="F7:F8"/>
    <mergeCell ref="G7:G8"/>
    <mergeCell ref="B7:B9"/>
  </mergeCells>
  <phoneticPr fontId="0" type="noConversion"/>
  <printOptions horizontalCentered="1"/>
  <pageMargins left="0.25" right="0.25" top="0.66" bottom="0.66" header="0.93" footer="0.31"/>
  <pageSetup scale="48" orientation="landscape" r:id="rId1"/>
  <headerFooter alignWithMargins="0">
    <oddFooter>&amp;L&amp;F 
&amp;A&amp;CPage &amp;N of &amp;P&amp;R&amp;D  &amp;T</oddFooter>
  </headerFooter>
  <rowBreaks count="11" manualBreakCount="11">
    <brk id="79" max="65535" man="1"/>
    <brk id="135" max="65535" man="1"/>
    <brk id="191" max="65535" man="1"/>
    <brk id="247" max="65535" man="1"/>
    <brk id="303" max="65535" man="1"/>
    <brk id="359" max="65535" man="1"/>
    <brk id="415" max="65535" man="1"/>
    <brk id="471" max="65535" man="1"/>
    <brk id="527" max="65535" man="1"/>
    <brk id="583" max="65535" man="1"/>
    <brk id="639" max="655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59</vt:i4>
      </vt:variant>
      <vt:variant>
        <vt:lpstr>Named Ranges</vt:lpstr>
      </vt:variant>
      <vt:variant>
        <vt:i4>74</vt:i4>
      </vt:variant>
    </vt:vector>
  </HeadingPairs>
  <TitlesOfParts>
    <vt:vector size="133" baseType="lpstr">
      <vt:lpstr>Title</vt:lpstr>
      <vt:lpstr>Disclaimer</vt:lpstr>
      <vt:lpstr>Spreadsheet instructions</vt:lpstr>
      <vt:lpstr>Project Information</vt:lpstr>
      <vt:lpstr>Summary</vt:lpstr>
      <vt:lpstr>Staff Hour Summary--Grand Total</vt:lpstr>
      <vt:lpstr>Staff Hour Summary - Firm</vt:lpstr>
      <vt:lpstr>Fee Sheet - Prime</vt:lpstr>
      <vt:lpstr>Fee Sheet - Sub</vt:lpstr>
      <vt:lpstr>3. Project General Tasks</vt:lpstr>
      <vt:lpstr>Roadway Guidelines</vt:lpstr>
      <vt:lpstr>Roadway 3D Modeling Guidelines</vt:lpstr>
      <vt:lpstr>4. Roadway Analysis</vt:lpstr>
      <vt:lpstr>5. Roadway Plans</vt:lpstr>
      <vt:lpstr>6a. Drainage Analysis</vt:lpstr>
      <vt:lpstr>6b. Drainage Plans</vt:lpstr>
      <vt:lpstr>Selective C&amp;G Guidelines </vt:lpstr>
      <vt:lpstr>6c. Selective C&amp;G</vt:lpstr>
      <vt:lpstr>Utility Guidelines</vt:lpstr>
      <vt:lpstr>7. Utilities</vt:lpstr>
      <vt:lpstr>Environmental Permit Guidelines</vt:lpstr>
      <vt:lpstr>8. Env. Permits and Clearances</vt:lpstr>
      <vt:lpstr>Structures-Guidelines</vt:lpstr>
      <vt:lpstr>9. Structures Summary</vt:lpstr>
      <vt:lpstr>10. Structures-BDR</vt:lpstr>
      <vt:lpstr>11. Temporary Bridge</vt:lpstr>
      <vt:lpstr>12. Short Span Concrete</vt:lpstr>
      <vt:lpstr>13. Medium Span Concrete </vt:lpstr>
      <vt:lpstr>14. Structures-Structural Steel</vt:lpstr>
      <vt:lpstr>15.Str.-Segmental Concrete</vt:lpstr>
      <vt:lpstr>16. Structures-Movable Span</vt:lpstr>
      <vt:lpstr>17. Str-Retaining Walls</vt:lpstr>
      <vt:lpstr>18. Structures-Miscellaneous</vt:lpstr>
      <vt:lpstr>Signing &amp; Marking Guidelines</vt:lpstr>
      <vt:lpstr>19. Signing &amp; Marking Analysis </vt:lpstr>
      <vt:lpstr>20. Signing &amp; Marking Plans</vt:lpstr>
      <vt:lpstr>Signalization Guidelines</vt:lpstr>
      <vt:lpstr>21. Signalization Analysis</vt:lpstr>
      <vt:lpstr>22. Signalization Plans</vt:lpstr>
      <vt:lpstr>Lighting Guidelines</vt:lpstr>
      <vt:lpstr>23. Lighting Analysis</vt:lpstr>
      <vt:lpstr>24. Lighting Plans</vt:lpstr>
      <vt:lpstr>Landscape Guidelines</vt:lpstr>
      <vt:lpstr>25. Landscape Analysis</vt:lpstr>
      <vt:lpstr>26. Landscape Plans</vt:lpstr>
      <vt:lpstr>Survey Guidelines</vt:lpstr>
      <vt:lpstr>27. Survey</vt:lpstr>
      <vt:lpstr>28. Photogrammetry</vt:lpstr>
      <vt:lpstr>29. Mapping</vt:lpstr>
      <vt:lpstr>30. Terrestrial Mobile LiDAR</vt:lpstr>
      <vt:lpstr>Architecture Guidelines</vt:lpstr>
      <vt:lpstr>31. Architecture Development</vt:lpstr>
      <vt:lpstr>Noise Guidelines</vt:lpstr>
      <vt:lpstr>32. Noise Barrier Assessment</vt:lpstr>
      <vt:lpstr>ITS Guidelines</vt:lpstr>
      <vt:lpstr>33. ITS Analysis</vt:lpstr>
      <vt:lpstr>34. ITS Plans</vt:lpstr>
      <vt:lpstr>Geotechnical Guidelines</vt:lpstr>
      <vt:lpstr>35. Geotechnical</vt:lpstr>
      <vt:lpstr>'Fee Sheet - Sub'!\P</vt:lpstr>
      <vt:lpstr>\P</vt:lpstr>
      <vt:lpstr>'Architecture Guidelines'!_Toc528467648</vt:lpstr>
      <vt:lpstr>'Environmental Permit Guidelines'!_Toc528467648</vt:lpstr>
      <vt:lpstr>'Geotechnical Guidelines'!_Toc528467648</vt:lpstr>
      <vt:lpstr>'Roadway Guidelines'!_Toc528467648</vt:lpstr>
      <vt:lpstr>'Survey Guidelines'!_Toc528467648</vt:lpstr>
      <vt:lpstr>'Utility Guidelines'!_Toc528467648</vt:lpstr>
      <vt:lpstr>'Fee Sheet - Sub'!FEE</vt:lpstr>
      <vt:lpstr>FEE</vt:lpstr>
      <vt:lpstr>'12. Short Span Concrete'!Print_Area</vt:lpstr>
      <vt:lpstr>'13. Medium Span Concrete '!Print_Area</vt:lpstr>
      <vt:lpstr>'14. Structures-Structural Steel'!Print_Area</vt:lpstr>
      <vt:lpstr>'18. Structures-Miscellaneous'!Print_Area</vt:lpstr>
      <vt:lpstr>'19. Signing &amp; Marking Analysis '!Print_Area</vt:lpstr>
      <vt:lpstr>'21. Signalization Analysis'!Print_Area</vt:lpstr>
      <vt:lpstr>'23. Lighting Analysis'!Print_Area</vt:lpstr>
      <vt:lpstr>'25. Landscape Analysis'!Print_Area</vt:lpstr>
      <vt:lpstr>'26. Landscape Plans'!Print_Area</vt:lpstr>
      <vt:lpstr>'27. Survey'!Print_Area</vt:lpstr>
      <vt:lpstr>'28. Photogrammetry'!Print_Area</vt:lpstr>
      <vt:lpstr>'3. Project General Tasks'!Print_Area</vt:lpstr>
      <vt:lpstr>'31. Architecture Development'!Print_Area</vt:lpstr>
      <vt:lpstr>'32. Noise Barrier Assessment'!Print_Area</vt:lpstr>
      <vt:lpstr>'33. ITS Analysis'!Print_Area</vt:lpstr>
      <vt:lpstr>'34. ITS Plans'!Print_Area</vt:lpstr>
      <vt:lpstr>'35. Geotechnical'!Print_Area</vt:lpstr>
      <vt:lpstr>'5. Roadway Plans'!Print_Area</vt:lpstr>
      <vt:lpstr>'6b. Drainage Plans'!Print_Area</vt:lpstr>
      <vt:lpstr>'7. Utilities'!Print_Area</vt:lpstr>
      <vt:lpstr>'8. Env. Permits and Clearances'!Print_Area</vt:lpstr>
      <vt:lpstr>'9. Structures Summary'!Print_Area</vt:lpstr>
      <vt:lpstr>'Architecture Guidelines'!Print_Area</vt:lpstr>
      <vt:lpstr>Disclaimer!Print_Area</vt:lpstr>
      <vt:lpstr>'Environmental Permit Guidelines'!Print_Area</vt:lpstr>
      <vt:lpstr>'Fee Sheet - Prime'!Print_Area</vt:lpstr>
      <vt:lpstr>'Fee Sheet - Sub'!Print_Area</vt:lpstr>
      <vt:lpstr>'Geotechnical Guidelines'!Print_Area</vt:lpstr>
      <vt:lpstr>'ITS Guidelines'!Print_Area</vt:lpstr>
      <vt:lpstr>'Lighting Guidelines'!Print_Area</vt:lpstr>
      <vt:lpstr>'Noise Guidelines'!Print_Area</vt:lpstr>
      <vt:lpstr>'Project Information'!Print_Area</vt:lpstr>
      <vt:lpstr>'Roadway Guidelines'!Print_Area</vt:lpstr>
      <vt:lpstr>'Signalization Guidelines'!Print_Area</vt:lpstr>
      <vt:lpstr>'Signing &amp; Marking Guidelines'!Print_Area</vt:lpstr>
      <vt:lpstr>'Spreadsheet instructions'!Print_Area</vt:lpstr>
      <vt:lpstr>'Staff Hour Summary - Firm'!Print_Area</vt:lpstr>
      <vt:lpstr>'Staff Hour Summary--Grand Total'!Print_Area</vt:lpstr>
      <vt:lpstr>'Structures-Guidelines'!Print_Area</vt:lpstr>
      <vt:lpstr>Summary!Print_Area</vt:lpstr>
      <vt:lpstr>'Survey Guidelines'!Print_Area</vt:lpstr>
      <vt:lpstr>Title!Print_Area</vt:lpstr>
      <vt:lpstr>'Utility Guidelines'!Print_Area</vt:lpstr>
      <vt:lpstr>'10. Structures-BDR'!Print_Titles</vt:lpstr>
      <vt:lpstr>'11. Temporary Bridge'!Print_Titles</vt:lpstr>
      <vt:lpstr>'12. Short Span Concrete'!Print_Titles</vt:lpstr>
      <vt:lpstr>'13. Medium Span Concrete '!Print_Titles</vt:lpstr>
      <vt:lpstr>'14. Structures-Structural Steel'!Print_Titles</vt:lpstr>
      <vt:lpstr>'15.Str.-Segmental Concrete'!Print_Titles</vt:lpstr>
      <vt:lpstr>'16. Structures-Movable Span'!Print_Titles</vt:lpstr>
      <vt:lpstr>'17. Str-Retaining Walls'!Print_Titles</vt:lpstr>
      <vt:lpstr>'18. Structures-Miscellaneous'!Print_Titles</vt:lpstr>
      <vt:lpstr>'19. Signing &amp; Marking Analysis '!Print_Titles</vt:lpstr>
      <vt:lpstr>'26. Landscape Plans'!Print_Titles</vt:lpstr>
      <vt:lpstr>'27. Survey'!Print_Titles</vt:lpstr>
      <vt:lpstr>'28. Photogrammetry'!Print_Titles</vt:lpstr>
      <vt:lpstr>'3. Project General Tasks'!Print_Titles</vt:lpstr>
      <vt:lpstr>'30. Terrestrial Mobile LiDAR'!Print_Titles</vt:lpstr>
      <vt:lpstr>'31. Architecture Development'!Print_Titles</vt:lpstr>
      <vt:lpstr>'33. ITS Analysis'!Print_Titles</vt:lpstr>
      <vt:lpstr>'35. Geotechnical'!Print_Titles</vt:lpstr>
      <vt:lpstr>'8. Env. Permits and Clearances'!Print_Titles</vt:lpstr>
      <vt:lpstr>'Staff Hour Summary - Firm'!X_FINAL_SUM</vt:lpstr>
      <vt:lpstr>X_FINAL_SUM</vt:lpstr>
    </vt:vector>
  </TitlesOfParts>
  <Company>Holcomb &amp;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Design Staff Hour Forms &amp; Guidelines</dc:title>
  <dc:creator>Hayden, Mary Jane</dc:creator>
  <cp:lastModifiedBy>Buck, Ryan</cp:lastModifiedBy>
  <cp:lastPrinted>2023-11-08T20:55:08Z</cp:lastPrinted>
  <dcterms:created xsi:type="dcterms:W3CDTF">1996-01-04T16:34:56Z</dcterms:created>
  <dcterms:modified xsi:type="dcterms:W3CDTF">2025-04-04T15:29:46Z</dcterms:modified>
</cp:coreProperties>
</file>