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tables/table1.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tables/table4.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tables/table7.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24226"/>
  <mc:AlternateContent xmlns:mc="http://schemas.openxmlformats.org/markup-compatibility/2006">
    <mc:Choice Requires="x15">
      <x15ac:absPath xmlns:x15ac="http://schemas.microsoft.com/office/spreadsheetml/2010/11/ac" url="C:\Users\ss947mk\Desktop\DST July 2019\"/>
    </mc:Choice>
  </mc:AlternateContent>
  <xr:revisionPtr revIDLastSave="0" documentId="8_{F2FF370C-E4AE-44E2-9B7B-9A98A29B74E3}" xr6:coauthVersionLast="43" xr6:coauthVersionMax="43" xr10:uidLastSave="{00000000-0000-0000-0000-000000000000}"/>
  <bookViews>
    <workbookView xWindow="-120" yWindow="-120" windowWidth="29040" windowHeight="15840" tabRatio="895" activeTab="3" xr2:uid="{00000000-000D-0000-FFFF-FFFF00000000}"/>
  </bookViews>
  <sheets>
    <sheet name="Index" sheetId="10" r:id="rId1"/>
    <sheet name="Process Flow" sheetId="9" state="hidden" r:id="rId2"/>
    <sheet name="Changes from 4-22 Version" sheetId="14" state="hidden" r:id="rId3"/>
    <sheet name="Summary" sheetId="12" r:id="rId4"/>
    <sheet name="Risk_Pre_Charter" sheetId="1" r:id="rId5"/>
    <sheet name="Complexity_Pre_Charter" sheetId="2" r:id="rId6"/>
    <sheet name="Risk_Initiation_Gate" sheetId="3" r:id="rId7"/>
    <sheet name="Complexity_Initiation_Gate" sheetId="4" r:id="rId8"/>
    <sheet name="Risk_Planning_Gate" sheetId="5" r:id="rId9"/>
    <sheet name="Complexity_Planning_Gate" sheetId="6" r:id="rId10"/>
    <sheet name="Risk_Event-Driven" sheetId="7" r:id="rId11"/>
    <sheet name="Project Category Lookup Table" sheetId="8" state="hidden" r:id="rId12"/>
    <sheet name="L_DEPT" sheetId="13" state="hidden" r:id="rId13"/>
    <sheet name="L_Answer Select" sheetId="11" state="hidden" r:id="rId14"/>
  </sheets>
  <externalReferences>
    <externalReference r:id="rId15"/>
  </externalReferences>
  <definedNames>
    <definedName name="_xlnm._FilterDatabase" localSheetId="2" hidden="1">'Changes from 4-22 Version'!$A$5:$E$171</definedName>
    <definedName name="OLE_LINK2" localSheetId="4">Risk_Pre_Charter!#REF!</definedName>
    <definedName name="_xlnm.Print_Area" localSheetId="7">Complexity_Initiation_Gate!$A$1:$F$128</definedName>
    <definedName name="_xlnm.Print_Area" localSheetId="9">Complexity_Planning_Gate!$A$1:$F$130</definedName>
    <definedName name="_xlnm.Print_Area" localSheetId="5">Complexity_Pre_Charter!$A$1:$F$100</definedName>
    <definedName name="_xlnm.Print_Area" localSheetId="11">'Project Category Lookup Table'!$A$1:$P$14</definedName>
    <definedName name="_xlnm.Print_Area" localSheetId="10">'Risk_Event-Driven'!$A$1:$F$88</definedName>
    <definedName name="_xlnm.Print_Area" localSheetId="6">Risk_Initiation_Gate!$A$1:$F$148</definedName>
    <definedName name="_xlnm.Print_Area" localSheetId="8">Risk_Planning_Gate!$A$1:$F$144</definedName>
    <definedName name="_xlnm.Print_Area" localSheetId="4">Risk_Pre_Charter!$A$1:$F$94</definedName>
    <definedName name="_xlnm.Print_Titles" localSheetId="7">Complexity_Initiation_Gate!$1:$2</definedName>
    <definedName name="_xlnm.Print_Titles" localSheetId="9">Complexity_Planning_Gate!$1:$2</definedName>
    <definedName name="_xlnm.Print_Titles" localSheetId="5">Complexity_Pre_Charter!$1:$2</definedName>
    <definedName name="_xlnm.Print_Titles" localSheetId="10">'Risk_Event-Driven'!$1:$2</definedName>
    <definedName name="_xlnm.Print_Titles" localSheetId="6">Risk_Initiation_Gate!$1:$2</definedName>
    <definedName name="_xlnm.Print_Titles" localSheetId="8">Risk_Planning_Gate!$1:$2</definedName>
    <definedName name="_xlnm.Print_Titles" localSheetId="4">Risk_Pre_Charter!$1:$2</definedName>
    <definedName name="ProjectEnd">#REF!</definedName>
    <definedName name="ProjectStart">#REF!</definedName>
    <definedName name="sitename">[1]Sites!$A:$A</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3" i="4" l="1"/>
  <c r="G59" i="5" l="1"/>
  <c r="G120" i="5" l="1"/>
  <c r="D118" i="5"/>
  <c r="G114" i="5"/>
  <c r="D112" i="5"/>
  <c r="G109" i="5"/>
  <c r="D107" i="5"/>
  <c r="G104" i="5"/>
  <c r="D102" i="5"/>
  <c r="G97" i="5"/>
  <c r="D95" i="5"/>
  <c r="G91" i="5"/>
  <c r="D89" i="5"/>
  <c r="G86" i="5"/>
  <c r="D84" i="5"/>
  <c r="G86" i="6" l="1"/>
  <c r="D84" i="6"/>
  <c r="G68" i="6"/>
  <c r="G61" i="6"/>
  <c r="G29" i="6"/>
  <c r="G50" i="6"/>
  <c r="C83" i="2" l="1"/>
  <c r="F100" i="2"/>
  <c r="G100" i="2"/>
  <c r="G75" i="1" l="1"/>
  <c r="G15" i="2"/>
  <c r="G35" i="1"/>
  <c r="D33" i="1"/>
  <c r="G14" i="7" l="1"/>
  <c r="G30" i="5"/>
  <c r="G35" i="2"/>
  <c r="G75" i="6" l="1"/>
  <c r="D59" i="6"/>
  <c r="G40" i="7"/>
  <c r="D38" i="7"/>
  <c r="G35" i="7"/>
  <c r="D33" i="7"/>
  <c r="D73" i="6" l="1"/>
  <c r="D66" i="6"/>
  <c r="C57" i="7" l="1"/>
  <c r="C109" i="6"/>
  <c r="C79" i="1"/>
  <c r="C123" i="5" l="1"/>
  <c r="G105" i="4"/>
  <c r="C128" i="3"/>
  <c r="C108" i="4"/>
  <c r="G100" i="4"/>
  <c r="D98" i="4"/>
  <c r="G63" i="3" l="1"/>
  <c r="G125" i="3" l="1"/>
  <c r="D123" i="3"/>
  <c r="D73" i="1" l="1"/>
  <c r="G58" i="1"/>
  <c r="G69" i="1"/>
  <c r="G78" i="4" l="1"/>
  <c r="G65" i="4"/>
  <c r="G40" i="3"/>
  <c r="G9" i="3"/>
  <c r="G64" i="2" l="1"/>
  <c r="G22" i="2"/>
  <c r="G24" i="1"/>
  <c r="G54" i="7" l="1"/>
  <c r="G50" i="7"/>
  <c r="G46" i="7"/>
  <c r="G30" i="7"/>
  <c r="G25" i="7"/>
  <c r="G20" i="7"/>
  <c r="G9" i="7"/>
  <c r="G105" i="6"/>
  <c r="G92" i="6"/>
  <c r="G81" i="6"/>
  <c r="G56" i="6"/>
  <c r="G36" i="6"/>
  <c r="G23" i="6"/>
  <c r="G18" i="6"/>
  <c r="G14" i="6"/>
  <c r="G10" i="6"/>
  <c r="G71" i="5"/>
  <c r="G65" i="5"/>
  <c r="G48" i="5"/>
  <c r="G43" i="5"/>
  <c r="G24" i="5"/>
  <c r="G19" i="5"/>
  <c r="G14" i="5"/>
  <c r="G10" i="5"/>
  <c r="G94" i="4"/>
  <c r="G54" i="4"/>
  <c r="G42" i="4"/>
  <c r="G23" i="4"/>
  <c r="G119" i="3"/>
  <c r="G98" i="3"/>
  <c r="G92" i="3"/>
  <c r="G86" i="3"/>
  <c r="G80" i="3"/>
  <c r="G74" i="3"/>
  <c r="G68" i="3"/>
  <c r="G28" i="3"/>
  <c r="G51" i="3"/>
  <c r="G46" i="3"/>
  <c r="G70" i="2"/>
  <c r="G59" i="2"/>
  <c r="G46" i="2"/>
  <c r="G10" i="2"/>
  <c r="D56" i="1"/>
  <c r="G63" i="1"/>
  <c r="G53" i="1"/>
  <c r="G47" i="1"/>
  <c r="G42" i="1"/>
  <c r="G30" i="1"/>
  <c r="D52" i="7" l="1"/>
  <c r="D48" i="7"/>
  <c r="D44" i="7"/>
  <c r="D28" i="7"/>
  <c r="D23" i="7"/>
  <c r="D18" i="7"/>
  <c r="D12" i="7"/>
  <c r="D7" i="7"/>
  <c r="G97" i="6"/>
  <c r="G42" i="6"/>
  <c r="D102" i="6"/>
  <c r="D95" i="6"/>
  <c r="D90" i="6"/>
  <c r="D79" i="6"/>
  <c r="D54" i="6"/>
  <c r="D47" i="6"/>
  <c r="D39" i="6"/>
  <c r="D33" i="6"/>
  <c r="D26" i="6"/>
  <c r="D21" i="6"/>
  <c r="D16" i="6"/>
  <c r="D12" i="6"/>
  <c r="D8" i="6"/>
  <c r="G81" i="5"/>
  <c r="G77" i="5"/>
  <c r="G53" i="5"/>
  <c r="G36" i="5"/>
  <c r="D79" i="5"/>
  <c r="D75" i="5"/>
  <c r="D68" i="5"/>
  <c r="D63" i="5"/>
  <c r="D57" i="5"/>
  <c r="D51" i="5"/>
  <c r="D46" i="5"/>
  <c r="D41" i="5"/>
  <c r="D34" i="5"/>
  <c r="D28" i="5"/>
  <c r="D22" i="5"/>
  <c r="D17" i="5"/>
  <c r="D12" i="5"/>
  <c r="D8" i="5"/>
  <c r="G88" i="4"/>
  <c r="G84" i="4"/>
  <c r="G71" i="4"/>
  <c r="G35" i="4"/>
  <c r="G28" i="4"/>
  <c r="G15" i="4"/>
  <c r="G59" i="4"/>
  <c r="G47" i="4"/>
  <c r="G9" i="4"/>
  <c r="D91" i="4"/>
  <c r="D86" i="4"/>
  <c r="D82" i="4"/>
  <c r="D76" i="4"/>
  <c r="D68" i="4"/>
  <c r="D63" i="4"/>
  <c r="D57" i="4"/>
  <c r="D51" i="4"/>
  <c r="D45" i="4"/>
  <c r="D40" i="4"/>
  <c r="D33" i="4"/>
  <c r="D26" i="4"/>
  <c r="D21" i="4"/>
  <c r="D13" i="4"/>
  <c r="D7" i="4"/>
  <c r="G108" i="3"/>
  <c r="G103" i="3"/>
  <c r="G113" i="3"/>
  <c r="G57" i="3"/>
  <c r="G15" i="3"/>
  <c r="D111" i="4" l="1"/>
  <c r="D112" i="6"/>
  <c r="D60" i="7"/>
  <c r="D126" i="5"/>
  <c r="G33" i="3"/>
  <c r="G21" i="3"/>
  <c r="D117" i="3"/>
  <c r="D111" i="3"/>
  <c r="D106" i="3"/>
  <c r="D101" i="3"/>
  <c r="D96" i="3"/>
  <c r="D90" i="3"/>
  <c r="D84" i="3"/>
  <c r="D78" i="3"/>
  <c r="D72" i="3"/>
  <c r="D66" i="3"/>
  <c r="D61" i="3"/>
  <c r="D54" i="3"/>
  <c r="D49" i="3"/>
  <c r="D44" i="3"/>
  <c r="D38" i="3"/>
  <c r="D31" i="3"/>
  <c r="D26" i="3"/>
  <c r="D19" i="3"/>
  <c r="D13" i="3"/>
  <c r="D7" i="3"/>
  <c r="D78" i="2"/>
  <c r="D73" i="2"/>
  <c r="D68" i="2"/>
  <c r="D62" i="2"/>
  <c r="D57" i="2"/>
  <c r="D49" i="2"/>
  <c r="D44" i="2"/>
  <c r="D38" i="2"/>
  <c r="D33" i="2"/>
  <c r="D25" i="2"/>
  <c r="D20" i="2"/>
  <c r="D13" i="2"/>
  <c r="D7" i="2"/>
  <c r="D67" i="1"/>
  <c r="D61" i="1"/>
  <c r="D51" i="1"/>
  <c r="D45" i="1"/>
  <c r="D40" i="1"/>
  <c r="D28" i="1"/>
  <c r="D22" i="1"/>
  <c r="D15" i="1"/>
  <c r="D7" i="1"/>
  <c r="G80" i="2"/>
  <c r="G75" i="2"/>
  <c r="G51" i="2"/>
  <c r="G40" i="2"/>
  <c r="G28" i="2"/>
  <c r="G17" i="1"/>
  <c r="G9" i="1"/>
  <c r="D86" i="2" l="1"/>
  <c r="D82" i="1"/>
  <c r="D131" i="3"/>
  <c r="D117" i="6" l="1"/>
  <c r="E85" i="6" s="1"/>
  <c r="D136" i="3"/>
  <c r="E60" i="6" l="1"/>
  <c r="E67" i="6"/>
  <c r="E49" i="6"/>
  <c r="E28" i="6"/>
  <c r="E55" i="6"/>
  <c r="E74" i="6"/>
  <c r="E62" i="3"/>
  <c r="E124" i="3"/>
  <c r="E8" i="3"/>
  <c r="E39" i="3"/>
  <c r="E91" i="6"/>
  <c r="E104" i="6"/>
  <c r="E80" i="6"/>
  <c r="E35" i="6"/>
  <c r="E17" i="6"/>
  <c r="E22" i="6"/>
  <c r="E9" i="6"/>
  <c r="E13" i="6"/>
  <c r="E118" i="3"/>
  <c r="E91" i="3"/>
  <c r="E97" i="3"/>
  <c r="E79" i="3"/>
  <c r="E85" i="3"/>
  <c r="E67" i="3"/>
  <c r="E73" i="3"/>
  <c r="E27" i="3"/>
  <c r="E45" i="3"/>
  <c r="E50" i="3"/>
  <c r="E41" i="6"/>
  <c r="E96" i="6"/>
  <c r="E56" i="3"/>
  <c r="E107" i="3"/>
  <c r="E112" i="3"/>
  <c r="E32" i="3"/>
  <c r="E14" i="3"/>
  <c r="E20" i="3"/>
  <c r="E102" i="3"/>
  <c r="D65" i="7"/>
  <c r="E34" i="7" l="1"/>
  <c r="E39" i="7"/>
  <c r="E49" i="7"/>
  <c r="E53" i="7"/>
  <c r="E29" i="7"/>
  <c r="E45" i="7"/>
  <c r="E19" i="7"/>
  <c r="E24" i="7"/>
  <c r="E8" i="7"/>
  <c r="E13" i="7"/>
  <c r="D91" i="2"/>
  <c r="E14" i="2" s="1"/>
  <c r="D131" i="5"/>
  <c r="E58" i="5" s="1"/>
  <c r="D62" i="7"/>
  <c r="D66" i="7" s="1"/>
  <c r="D114" i="6"/>
  <c r="D118" i="6" s="1"/>
  <c r="E87" i="6" s="1"/>
  <c r="D87" i="1"/>
  <c r="E86" i="6" l="1"/>
  <c r="G85" i="6"/>
  <c r="E119" i="5"/>
  <c r="E108" i="5"/>
  <c r="E113" i="5"/>
  <c r="E96" i="5"/>
  <c r="E103" i="5"/>
  <c r="E90" i="5"/>
  <c r="E29" i="5"/>
  <c r="E85" i="5"/>
  <c r="E63" i="6"/>
  <c r="E70" i="6"/>
  <c r="G67" i="6" s="1"/>
  <c r="E51" i="6"/>
  <c r="E30" i="6"/>
  <c r="E34" i="1"/>
  <c r="E74" i="1"/>
  <c r="E56" i="6"/>
  <c r="G55" i="6" s="1"/>
  <c r="E76" i="6"/>
  <c r="E75" i="6" s="1"/>
  <c r="G74" i="6" s="1"/>
  <c r="E35" i="7"/>
  <c r="G34" i="7" s="1"/>
  <c r="E40" i="7"/>
  <c r="G39" i="7" s="1"/>
  <c r="E70" i="5"/>
  <c r="E57" i="1"/>
  <c r="E68" i="1"/>
  <c r="E21" i="2"/>
  <c r="E63" i="2"/>
  <c r="E23" i="1"/>
  <c r="E50" i="7"/>
  <c r="G49" i="7" s="1"/>
  <c r="E54" i="7"/>
  <c r="G53" i="7" s="1"/>
  <c r="E30" i="7"/>
  <c r="G29" i="7" s="1"/>
  <c r="E46" i="7"/>
  <c r="G45" i="7" s="1"/>
  <c r="E20" i="7"/>
  <c r="G19" i="7" s="1"/>
  <c r="E25" i="7"/>
  <c r="G24" i="7" s="1"/>
  <c r="E9" i="7"/>
  <c r="G8" i="7" s="1"/>
  <c r="E15" i="7"/>
  <c r="E14" i="7" s="1"/>
  <c r="G13" i="7" s="1"/>
  <c r="E92" i="6"/>
  <c r="G91" i="6" s="1"/>
  <c r="E106" i="6"/>
  <c r="E105" i="6" s="1"/>
  <c r="G104" i="6" s="1"/>
  <c r="E81" i="6"/>
  <c r="G80" i="6" s="1"/>
  <c r="E36" i="6"/>
  <c r="G35" i="6" s="1"/>
  <c r="E18" i="6"/>
  <c r="G17" i="6" s="1"/>
  <c r="E23" i="6"/>
  <c r="G22" i="6" s="1"/>
  <c r="E10" i="6"/>
  <c r="G9" i="6" s="1"/>
  <c r="E14" i="6"/>
  <c r="G13" i="6" s="1"/>
  <c r="E64" i="5"/>
  <c r="E47" i="5"/>
  <c r="E42" i="5"/>
  <c r="E18" i="5"/>
  <c r="E23" i="5"/>
  <c r="E9" i="5"/>
  <c r="E13" i="5"/>
  <c r="E69" i="2"/>
  <c r="E45" i="2"/>
  <c r="E58" i="2"/>
  <c r="E34" i="2"/>
  <c r="E9" i="2"/>
  <c r="E62" i="1"/>
  <c r="E46" i="1"/>
  <c r="E52" i="1"/>
  <c r="E29" i="1"/>
  <c r="E41" i="1"/>
  <c r="E44" i="6"/>
  <c r="E99" i="6"/>
  <c r="E52" i="5"/>
  <c r="E35" i="5"/>
  <c r="E76" i="5"/>
  <c r="E80" i="5"/>
  <c r="E50" i="2"/>
  <c r="E27" i="2"/>
  <c r="E39" i="2"/>
  <c r="E74" i="2"/>
  <c r="E79" i="2"/>
  <c r="E16" i="1"/>
  <c r="E8" i="1"/>
  <c r="D128" i="5"/>
  <c r="D132" i="5" s="1"/>
  <c r="E60" i="5" s="1"/>
  <c r="E59" i="5" s="1"/>
  <c r="D88" i="2"/>
  <c r="D92" i="2" s="1"/>
  <c r="E17" i="2" s="1"/>
  <c r="E15" i="2" s="1"/>
  <c r="D84" i="1"/>
  <c r="D88" i="1" s="1"/>
  <c r="D133" i="3"/>
  <c r="D137" i="3" s="1"/>
  <c r="E61" i="6" l="1"/>
  <c r="G60" i="6"/>
  <c r="E50" i="6"/>
  <c r="G49" i="6"/>
  <c r="E29" i="6"/>
  <c r="G28" i="6"/>
  <c r="G58" i="5"/>
  <c r="G14" i="2"/>
  <c r="E120" i="5"/>
  <c r="G119" i="5" s="1"/>
  <c r="E109" i="5"/>
  <c r="G108" i="5" s="1"/>
  <c r="E115" i="5"/>
  <c r="E114" i="5" s="1"/>
  <c r="E99" i="5"/>
  <c r="E98" i="5" s="1"/>
  <c r="E104" i="5"/>
  <c r="G103" i="5" s="1"/>
  <c r="E92" i="5"/>
  <c r="E91" i="5" s="1"/>
  <c r="E32" i="5"/>
  <c r="E31" i="5" s="1"/>
  <c r="E86" i="5"/>
  <c r="G85" i="5" s="1"/>
  <c r="E62" i="6"/>
  <c r="E69" i="6"/>
  <c r="E68" i="6"/>
  <c r="E37" i="1"/>
  <c r="E36" i="1" s="1"/>
  <c r="E76" i="1"/>
  <c r="E16" i="2"/>
  <c r="E30" i="5"/>
  <c r="G57" i="7"/>
  <c r="E63" i="3"/>
  <c r="G62" i="3" s="1"/>
  <c r="E71" i="5"/>
  <c r="G70" i="5" s="1"/>
  <c r="E125" i="3"/>
  <c r="G124" i="3" s="1"/>
  <c r="E58" i="1"/>
  <c r="G57" i="1" s="1"/>
  <c r="E70" i="1"/>
  <c r="E69" i="1" s="1"/>
  <c r="G68" i="1" s="1"/>
  <c r="E10" i="3"/>
  <c r="E41" i="3"/>
  <c r="E40" i="3" s="1"/>
  <c r="G39" i="3" s="1"/>
  <c r="E22" i="2"/>
  <c r="G21" i="2" s="1"/>
  <c r="E65" i="2"/>
  <c r="E64" i="2" s="1"/>
  <c r="E25" i="1"/>
  <c r="E24" i="1" s="1"/>
  <c r="G23" i="1" s="1"/>
  <c r="E65" i="5"/>
  <c r="G64" i="5" s="1"/>
  <c r="E48" i="5"/>
  <c r="G47" i="5" s="1"/>
  <c r="E43" i="5"/>
  <c r="G42" i="5" s="1"/>
  <c r="E19" i="5"/>
  <c r="G18" i="5" s="1"/>
  <c r="E24" i="5"/>
  <c r="G23" i="5" s="1"/>
  <c r="E10" i="5"/>
  <c r="G9" i="5" s="1"/>
  <c r="E14" i="5"/>
  <c r="G13" i="5" s="1"/>
  <c r="E120" i="3"/>
  <c r="E119" i="3" s="1"/>
  <c r="G118" i="3" s="1"/>
  <c r="E93" i="3"/>
  <c r="E98" i="3"/>
  <c r="G97" i="3" s="1"/>
  <c r="E81" i="3"/>
  <c r="E87" i="3"/>
  <c r="E69" i="3"/>
  <c r="E68" i="3" s="1"/>
  <c r="G67" i="3" s="1"/>
  <c r="E75" i="3"/>
  <c r="E74" i="3" s="1"/>
  <c r="G73" i="3" s="1"/>
  <c r="E28" i="3"/>
  <c r="G27" i="3" s="1"/>
  <c r="E46" i="3"/>
  <c r="G45" i="3" s="1"/>
  <c r="E51" i="3"/>
  <c r="G50" i="3" s="1"/>
  <c r="E70" i="2"/>
  <c r="G69" i="2" s="1"/>
  <c r="E46" i="2"/>
  <c r="G45" i="2" s="1"/>
  <c r="E59" i="2"/>
  <c r="G58" i="2" s="1"/>
  <c r="E35" i="2"/>
  <c r="G34" i="2" s="1"/>
  <c r="E10" i="2"/>
  <c r="G9" i="2" s="1"/>
  <c r="E64" i="1"/>
  <c r="E63" i="1" s="1"/>
  <c r="E48" i="1"/>
  <c r="E47" i="1" s="1"/>
  <c r="G46" i="1" s="1"/>
  <c r="E53" i="1"/>
  <c r="G52" i="1" s="1"/>
  <c r="E30" i="1"/>
  <c r="E42" i="1"/>
  <c r="G41" i="1" s="1"/>
  <c r="E43" i="6"/>
  <c r="E42" i="6"/>
  <c r="G41" i="6" s="1"/>
  <c r="E97" i="6"/>
  <c r="G96" i="6" s="1"/>
  <c r="E98" i="6"/>
  <c r="E38" i="5"/>
  <c r="E37" i="5" s="1"/>
  <c r="E77" i="5"/>
  <c r="G76" i="5" s="1"/>
  <c r="E81" i="5"/>
  <c r="G80" i="5" s="1"/>
  <c r="E53" i="5"/>
  <c r="G52" i="5" s="1"/>
  <c r="D113" i="4"/>
  <c r="D117" i="4" s="1"/>
  <c r="E105" i="4" s="1"/>
  <c r="G104" i="4" s="1"/>
  <c r="D116" i="4"/>
  <c r="E104" i="4" s="1"/>
  <c r="E35" i="3"/>
  <c r="E114" i="3"/>
  <c r="E16" i="3"/>
  <c r="E23" i="3"/>
  <c r="E103" i="3"/>
  <c r="G102" i="3" s="1"/>
  <c r="E58" i="3"/>
  <c r="E108" i="3"/>
  <c r="G107" i="3" s="1"/>
  <c r="E30" i="2"/>
  <c r="E29" i="2" s="1"/>
  <c r="E54" i="2"/>
  <c r="E52" i="2" s="1"/>
  <c r="E41" i="2"/>
  <c r="E40" i="2" s="1"/>
  <c r="E75" i="2"/>
  <c r="G74" i="2" s="1"/>
  <c r="E80" i="2"/>
  <c r="G79" i="2" s="1"/>
  <c r="E12" i="1"/>
  <c r="E10" i="1" s="1"/>
  <c r="E19" i="1"/>
  <c r="E17" i="1" s="1"/>
  <c r="G113" i="5" l="1"/>
  <c r="G96" i="5"/>
  <c r="G90" i="5"/>
  <c r="G35" i="5"/>
  <c r="G29" i="5"/>
  <c r="E113" i="3"/>
  <c r="G112" i="3" s="1"/>
  <c r="E92" i="3"/>
  <c r="G91" i="3"/>
  <c r="E80" i="3"/>
  <c r="G79" i="3"/>
  <c r="E57" i="3"/>
  <c r="G56" i="3"/>
  <c r="E15" i="3"/>
  <c r="G14" i="3"/>
  <c r="E9" i="3"/>
  <c r="G8" i="3"/>
  <c r="G63" i="2"/>
  <c r="G39" i="2"/>
  <c r="G34" i="1"/>
  <c r="E97" i="5"/>
  <c r="G109" i="6"/>
  <c r="F112" i="6" s="1"/>
  <c r="F60" i="7"/>
  <c r="G60" i="7"/>
  <c r="E75" i="1"/>
  <c r="G74" i="1" s="1"/>
  <c r="E35" i="1"/>
  <c r="G62" i="1"/>
  <c r="E100" i="4"/>
  <c r="E99" i="4"/>
  <c r="E65" i="4"/>
  <c r="E78" i="4"/>
  <c r="E64" i="4"/>
  <c r="E77" i="4"/>
  <c r="E95" i="4"/>
  <c r="E93" i="4"/>
  <c r="E53" i="4"/>
  <c r="E54" i="4"/>
  <c r="E24" i="4"/>
  <c r="E42" i="4"/>
  <c r="E22" i="4"/>
  <c r="E41" i="4"/>
  <c r="E86" i="3"/>
  <c r="G85" i="3"/>
  <c r="E36" i="5"/>
  <c r="E14" i="4"/>
  <c r="E34" i="4"/>
  <c r="E70" i="4"/>
  <c r="E46" i="4"/>
  <c r="E58" i="4"/>
  <c r="E83" i="4"/>
  <c r="E27" i="4"/>
  <c r="E8" i="4"/>
  <c r="E87" i="4"/>
  <c r="E48" i="4"/>
  <c r="E60" i="4"/>
  <c r="E30" i="4"/>
  <c r="E10" i="4"/>
  <c r="E84" i="4"/>
  <c r="E88" i="4"/>
  <c r="E37" i="4"/>
  <c r="E73" i="4"/>
  <c r="E17" i="4"/>
  <c r="E22" i="3"/>
  <c r="G20" i="3" s="1"/>
  <c r="E21" i="3"/>
  <c r="E33" i="3"/>
  <c r="E34" i="3"/>
  <c r="G32" i="3" s="1"/>
  <c r="E28" i="2"/>
  <c r="G27" i="2" s="1"/>
  <c r="E51" i="2"/>
  <c r="E53" i="2"/>
  <c r="G50" i="2" s="1"/>
  <c r="E18" i="1"/>
  <c r="G16" i="1" s="1"/>
  <c r="G29" i="1"/>
  <c r="E11" i="1"/>
  <c r="E9" i="1"/>
  <c r="G99" i="4" l="1"/>
  <c r="G83" i="2"/>
  <c r="G86" i="2" s="1"/>
  <c r="G8" i="1"/>
  <c r="G41" i="4"/>
  <c r="G58" i="4"/>
  <c r="E72" i="4"/>
  <c r="E71" i="4"/>
  <c r="E36" i="4"/>
  <c r="E35" i="4"/>
  <c r="G34" i="4" s="1"/>
  <c r="E29" i="4"/>
  <c r="E28" i="4"/>
  <c r="E15" i="4"/>
  <c r="E16" i="4"/>
  <c r="E47" i="4"/>
  <c r="G123" i="5"/>
  <c r="G83" i="4"/>
  <c r="G93" i="4"/>
  <c r="G87" i="4"/>
  <c r="G77" i="4"/>
  <c r="G70" i="4"/>
  <c r="G27" i="4"/>
  <c r="G64" i="4"/>
  <c r="G53" i="4"/>
  <c r="G46" i="4"/>
  <c r="G14" i="4"/>
  <c r="G8" i="4"/>
  <c r="G128" i="3"/>
  <c r="G131" i="3" s="1"/>
  <c r="E26" i="12"/>
  <c r="F26" i="12" s="1"/>
  <c r="G112" i="6"/>
  <c r="F84" i="7" s="1"/>
  <c r="G71" i="7"/>
  <c r="F71" i="7"/>
  <c r="G79" i="1"/>
  <c r="F82" i="1" s="1"/>
  <c r="E94" i="4"/>
  <c r="E23" i="4"/>
  <c r="G22" i="4" s="1"/>
  <c r="E33" i="12"/>
  <c r="F33" i="12" s="1"/>
  <c r="E59" i="4"/>
  <c r="E9" i="4"/>
  <c r="F126" i="5" l="1"/>
  <c r="E25" i="12"/>
  <c r="F25" i="12" s="1"/>
  <c r="E10" i="12"/>
  <c r="F10" i="12" s="1"/>
  <c r="F86" i="2"/>
  <c r="I89" i="2" s="1"/>
  <c r="G108" i="4"/>
  <c r="G111" i="4" s="1"/>
  <c r="G126" i="5"/>
  <c r="G136" i="5" s="1"/>
  <c r="E136" i="5" s="1"/>
  <c r="E17" i="12"/>
  <c r="F17" i="12" s="1"/>
  <c r="F131" i="3"/>
  <c r="G140" i="3"/>
  <c r="E140" i="3" s="1"/>
  <c r="F69" i="7"/>
  <c r="G135" i="5"/>
  <c r="E135" i="5" s="1"/>
  <c r="F140" i="3"/>
  <c r="G69" i="7"/>
  <c r="E69" i="7" s="1"/>
  <c r="F135" i="5"/>
  <c r="G94" i="2"/>
  <c r="G120" i="6"/>
  <c r="E120" i="6" s="1"/>
  <c r="F120" i="6"/>
  <c r="F119" i="4"/>
  <c r="G119" i="4"/>
  <c r="G122" i="6"/>
  <c r="F122" i="6"/>
  <c r="G84" i="7"/>
  <c r="E71" i="7"/>
  <c r="F91" i="1"/>
  <c r="F90" i="1"/>
  <c r="I85" i="1"/>
  <c r="F92" i="1"/>
  <c r="E9" i="12"/>
  <c r="F9" i="12" s="1"/>
  <c r="G82" i="1"/>
  <c r="G96" i="2"/>
  <c r="G95" i="2"/>
  <c r="F95" i="2" l="1"/>
  <c r="F96" i="2"/>
  <c r="F94" i="2"/>
  <c r="F136" i="5"/>
  <c r="G70" i="7"/>
  <c r="E70" i="7" s="1"/>
  <c r="F70" i="7"/>
  <c r="F111" i="4"/>
  <c r="F120" i="4"/>
  <c r="G120" i="4"/>
  <c r="F121" i="4" s="1"/>
  <c r="G68" i="7"/>
  <c r="E68" i="7" s="1"/>
  <c r="F68" i="7"/>
  <c r="E119" i="4"/>
  <c r="E122" i="6"/>
  <c r="F134" i="5"/>
  <c r="G139" i="3"/>
  <c r="F139" i="3"/>
  <c r="G134" i="5"/>
  <c r="G91" i="1"/>
  <c r="G92" i="1"/>
  <c r="G90" i="1"/>
  <c r="C10" i="8"/>
  <c r="E18" i="12"/>
  <c r="F18" i="12" s="1"/>
  <c r="G121" i="4" l="1"/>
  <c r="F122" i="4" s="1"/>
  <c r="G121" i="6"/>
  <c r="F121" i="6"/>
  <c r="E120" i="4"/>
  <c r="B10" i="8"/>
  <c r="D10" i="8" s="1"/>
  <c r="G75" i="7"/>
  <c r="F76" i="7" s="1"/>
  <c r="I63" i="7" s="1"/>
  <c r="F75" i="7"/>
  <c r="E134" i="5"/>
  <c r="G137" i="5"/>
  <c r="F137" i="5"/>
  <c r="E139" i="3"/>
  <c r="G141" i="3"/>
  <c r="F141" i="3"/>
  <c r="G122" i="4" l="1"/>
  <c r="G126" i="4" s="1"/>
  <c r="E121" i="6"/>
  <c r="F123" i="6"/>
  <c r="G123" i="6"/>
  <c r="F80" i="7"/>
  <c r="G76" i="7"/>
  <c r="E40" i="12" s="1"/>
  <c r="F40" i="12" s="1"/>
  <c r="F79" i="7"/>
  <c r="F78" i="7"/>
  <c r="I114" i="4"/>
  <c r="F126" i="4"/>
  <c r="F124" i="4"/>
  <c r="F125" i="4"/>
  <c r="F142" i="3"/>
  <c r="G142" i="3"/>
  <c r="G144" i="3" s="1"/>
  <c r="G138" i="5"/>
  <c r="G142" i="5" s="1"/>
  <c r="F138" i="5"/>
  <c r="G98" i="2"/>
  <c r="F98" i="2"/>
  <c r="I99" i="2" s="1"/>
  <c r="F12" i="12"/>
  <c r="G124" i="4" l="1"/>
  <c r="G125" i="4"/>
  <c r="F124" i="6"/>
  <c r="G124" i="6"/>
  <c r="G80" i="7"/>
  <c r="G79" i="7"/>
  <c r="G78" i="7"/>
  <c r="G145" i="3"/>
  <c r="G146" i="3"/>
  <c r="G141" i="5"/>
  <c r="G140" i="5"/>
  <c r="I129" i="5"/>
  <c r="F140" i="5"/>
  <c r="F142" i="5"/>
  <c r="F141" i="5"/>
  <c r="F145" i="3"/>
  <c r="I134" i="3"/>
  <c r="F144" i="3"/>
  <c r="F146" i="3"/>
  <c r="C11" i="8" l="1"/>
  <c r="G127" i="6"/>
  <c r="F73" i="7"/>
  <c r="G73" i="7"/>
  <c r="E73" i="7" s="1"/>
  <c r="G128" i="6"/>
  <c r="G126" i="6"/>
  <c r="E41" i="12"/>
  <c r="F41" i="12" s="1"/>
  <c r="I115" i="6"/>
  <c r="F126" i="6"/>
  <c r="F128" i="6"/>
  <c r="F127" i="6"/>
  <c r="B11" i="8"/>
  <c r="B13" i="8"/>
  <c r="B12" i="8"/>
  <c r="G85" i="7" l="1"/>
  <c r="C13" i="8" s="1"/>
  <c r="D13" i="8" s="1"/>
  <c r="F88" i="7" s="1"/>
  <c r="I70" i="7" s="1"/>
  <c r="F85" i="7"/>
  <c r="E34" i="12"/>
  <c r="F34" i="12" s="1"/>
  <c r="D11" i="8"/>
  <c r="G128" i="4" s="1"/>
  <c r="C12" i="8"/>
  <c r="D12" i="8" s="1"/>
  <c r="F130" i="6" s="1"/>
  <c r="I129" i="6" s="1"/>
  <c r="F128" i="4" l="1"/>
  <c r="I127" i="4" s="1"/>
  <c r="F20" i="12"/>
  <c r="G88" i="7"/>
  <c r="F43" i="12"/>
  <c r="F36" i="12"/>
  <c r="F28" i="12"/>
  <c r="G130" i="6"/>
</calcChain>
</file>

<file path=xl/sharedStrings.xml><?xml version="1.0" encoding="utf-8"?>
<sst xmlns="http://schemas.openxmlformats.org/spreadsheetml/2006/main" count="1525" uniqueCount="678">
  <si>
    <t>IT Complexity Questions - Project Initiation</t>
  </si>
  <si>
    <t>Weighted Score</t>
  </si>
  <si>
    <t xml:space="preserve">    </t>
  </si>
  <si>
    <t xml:space="preserve"> </t>
  </si>
  <si>
    <t>IT Risk Questions - Project Planning</t>
  </si>
  <si>
    <t>IT Risk Questions - Project Initiation</t>
  </si>
  <si>
    <t>IT Complexity Questions - Project Planning</t>
  </si>
  <si>
    <t>Comments</t>
  </si>
  <si>
    <t>Risk Rank</t>
  </si>
  <si>
    <t>Complexity Rank</t>
  </si>
  <si>
    <t>368 - 500</t>
  </si>
  <si>
    <t>234 - 367</t>
  </si>
  <si>
    <t>100 - 233</t>
  </si>
  <si>
    <t>Plus: Risk Planning Score</t>
  </si>
  <si>
    <t>Plus: Complexity Planning Score</t>
  </si>
  <si>
    <t>RED FLAG SETTING</t>
  </si>
  <si>
    <t>Initiation</t>
  </si>
  <si>
    <t>Planning</t>
  </si>
  <si>
    <t>Risk</t>
  </si>
  <si>
    <t>PROJECT CATEGORY</t>
  </si>
  <si>
    <t>High_Risk</t>
  </si>
  <si>
    <t>Medium_Risk</t>
  </si>
  <si>
    <t>Low_Risk</t>
  </si>
  <si>
    <t>High_Complexity</t>
  </si>
  <si>
    <t>Medium_Complexity</t>
  </si>
  <si>
    <t>Low_Complexity</t>
  </si>
  <si>
    <t xml:space="preserve">Legend:  </t>
  </si>
  <si>
    <t>INDEX</t>
  </si>
  <si>
    <t>Tab</t>
  </si>
  <si>
    <t>Description</t>
  </si>
  <si>
    <t>REVISION HISTORY</t>
  </si>
  <si>
    <t>Version</t>
  </si>
  <si>
    <t>Date</t>
  </si>
  <si>
    <t>PROJECT RISK &amp; COMPLEXITY ASSESSMENT TOOL</t>
  </si>
  <si>
    <t>Initials &amp; Comments</t>
  </si>
  <si>
    <t xml:space="preserve">Business processes that are “directly impacted” by the project are specific business processes that are measurably effected by the project.  Some projects, such as upgrading personal computers, may not have any business processes directly impacted by the project, only those that are indirectly impacted.    </t>
  </si>
  <si>
    <t>a.    &gt; 5</t>
  </si>
  <si>
    <t xml:space="preserve">e.    No business process reengineering </t>
  </si>
  <si>
    <r>
      <t xml:space="preserve">a.    </t>
    </r>
    <r>
      <rPr>
        <sz val="11"/>
        <color indexed="8"/>
        <rFont val="Calibri"/>
        <family val="2"/>
        <scheme val="minor"/>
      </rPr>
      <t>&gt; $5,000,000</t>
    </r>
  </si>
  <si>
    <r>
      <t xml:space="preserve">b.    </t>
    </r>
    <r>
      <rPr>
        <sz val="11"/>
        <color indexed="8"/>
        <rFont val="Calibri"/>
        <family val="2"/>
        <scheme val="minor"/>
      </rPr>
      <t>$1,000,001 to $5,000,000</t>
    </r>
  </si>
  <si>
    <r>
      <t xml:space="preserve">c.    </t>
    </r>
    <r>
      <rPr>
        <sz val="11"/>
        <color indexed="8"/>
        <rFont val="Calibri"/>
        <family val="2"/>
        <scheme val="minor"/>
      </rPr>
      <t>$500,001 to $1,000,000</t>
    </r>
  </si>
  <si>
    <r>
      <t xml:space="preserve">d.    </t>
    </r>
    <r>
      <rPr>
        <sz val="11"/>
        <color indexed="8"/>
        <rFont val="Calibri"/>
        <family val="2"/>
        <scheme val="minor"/>
      </rPr>
      <t>$250,000 to $500,000</t>
    </r>
  </si>
  <si>
    <t>e.    &lt; $250,000</t>
  </si>
  <si>
    <t>a.    Organizational structure and functional responsibilities are not defined.</t>
  </si>
  <si>
    <t>b.    The project will utilize other project deliverables.</t>
  </si>
  <si>
    <t>d.    No other deliverables are required.</t>
  </si>
  <si>
    <t>a.    Impact of project failure on stakeholders is high.</t>
  </si>
  <si>
    <t>a.    Yes, change of critical stakeholders is anticipated.</t>
  </si>
  <si>
    <t>b.    Yes, change of key stakeholders is anticipated.</t>
  </si>
  <si>
    <t>c.    No</t>
  </si>
  <si>
    <t>"Critical Stakeholders” are those essential stakeholders that must be involved with the project in order to achieve success, e.g., the project sponsor.  “Key Stakeholders” are those vital stakeholders that need to be involved with the project, but their turnover is not directly tied to project success, e.g., a member of an executive steering committee.</t>
  </si>
  <si>
    <t>a.    Business users and subject matter experts have never attempted a project of this size and complexity.</t>
  </si>
  <si>
    <t>a.    PM has never participated in a project of this scope and complexity.</t>
  </si>
  <si>
    <t>a.    &lt; 50 %</t>
  </si>
  <si>
    <t>b.    50 – 75 %</t>
  </si>
  <si>
    <t>a.    &lt; 50 %</t>
  </si>
  <si>
    <t>a.    No</t>
  </si>
  <si>
    <t>b.    Yes</t>
  </si>
  <si>
    <t>a.    Yes</t>
  </si>
  <si>
    <t>a.    &gt; 24 months</t>
  </si>
  <si>
    <t>b.    13-24 months</t>
  </si>
  <si>
    <t>c.    6-12 months</t>
  </si>
  <si>
    <t>d.    &lt; 6 months</t>
  </si>
  <si>
    <t>a.    &gt; 4</t>
  </si>
  <si>
    <t>a.    &gt; 200</t>
  </si>
  <si>
    <t xml:space="preserve">Constraints can include but are not limited to  time, funding, personnel, facilities, and management limitations.  </t>
  </si>
  <si>
    <t>a)  An increased level of testing from projections?</t>
  </si>
  <si>
    <t>b)  Less flexibility in the project schedule?</t>
  </si>
  <si>
    <t xml:space="preserve">c)  More rigid development and internal project processes?  </t>
  </si>
  <si>
    <t>c.    1</t>
  </si>
  <si>
    <t xml:space="preserve">Percentage of human resources = (# project team members shared) / (total project team).  </t>
  </si>
  <si>
    <t>a.    81 - 100%</t>
  </si>
  <si>
    <t>b.    51 - 80%</t>
  </si>
  <si>
    <t>c.    21 - 50%</t>
  </si>
  <si>
    <t>d.    0 - 20%</t>
  </si>
  <si>
    <t xml:space="preserve">Authority is defined as the formal and legitimate control specified in a charter that gives a project manager power to act in the name of the sponsor or on behalf of the organization on matters pertaining to project integration, cost, schedule, scope, risk, human resources, procurements, quality, and communications. </t>
  </si>
  <si>
    <t>1)  Data Dependency:</t>
  </si>
  <si>
    <t xml:space="preserve">a)  Is the project dependent on data from other sources?  </t>
  </si>
  <si>
    <t>4)  End user anticipated involvement:</t>
  </si>
  <si>
    <t xml:space="preserve">b.    Play minor roles with testing.  </t>
  </si>
  <si>
    <t xml:space="preserve">c.    Highly involved with testing.  </t>
  </si>
  <si>
    <t>a.    Vendor has never implemented the selected solution.</t>
  </si>
  <si>
    <t xml:space="preserve">Examples of sourcing lead times include the lead times for procurements and Requests for Service. </t>
  </si>
  <si>
    <t>a.    Sourcing lead times are not built into the schedule.</t>
  </si>
  <si>
    <t>b.    Sourcing lead times are estimated and scheduled.</t>
  </si>
  <si>
    <t>1)  In order to meet requirements, will the project solution drive a need for:</t>
  </si>
  <si>
    <t>a)  An increased level of testing from original projections?</t>
  </si>
  <si>
    <t>3)  How many stakeholders need separate or unique communications?</t>
  </si>
  <si>
    <t>Unique communications refers to any individual or tailored communications with any individual stakeholder or group of stakeholders.</t>
  </si>
  <si>
    <r>
      <t>4)  Are there clear lines of authority and accountability for tasks and deliverables within the project team?</t>
    </r>
    <r>
      <rPr>
        <i/>
        <sz val="11"/>
        <rFont val="Calibri"/>
        <family val="2"/>
        <scheme val="minor"/>
      </rPr>
      <t/>
    </r>
  </si>
  <si>
    <t>Clear lines of authority and accountability are those that are apparent, easily perceived, and free from confusion, doubt, or ambiguity.</t>
  </si>
  <si>
    <t>a.    &gt; 200</t>
  </si>
  <si>
    <t>b.    101 - 200</t>
  </si>
  <si>
    <t>c.    51 - 100</t>
  </si>
  <si>
    <t>a.    No</t>
  </si>
  <si>
    <t>c.    2 - 5</t>
  </si>
  <si>
    <t>a.    &lt; 25% of team is in the same location.</t>
  </si>
  <si>
    <t>b.    25 - 49% of team is in the same location.</t>
  </si>
  <si>
    <t>c.    50 - 90% of team is in the same location.</t>
  </si>
  <si>
    <t>d.    &gt; 90% of team is in the same location.</t>
  </si>
  <si>
    <t>Risk - Pre-Select</t>
  </si>
  <si>
    <t>Complexity - Pre-Select</t>
  </si>
  <si>
    <t>Risk - Initiation</t>
  </si>
  <si>
    <t>Complexity - Initiation</t>
  </si>
  <si>
    <t>Risk - Planning</t>
  </si>
  <si>
    <t>Complexity - Planning</t>
  </si>
  <si>
    <t>Risk - Execution</t>
  </si>
  <si>
    <t>Project Category Lookup</t>
  </si>
  <si>
    <t>AST - Agency for State Technology</t>
  </si>
  <si>
    <t>PM - Project Manager</t>
  </si>
  <si>
    <t>Questions and scoring criteria to determine Risk score for the Pre-Select Phase.</t>
  </si>
  <si>
    <t>Questions and scoring criteria to determine Complexity score for the Pre-Select Phase.</t>
  </si>
  <si>
    <t>Questions and scoring criteria to determine Risk score for the Initiation Phase.</t>
  </si>
  <si>
    <t>Questions and scoring criteria to determine Complexity score for the Initiation Phase.</t>
  </si>
  <si>
    <t>Questions and scoring criteria to determine Risk score for the Planning Phase.</t>
  </si>
  <si>
    <t>Questions and scoring criteria to determine Complexity score for the Planning Phase.</t>
  </si>
  <si>
    <t>Questions and scoring criteria to determine Risk score for the Execution Phase.</t>
  </si>
  <si>
    <t>Project Risk &amp; Complexity Category Lookup table, based on Risk &amp; Complexity scores.</t>
  </si>
  <si>
    <t>INSERT ROWS ABOVE THIS LINE TO UPDATE DROP-DOWN LIST</t>
  </si>
  <si>
    <t>A</t>
  </si>
  <si>
    <t>B</t>
  </si>
  <si>
    <t>C</t>
  </si>
  <si>
    <t>D</t>
  </si>
  <si>
    <t>E</t>
  </si>
  <si>
    <t>NA</t>
  </si>
  <si>
    <t>Weighted
Score</t>
  </si>
  <si>
    <t>b.    Impact of project failure on stakeholders is between high and moderate.</t>
  </si>
  <si>
    <t>c.    Impact of project failure on stakeholders is between moderate and minimal.</t>
  </si>
  <si>
    <t xml:space="preserve">a.    Minimal - there is no history that stakeholders have delivered promised resources in the past.  </t>
  </si>
  <si>
    <t>RISK &amp; COMPLEXITY ASSESSMENT PROCESS FLOW</t>
  </si>
  <si>
    <t>b.    Yes</t>
  </si>
  <si>
    <t>a.    High complexity</t>
  </si>
  <si>
    <t>b.    Moderate complexity</t>
  </si>
  <si>
    <t>c.    Minimal complexity</t>
  </si>
  <si>
    <t>RISK &amp; COMPLEXITY ASSESSMENT - PROJECT CATEGORY LOOKUP TABLE</t>
  </si>
  <si>
    <t>RISK &amp; COMPLEXITY ASSESSMENT - PROJECT CATEGORY SCORING BY PHASE</t>
  </si>
  <si>
    <r>
      <t>a.</t>
    </r>
    <r>
      <rPr>
        <sz val="11"/>
        <color indexed="8"/>
        <rFont val="Calibri"/>
        <family val="2"/>
        <scheme val="minor"/>
      </rPr>
      <t>    The project is critical to meeting Agency's Strategic Goals and  Objectives.</t>
    </r>
  </si>
  <si>
    <r>
      <t>b.</t>
    </r>
    <r>
      <rPr>
        <sz val="11"/>
        <color indexed="8"/>
        <rFont val="Calibri"/>
        <family val="2"/>
        <scheme val="minor"/>
      </rPr>
      <t>    The project is important to meeting Agency's Strategic Goals and Objectives.</t>
    </r>
  </si>
  <si>
    <t>a.    &gt; 75%  of Agency business processes are being reengineered.</t>
  </si>
  <si>
    <t>b.    51 - 75% of Agency business processes are being reengineered.</t>
  </si>
  <si>
    <t>c.    26 - 50% of Agency business processes are being reengineered.</t>
  </si>
  <si>
    <t>d.    0 - 25% of Agency business processes are being reengineered.</t>
  </si>
  <si>
    <t>1)  What level of confidence does the Project Management Team have in the estimated cost of the project?</t>
  </si>
  <si>
    <t>a.    No</t>
  </si>
  <si>
    <t>a.    A project deliverable from another project, organization, or Agency is required.</t>
  </si>
  <si>
    <t>c.    Other deliverables will enhance the project.</t>
  </si>
  <si>
    <t>a.    Minimal or no user involvement in System Requirements and Design.</t>
  </si>
  <si>
    <t>b.    Play minor roles in System Requirements and Design.</t>
  </si>
  <si>
    <t xml:space="preserve">c.    Highly involved in System Requirements and Design.  </t>
  </si>
  <si>
    <t>d.    End user does not interact with the system.</t>
  </si>
  <si>
    <t>IT Risk Questions - Pre-Charter Phase</t>
  </si>
  <si>
    <t>IT Complexity Questions - Pre-Charter Phase</t>
  </si>
  <si>
    <t xml:space="preserve"> Comments</t>
  </si>
  <si>
    <r>
      <rPr>
        <b/>
        <sz val="11"/>
        <rFont val="Calibri"/>
        <family val="2"/>
        <scheme val="minor"/>
      </rPr>
      <t>Purpose:</t>
    </r>
    <r>
      <rPr>
        <sz val="11"/>
        <rFont val="Calibri"/>
        <family val="2"/>
        <scheme val="minor"/>
      </rPr>
      <t xml:space="preserve">  In order to determine the level of risk associated with the undertaking of a project effort, this worksheet presents a series of risk and complexity questions.  Each question has a weighted value.  Once the assessment is complete, the project is classified into one of four project categories from low risk/low complexity to high risk/high complexity.  Based on the project’s risk and complexity categorization, project management best practice risk mitigation strategies become required.  Mitigation strategies include the mandatory creation of certain project management artifacts, status reporting, governance oversight, scope/schedule/budget accuracy thresholds, and independent verification and validation (IV&amp;V) support.</t>
    </r>
  </si>
  <si>
    <r>
      <rPr>
        <b/>
        <sz val="11"/>
        <rFont val="Calibri"/>
        <family val="2"/>
        <scheme val="minor"/>
      </rPr>
      <t>Scope:</t>
    </r>
    <r>
      <rPr>
        <sz val="11"/>
        <rFont val="Calibri"/>
        <family val="2"/>
        <scheme val="minor"/>
      </rPr>
      <t xml:space="preserve">  All state government information technology work efforts (projects) conducted for the State of Florida.</t>
    </r>
  </si>
  <si>
    <t>"Project" as defined in Florida Statues means an endeavor that has a defined start and end point; is undertaken to create or modify a unique product, service, or result; and has specific objectives that, when attained, signify completion.</t>
  </si>
  <si>
    <r>
      <rPr>
        <b/>
        <sz val="11"/>
        <rFont val="Calibri"/>
        <family val="2"/>
        <scheme val="minor"/>
      </rPr>
      <t>Authority:</t>
    </r>
    <r>
      <rPr>
        <sz val="11"/>
        <rFont val="Calibri"/>
        <family val="2"/>
        <scheme val="minor"/>
      </rPr>
      <t xml:space="preserve">  Section 282.0051, Florida Statutes</t>
    </r>
  </si>
  <si>
    <t>Risk &amp; Complexity Assessment Model for State Information Technology Projects</t>
  </si>
  <si>
    <t>VALUES</t>
  </si>
  <si>
    <t>DESC.</t>
  </si>
  <si>
    <t>POSITION</t>
  </si>
  <si>
    <t>Lower Limit</t>
  </si>
  <si>
    <t>Input Value</t>
  </si>
  <si>
    <t>Upper Limit</t>
  </si>
  <si>
    <t>b.    Employees at multiple agencies</t>
  </si>
  <si>
    <t>a.  Yes</t>
  </si>
  <si>
    <t>b.  No</t>
  </si>
  <si>
    <t>a.    Directly involves the effectiveness and efficiency of the agency's primary functions.</t>
  </si>
  <si>
    <t>b.    Contributes to enabling the agency's primary functions.</t>
  </si>
  <si>
    <t>c.    Indirectly impacts, or has minimal impact, to the agency's primary functions.</t>
  </si>
  <si>
    <t>c.    There is no mandated time constraint.  The schedule will be developed based on scope of work and resource availability.</t>
  </si>
  <si>
    <t>b.    Completion date is driven by the need to meet a defined time constraint.</t>
  </si>
  <si>
    <t>a.    Completion date has not yet been determined or estimated.</t>
  </si>
  <si>
    <t>1)  What is the level of new technology or infrastructure impact required by the project?</t>
  </si>
  <si>
    <t>b.    Requires moderate level of new technologies or changes to critical systems.</t>
  </si>
  <si>
    <t>a.    Requires significant level of new technologies or changes to critical systems.</t>
  </si>
  <si>
    <t>a.    More than one vendor</t>
  </si>
  <si>
    <t>b.    One vendor</t>
  </si>
  <si>
    <t>c.    No vendors</t>
  </si>
  <si>
    <t>b.    Integration issues have been defined in Issue tracking that could impact the project milestones, but contingency plans have been implemented to keep the project on schedule.</t>
  </si>
  <si>
    <t>c.    All dependencies and integration requirements are on-schedule, and there are no anticipated impacts.  This information is verified on a regular basis via status and project communications.</t>
  </si>
  <si>
    <t>a.    Resources are not available for all roles.  Significant preemption for other support activities is anticipated, and/or a high turnover is anticipated.</t>
  </si>
  <si>
    <t>Risk Pre-Charter Score</t>
  </si>
  <si>
    <t>IT Risk Questions - Event-Driven Assessment</t>
  </si>
  <si>
    <t xml:space="preserve">AGENCY:  </t>
  </si>
  <si>
    <t xml:space="preserve">PROJECT:  </t>
  </si>
  <si>
    <t>b.    The project sponsor has authority over some of the resources needed for the project.</t>
  </si>
  <si>
    <t>a.    The project sponsor has authority over none of the resources needed for the project.</t>
  </si>
  <si>
    <t>c.    The project sponsor has authority over most of the resources needed for the project.</t>
  </si>
  <si>
    <t>d.    The project sponsor has authority over all of the resources needed for the project.</t>
  </si>
  <si>
    <t>b)  How many physical locations are associated with the solution implementation?</t>
  </si>
  <si>
    <t>a.    &gt; 25</t>
  </si>
  <si>
    <t>b.    6 - 25</t>
  </si>
  <si>
    <t>d.   1</t>
  </si>
  <si>
    <t>Pre-Charter Risk Score</t>
  </si>
  <si>
    <t>Pre-Charter Complexity Score</t>
  </si>
  <si>
    <t>Initiation Risk Score</t>
  </si>
  <si>
    <t>Initiation Complexity Score</t>
  </si>
  <si>
    <t>Planning Risk Score</t>
  </si>
  <si>
    <t>Planning Complexity Score</t>
  </si>
  <si>
    <t>Event-Driven Risk Score</t>
  </si>
  <si>
    <t>Event-Driven</t>
  </si>
  <si>
    <t>Score</t>
  </si>
  <si>
    <t>Pre-Charter Phase Project Category</t>
  </si>
  <si>
    <t>Initiation Phase Project Category</t>
  </si>
  <si>
    <t>Planning Phase Project Category</t>
  </si>
  <si>
    <t>Event-Driven Project Category</t>
  </si>
  <si>
    <t>PROJECT RISK &amp; COMPLEXITY ASSESSMENT SUMMARY</t>
  </si>
  <si>
    <t>Yes</t>
  </si>
  <si>
    <t>No</t>
  </si>
  <si>
    <t>Activate Assessment?</t>
  </si>
  <si>
    <t>SCORING EXPLANATION</t>
  </si>
  <si>
    <t>Complexity Pre-Charter Score</t>
  </si>
  <si>
    <t>Plus: Complexity Initiation Score</t>
  </si>
  <si>
    <t>Plus: Risk Initiation Score</t>
  </si>
  <si>
    <t>Event-Driven Complexity Score</t>
  </si>
  <si>
    <t>Overall Risk Score</t>
  </si>
  <si>
    <t>Overall Complexity Score</t>
  </si>
  <si>
    <t>OVERALL PROJECT RISK &amp; COMPLEXITY ASSESSMENT</t>
  </si>
  <si>
    <t>Summary &amp; Instructions</t>
  </si>
  <si>
    <t xml:space="preserve">Instructions for completing assessments.  Activates and summarizes assessment scoring.  </t>
  </si>
  <si>
    <t>Used for Event-Driven Complexity score also.</t>
  </si>
  <si>
    <t>1)  PRE-CHARTER PHASE</t>
  </si>
  <si>
    <t>2)  INITIATION PHASE</t>
  </si>
  <si>
    <t>3)  PLANNING PHASE</t>
  </si>
  <si>
    <t>4)  EVENT-DRIVEN ASSESSMENT</t>
  </si>
  <si>
    <t>Carried forward from Planning Complexity score.</t>
  </si>
  <si>
    <t xml:space="preserve">These assessments align projects by risk and complexity levels into one (1) of four (4) Risk and Complexity (R&amp;C) Categories, which determine the amount of project management control required.  The diagram below indicates the distribution of risk and complexity levels into the R&amp;C Category:  
 </t>
  </si>
  <si>
    <t>Proportional Weight</t>
  </si>
  <si>
    <t>Sum of Weights</t>
  </si>
  <si>
    <t>Pre-Charter</t>
  </si>
  <si>
    <r>
      <t>a.</t>
    </r>
    <r>
      <rPr>
        <sz val="11"/>
        <color indexed="8"/>
        <rFont val="Calibri"/>
        <family val="2"/>
        <scheme val="minor"/>
      </rPr>
      <t>    Other methodology</t>
    </r>
  </si>
  <si>
    <r>
      <t>c.</t>
    </r>
    <r>
      <rPr>
        <sz val="11"/>
        <color indexed="8"/>
        <rFont val="Calibri"/>
        <family val="2"/>
        <scheme val="minor"/>
      </rPr>
      <t>    Comparative (analogous) project evaluation</t>
    </r>
  </si>
  <si>
    <r>
      <t>d.</t>
    </r>
    <r>
      <rPr>
        <sz val="11"/>
        <color indexed="8"/>
        <rFont val="Calibri"/>
        <family val="2"/>
        <scheme val="minor"/>
      </rPr>
      <t>    Based on the sum of estimates of each WBS element (top down or bottom up)</t>
    </r>
  </si>
  <si>
    <r>
      <t xml:space="preserve">a.    </t>
    </r>
    <r>
      <rPr>
        <sz val="11"/>
        <color indexed="8"/>
        <rFont val="Calibri"/>
        <family val="2"/>
        <scheme val="minor"/>
      </rPr>
      <t>No</t>
    </r>
  </si>
  <si>
    <r>
      <t>b.</t>
    </r>
    <r>
      <rPr>
        <sz val="11"/>
        <color indexed="8"/>
        <rFont val="Calibri"/>
        <family val="2"/>
        <scheme val="minor"/>
      </rPr>
      <t>    Yes</t>
    </r>
  </si>
  <si>
    <r>
      <t>a.</t>
    </r>
    <r>
      <rPr>
        <sz val="11"/>
        <color indexed="8"/>
        <rFont val="Calibri"/>
        <family val="2"/>
        <scheme val="minor"/>
      </rPr>
      <t>    Yes</t>
    </r>
  </si>
  <si>
    <r>
      <t>b.</t>
    </r>
    <r>
      <rPr>
        <sz val="11"/>
        <color indexed="8"/>
        <rFont val="Calibri"/>
        <family val="2"/>
        <scheme val="minor"/>
      </rPr>
      <t>    No</t>
    </r>
  </si>
  <si>
    <r>
      <t>a.</t>
    </r>
    <r>
      <rPr>
        <sz val="11"/>
        <color indexed="8"/>
        <rFont val="Calibri"/>
        <family val="2"/>
        <scheme val="minor"/>
      </rPr>
      <t>    Requires re-engineering of organizations and processes affecting multiple agencies</t>
    </r>
  </si>
  <si>
    <r>
      <t>b.</t>
    </r>
    <r>
      <rPr>
        <sz val="11"/>
        <color indexed="8"/>
        <rFont val="Calibri"/>
        <family val="2"/>
        <scheme val="minor"/>
      </rPr>
      <t>    Requires re-engineering of organizations and processes within our agency only</t>
    </r>
  </si>
  <si>
    <r>
      <t>c.</t>
    </r>
    <r>
      <rPr>
        <sz val="11"/>
        <color indexed="8"/>
        <rFont val="Calibri"/>
        <family val="2"/>
        <scheme val="minor"/>
      </rPr>
      <t>    Requires no re-engineering of organizations and processes</t>
    </r>
  </si>
  <si>
    <r>
      <t>a.</t>
    </r>
    <r>
      <rPr>
        <sz val="11"/>
        <color indexed="8"/>
        <rFont val="Calibri"/>
        <family val="2"/>
        <scheme val="minor"/>
      </rPr>
      <t>    The project is mandatory for accomplishment of external mandates.</t>
    </r>
  </si>
  <si>
    <r>
      <t>b.</t>
    </r>
    <r>
      <rPr>
        <sz val="11"/>
        <color indexed="8"/>
        <rFont val="Calibri"/>
        <family val="2"/>
        <scheme val="minor"/>
      </rPr>
      <t>    The project has little or no direct impact on accomplishment of external mandates.</t>
    </r>
  </si>
  <si>
    <r>
      <t xml:space="preserve">The Planning Phase Gate Risk Assessment is performed at the end of the Planning Phase.  During this assessment, the Agency will review planning documents and previous R&amp;C Assessments.  This assessment will confirm or adjust the risk &amp; complexity level and the resulting project category, examine the effectiveness of Planning phase activities, and establish requirements for the project Execution and Monitoring and Control phases.  </t>
    </r>
    <r>
      <rPr>
        <b/>
        <i/>
        <sz val="11"/>
        <color rgb="FF0000FF"/>
        <rFont val="Calibri"/>
        <family val="2"/>
        <scheme val="minor"/>
      </rPr>
      <t xml:space="preserve">Select one response for each question listed below.  Do not leave any questions blank.  If a question is not applicable, select "NA" from the drop-down list.  </t>
    </r>
  </si>
  <si>
    <r>
      <t xml:space="preserve">The Event-Driven Risk Assessment is performed if the project experiences a significant change, or cumulative changes (in cost, schedule, or scope), from the project baseline.  During this assessment, the Agency will review project change control request(s), Initiation and Planning documents, and previous R&amp;C assessments.  This assessment will confirm or adjust the project's risk &amp; complexity level and the resulting project category, and determine if review and amendment to project management baselines are needed.  </t>
    </r>
    <r>
      <rPr>
        <b/>
        <i/>
        <sz val="11"/>
        <color rgb="FF0000FF"/>
        <rFont val="Calibri"/>
        <family val="2"/>
        <scheme val="minor"/>
      </rPr>
      <t xml:space="preserve">Select one response for each question listed below.  Do not leave any questions blank.  If a question is not applicable, select "NA" from the drop-down list.  </t>
    </r>
  </si>
  <si>
    <t>SELECT
ANSWER</t>
  </si>
  <si>
    <t>b.    No</t>
  </si>
  <si>
    <r>
      <t xml:space="preserve">1)  Are agency business processes </t>
    </r>
    <r>
      <rPr>
        <b/>
        <u/>
        <sz val="11"/>
        <color rgb="FF0000FF"/>
        <rFont val="Calibri"/>
        <family val="2"/>
        <scheme val="minor"/>
      </rPr>
      <t>directly</t>
    </r>
    <r>
      <rPr>
        <b/>
        <sz val="11"/>
        <color rgb="FF0000FF"/>
        <rFont val="Calibri"/>
        <family val="2"/>
        <scheme val="minor"/>
      </rPr>
      <t xml:space="preserve"> impacted by the project?</t>
    </r>
  </si>
  <si>
    <t>a.    None of the above, or only one of the above</t>
  </si>
  <si>
    <t>b.    Two of the above</t>
  </si>
  <si>
    <t>c.    Three of the above</t>
  </si>
  <si>
    <t>a.    Procedures and process flow diagrams do not exist.</t>
  </si>
  <si>
    <t>a.  No</t>
  </si>
  <si>
    <t>b.  Yes</t>
  </si>
  <si>
    <t>b.    High - stakeholders have a proven history of delivering all promised resources on time.</t>
  </si>
  <si>
    <t>a.    Project requires external resources.</t>
  </si>
  <si>
    <t>b.    Project requires no external resources.</t>
  </si>
  <si>
    <t>b.    Business users and subject matter experts have skills and experience from previous projects, but not from projects of similar size and complexity.</t>
  </si>
  <si>
    <t>c.    Business users and subject matter experts have extensive skills and experience from a previous project of similar size and complexity.</t>
  </si>
  <si>
    <t>b.    PM managed a similar project but with smaller scope and complexity.</t>
  </si>
  <si>
    <t>c.    PM has managed a project of this scope and complexity.</t>
  </si>
  <si>
    <t>c.    76 – 100 %</t>
  </si>
  <si>
    <t>a.    The goals and objectives of this project are vague and open to interpretation.</t>
  </si>
  <si>
    <t>b.    The goals and objectives of this project are well defined and understood.</t>
  </si>
  <si>
    <t>a.    Greater than $1 million</t>
  </si>
  <si>
    <t>b.    Between $250,000 and $1 million</t>
  </si>
  <si>
    <t>c.    Less than $250,000</t>
  </si>
  <si>
    <t>2)  Is this project critical to support the primary functions for which the requesting agency is responsible?   </t>
  </si>
  <si>
    <t>b.    1 - 4</t>
  </si>
  <si>
    <t>b.    100 - 200</t>
  </si>
  <si>
    <t>c.    25 - 99</t>
  </si>
  <si>
    <t>d.    &lt; 25</t>
  </si>
  <si>
    <t>a.    Major milestones and deliverables are not defined and scheduled.</t>
  </si>
  <si>
    <t>b.    Major milestones and deliverables are defined in detail with logical sequence and included in the schedule.</t>
  </si>
  <si>
    <t>a.    1 or more</t>
  </si>
  <si>
    <t>b.    None</t>
  </si>
  <si>
    <t>a.    Little authority</t>
  </si>
  <si>
    <t>b.    Some authority</t>
  </si>
  <si>
    <t>c.    Complete authority</t>
  </si>
  <si>
    <t>3)  Amount of resources being managed:</t>
  </si>
  <si>
    <t>4)  How many end users are going to be using the delivered product(s)?</t>
  </si>
  <si>
    <t xml:space="preserve">b)  Is the project dependent on data that is currently not available?  </t>
  </si>
  <si>
    <r>
      <t xml:space="preserve">a)  What is the anticipated involvement of End Users with </t>
    </r>
    <r>
      <rPr>
        <b/>
        <u/>
        <sz val="11"/>
        <color rgb="FF0000FF"/>
        <rFont val="Calibri"/>
        <family val="2"/>
        <scheme val="minor"/>
      </rPr>
      <t>System Requirements and Design</t>
    </r>
    <r>
      <rPr>
        <b/>
        <sz val="11"/>
        <color rgb="FF0000FF"/>
        <rFont val="Calibri"/>
        <family val="2"/>
        <scheme val="minor"/>
      </rPr>
      <t>?</t>
    </r>
  </si>
  <si>
    <t>a.    Minimal or no end user involvement with user acceptance testing.</t>
  </si>
  <si>
    <r>
      <t xml:space="preserve">b)  What is the anticipated involvement of End Users with </t>
    </r>
    <r>
      <rPr>
        <b/>
        <u/>
        <sz val="11"/>
        <color rgb="FF0000FF"/>
        <rFont val="Calibri"/>
        <family val="2"/>
        <scheme val="minor"/>
      </rPr>
      <t>User Acceptance Testing</t>
    </r>
    <r>
      <rPr>
        <b/>
        <sz val="11"/>
        <color rgb="FF0000FF"/>
        <rFont val="Calibri"/>
        <family val="2"/>
        <scheme val="minor"/>
      </rPr>
      <t>?</t>
    </r>
  </si>
  <si>
    <r>
      <t xml:space="preserve">b.    Vendor has provided more than one reference indicating that they have </t>
    </r>
    <r>
      <rPr>
        <u/>
        <sz val="11"/>
        <rFont val="Calibri"/>
        <family val="2"/>
        <scheme val="minor"/>
      </rPr>
      <t>successfully</t>
    </r>
    <r>
      <rPr>
        <sz val="11"/>
        <rFont val="Calibri"/>
        <family val="2"/>
        <scheme val="minor"/>
      </rPr>
      <t xml:space="preserve"> implemented the selected solution.</t>
    </r>
  </si>
  <si>
    <t>a)  Does the project's governance process include a defined change management process to handle changing requirements?</t>
  </si>
  <si>
    <t>5)  Are exit criteria established for each project phase?</t>
  </si>
  <si>
    <t>6)  Does the project schedule incorporate incremental and comprehensive stakeholder reviews of project deliverables?</t>
  </si>
  <si>
    <t>5)  How many work packages are associated with the project?</t>
  </si>
  <si>
    <t>a.   No</t>
  </si>
  <si>
    <t>b.   Yes</t>
  </si>
  <si>
    <t xml:space="preserve">1)  To what degree are stakeholders impacting the schedule by not providing timely decisions?  </t>
  </si>
  <si>
    <t>b.    Critical decisions are resolved within available schedule.</t>
  </si>
  <si>
    <t>b.   Progress is on or ahead of schedule.</t>
  </si>
  <si>
    <t>a.    No, or the project management plan was inadequate.</t>
  </si>
  <si>
    <t>b.    Yes</t>
  </si>
  <si>
    <t>b)  An increase in the duration of the project schedule?</t>
  </si>
  <si>
    <t xml:space="preserve">c)  An increase in the project's baselined cost?  </t>
  </si>
  <si>
    <t xml:space="preserve">2)  Has an assumption used for planning and management of the project been proven invalid?  </t>
  </si>
  <si>
    <t>3)  Is the project making progress in its current phase?</t>
  </si>
  <si>
    <t>Each assessment is scored in range from 100 to 500, with 100 being the lowest possible score (corresponding to the lowest possible risk or complexity score, and 500 being the highest possible score (corresponding to the highest possible risk or complexity score).  Scores for each assessment are rolled up cumulatively into an overall Risk &amp; Complexity score, which in turn corresponds to the Project Risk &amp; Complexity Category as indicated in the table above.</t>
  </si>
  <si>
    <r>
      <t>c.</t>
    </r>
    <r>
      <rPr>
        <sz val="11"/>
        <color indexed="8"/>
        <rFont val="Calibri"/>
        <family val="2"/>
        <scheme val="minor"/>
      </rPr>
      <t>    The project has little or no direct impact on Agency's Strategic Goals and Objectives.</t>
    </r>
  </si>
  <si>
    <t xml:space="preserve">1)  What is the estimated total project cost? </t>
  </si>
  <si>
    <t>b.    Organizational structure and functional responsibilities are defined.</t>
  </si>
  <si>
    <t>b.    Procedures and process flow diagrams are partially documented.</t>
  </si>
  <si>
    <t>b.    Confidence in estimated project expenditures is greater than  85% and less than or equal to 95%.</t>
  </si>
  <si>
    <t>c.    Confidence in estimated project expenditures is greater than 95% and less than or equal to 100%.</t>
  </si>
  <si>
    <t>8)  Are there any open issues relating to the integration with other projects that could impact the completion of key milestones?</t>
  </si>
  <si>
    <t>9)  Does this project require data conversion?</t>
  </si>
  <si>
    <t>10)  What percentage of human resources (business and IT) assigned to the project are also shared resources with other agency operations and/or projects or from other agencies?</t>
  </si>
  <si>
    <t>11)  How many primary stakeholders are there?</t>
  </si>
  <si>
    <t xml:space="preserve">12)  Does the Project Sponsor:   </t>
  </si>
  <si>
    <t>13)  What is the Project Manager's authority over the project?</t>
  </si>
  <si>
    <t>a.    Yes, and there is an impact to the project.</t>
  </si>
  <si>
    <t>a.    Low – Cost estimate is not supported by experience or comparative analysis.</t>
  </si>
  <si>
    <t xml:space="preserve">b.    Medium – Cost estimate is based on a comparative analysis of multiple similar projects.                                           </t>
  </si>
  <si>
    <t>c.    High – Cost estimate based on hands-on experience and similar projects under similar conditions.</t>
  </si>
  <si>
    <t>c.    High – Duration estimate based on hands-on experience and similar projects under similar conditions.</t>
  </si>
  <si>
    <t xml:space="preserve">b.    Medium – Duration estimate is based on a comparative analysis of multiple similar projects.                                           </t>
  </si>
  <si>
    <t>a.    Low – Duration estimate is not supported by experience or comparative analysis.</t>
  </si>
  <si>
    <t>a.    Low – Scope could change (increase or decrease).</t>
  </si>
  <si>
    <t>b.    High – Scope is clearly fixed and will not change.</t>
  </si>
  <si>
    <t>a.    Yes</t>
  </si>
  <si>
    <t>b.    No</t>
  </si>
  <si>
    <t>a.    Confidence in estimated project expenditures is less than or equal to 85%.</t>
  </si>
  <si>
    <t>a.    Yes</t>
  </si>
  <si>
    <t>a.   Yes</t>
  </si>
  <si>
    <t>b.   No</t>
  </si>
  <si>
    <t>a.    No team members have experience working together as a project team.</t>
  </si>
  <si>
    <t>b.    Some team members have experience working together as a project team.</t>
  </si>
  <si>
    <t>c.    All team members have experience working together as a project team.</t>
  </si>
  <si>
    <t xml:space="preserve">6)  Has project testing criteria and methodology been verified and validated?   </t>
  </si>
  <si>
    <t>14)  What percentage of the project team members are co-located?</t>
  </si>
  <si>
    <t>OVERALL PROJECT CATEGORY</t>
  </si>
  <si>
    <t>Select
Yes / No</t>
  </si>
  <si>
    <t>p</t>
  </si>
  <si>
    <r>
      <t xml:space="preserve">The Pre-Charter Risk Assessment is performed at the beginning of the Initiation Phase of the project.  During this assessment, the Agency will review priorities and business need, assess the project and analyze factors that can impact project success.  The resulting project category will establish the project management control requirements to be applied during the project Initiation phase.  </t>
    </r>
    <r>
      <rPr>
        <b/>
        <i/>
        <sz val="11"/>
        <color rgb="FF0000FF"/>
        <rFont val="Calibri"/>
        <family val="2"/>
        <scheme val="minor"/>
      </rPr>
      <t xml:space="preserve">Select one response for each question listed below.  Do not leave any questions blank.  If a question is not applicable, select "NA" from the drop-down list.  </t>
    </r>
  </si>
  <si>
    <r>
      <t xml:space="preserve">The Initiation Phase Gate Risk Assessment is performed at the end of the Initiation Phase following completion of initial project documentation.  During this assessment, the Agency will review Initiation documents and the Pre-Charter R&amp;C Assessment.  This assessment will confirm or adjust the project's risk &amp; complexity level and the resulting project category, examine the effectiveness of Initiation phase activities, and establish requirements for the project Planning Phase.  </t>
    </r>
    <r>
      <rPr>
        <b/>
        <i/>
        <sz val="11"/>
        <color rgb="FF0000FF"/>
        <rFont val="Calibri"/>
        <family val="2"/>
        <scheme val="minor"/>
      </rPr>
      <t xml:space="preserve">Select one response for each question listed below.  Do not leave any questions blank.  If a question is not applicable, select "NA" from the drop-down list.  </t>
    </r>
  </si>
  <si>
    <r>
      <t>5)  How clearly defined are the project's major milestones and deliverables?</t>
    </r>
    <r>
      <rPr>
        <b/>
        <i/>
        <sz val="11"/>
        <color rgb="FF0000FF"/>
        <rFont val="Calibri"/>
        <family val="2"/>
        <scheme val="minor"/>
      </rPr>
      <t xml:space="preserve">      </t>
    </r>
  </si>
  <si>
    <t>6)  How many vendors are involved with this project (for applications, infrastructure, network, etc.)?</t>
  </si>
  <si>
    <t>6)  Regarding the system development lifecycle methodology selected for the project, does the project staff have experience with the selected methodology?</t>
  </si>
  <si>
    <t>8)  Will the project require:</t>
  </si>
  <si>
    <r>
      <t xml:space="preserve">  •   </t>
    </r>
    <r>
      <rPr>
        <b/>
        <sz val="11"/>
        <rFont val="Calibri"/>
        <family val="2"/>
        <scheme val="minor"/>
      </rPr>
      <t xml:space="preserve">Category 4 </t>
    </r>
    <r>
      <rPr>
        <sz val="11"/>
        <rFont val="Calibri"/>
        <family val="2"/>
        <scheme val="minor"/>
      </rPr>
      <t>represents High Risk and High Complexity projects.</t>
    </r>
  </si>
  <si>
    <r>
      <t xml:space="preserve">  •   </t>
    </r>
    <r>
      <rPr>
        <b/>
        <sz val="11"/>
        <rFont val="Calibri"/>
        <family val="2"/>
        <scheme val="minor"/>
      </rPr>
      <t>Category 3</t>
    </r>
    <r>
      <rPr>
        <sz val="11"/>
        <rFont val="Calibri"/>
        <family val="2"/>
        <scheme val="minor"/>
      </rPr>
      <t xml:space="preserve"> represents High Risk and Medium Complexity projects, High Risk and Low Complexity projects, or Medium Risk and High Complexity projects.</t>
    </r>
  </si>
  <si>
    <r>
      <t xml:space="preserve">  •   </t>
    </r>
    <r>
      <rPr>
        <b/>
        <sz val="11"/>
        <rFont val="Calibri"/>
        <family val="2"/>
        <scheme val="minor"/>
      </rPr>
      <t>Category 2</t>
    </r>
    <r>
      <rPr>
        <sz val="11"/>
        <rFont val="Calibri"/>
        <family val="2"/>
        <scheme val="minor"/>
      </rPr>
      <t xml:space="preserve"> represents Medium Risk and Medium Complexity projects, Medium Risk and Low Complexity projects, or Low Risk and High Complexity projects.</t>
    </r>
  </si>
  <si>
    <r>
      <t xml:space="preserve">  •   </t>
    </r>
    <r>
      <rPr>
        <b/>
        <sz val="11"/>
        <rFont val="Calibri"/>
        <family val="2"/>
        <scheme val="minor"/>
      </rPr>
      <t>Category 1</t>
    </r>
    <r>
      <rPr>
        <sz val="11"/>
        <rFont val="Calibri"/>
        <family val="2"/>
        <scheme val="minor"/>
      </rPr>
      <t xml:space="preserve"> represents Low Risk and Medium Complexity projects or Low Risk and Low Complexity projects.</t>
    </r>
  </si>
  <si>
    <r>
      <t>b.</t>
    </r>
    <r>
      <rPr>
        <sz val="11"/>
        <color indexed="8"/>
        <rFont val="Calibri"/>
        <family val="2"/>
        <scheme val="minor"/>
      </rPr>
      <t>    Consulting professional or agency judgment</t>
    </r>
  </si>
  <si>
    <t>•   Participates in project governance
•   Provides project management
•   Ensures clear scope and requirements definition
•   Provides subject matter expertise in technical areas</t>
  </si>
  <si>
    <t>d.    All of the above</t>
  </si>
  <si>
    <t>a.    The public</t>
  </si>
  <si>
    <t>c.    Employees at our agency only</t>
  </si>
  <si>
    <t>c.    All procedures and process flow diagrams are up to date and validated.</t>
  </si>
  <si>
    <r>
      <t xml:space="preserve">The Initiation Phase Gate Complexity Assessment is performed at the end of the Initiation Phase following completion of initial project documentation.  Complexity is a risk modifier in that it can exacerbate or mitigate the impact of Risk on the successful completion of the project.  This assessment will confirm or adjust the project's risk &amp; complexity level and the resulting project category, examine the effectiveness of Initiation phase activities, and establish requirements for the project Planning Phase.  </t>
    </r>
    <r>
      <rPr>
        <b/>
        <i/>
        <sz val="11"/>
        <color rgb="FF0000FF"/>
        <rFont val="Calibri"/>
        <family val="2"/>
        <scheme val="minor"/>
      </rPr>
      <t xml:space="preserve">Select one response for each question listed below. Do not leave any questions blank.  If a question is not applicable, select "NA" from the drop-down list.  </t>
    </r>
  </si>
  <si>
    <t>c.    Requires minimal-to-no new technologies or changes to critical systems.</t>
  </si>
  <si>
    <r>
      <t xml:space="preserve">The Pre-Charter Complexity Assessment is performed at the beginning of the Initiation Phase of the project.  Complexity is a risk modifier in that it can exacerbate or mitigate the impact of Risk on the successful completion of the project.  The resulting project category will establish the project management control requirements to be applied during the project Initiation phase.  </t>
    </r>
    <r>
      <rPr>
        <b/>
        <i/>
        <sz val="11"/>
        <color rgb="FF0000FF"/>
        <rFont val="Calibri"/>
        <family val="2"/>
        <scheme val="minor"/>
      </rPr>
      <t xml:space="preserve">Select one response for each question listed below.  Do not leave any questions blank.  If a question is not applicable, select "NA" from the drop-down list.  </t>
    </r>
  </si>
  <si>
    <t>2)  What is the expected duration of the time period between the acceptance of the Project Charter to the end of Execution Phase?</t>
  </si>
  <si>
    <t>a)  How many physical project team locations have to be managed?</t>
  </si>
  <si>
    <r>
      <t>7)  How many constraints have been identified that influence the selection of a specific solution to resolve the business problem?</t>
    </r>
    <r>
      <rPr>
        <i/>
        <sz val="11"/>
        <rFont val="Calibri"/>
        <family val="2"/>
        <scheme val="minor"/>
      </rPr>
      <t/>
    </r>
  </si>
  <si>
    <t>a.    Integration issues have been identified that will impact the project schedule, and there is no contingency plan in place to avoid adverse impact.</t>
  </si>
  <si>
    <t>b.    1 - 5</t>
  </si>
  <si>
    <t xml:space="preserve">14)  Is the schedule end date fixed (by legislative mandate, contract end date, vendor support expiration, etc.)? </t>
  </si>
  <si>
    <r>
      <t xml:space="preserve">The Planning Phase Gate Complexity Assessment is performed at the end of the Planning Phase.  Complexity is a risk modifier in that it can exacerbate or mitigate the impact of Risk on the successful completion of the project.  This assessment will confirm or adjust the risk &amp; complexity level and the resulting project category, examine the effectiveness of Planning phase activities, and establish requirements for the project Execution and Monitoring and Control phases.  </t>
    </r>
    <r>
      <rPr>
        <b/>
        <i/>
        <sz val="11"/>
        <color rgb="FF0000FF"/>
        <rFont val="Calibri"/>
        <family val="2"/>
        <scheme val="minor"/>
      </rPr>
      <t xml:space="preserve">Select one response for each question listed below.  Do not leave any questions blank.  If a question is not applicable, select "NA" from the drop-down list.  </t>
    </r>
  </si>
  <si>
    <t>A “system development methodology” in software engineering is a framework that is used to develop an information system.  Common methodologies include Agile, Waterfall, Spiral Development, Prototyping, Incremental, Rapid Application Development, etc.</t>
  </si>
  <si>
    <t>c.    No</t>
  </si>
  <si>
    <t>b.    Yes, but there minimal-to-no impact to the project.</t>
  </si>
  <si>
    <t>a.   Progress is behind schedule by 10% or more.</t>
  </si>
  <si>
    <t>4)  Is the project being managed in compliance with the project management plan?</t>
  </si>
  <si>
    <t xml:space="preserve">7)  Is the project team effectively executing the project through well defined, repeatable processes?  </t>
  </si>
  <si>
    <t>d.    End user involvement is not required for System Requirements and Design.</t>
  </si>
  <si>
    <t>AGENCY / DEPARTMENT</t>
  </si>
  <si>
    <t>&lt;Department Name&gt;</t>
  </si>
  <si>
    <t>AHCA</t>
  </si>
  <si>
    <t>Agency for Health Care Administration</t>
  </si>
  <si>
    <t>APD</t>
  </si>
  <si>
    <t>Agency for Persons with Disabilities</t>
  </si>
  <si>
    <t>DBPR</t>
  </si>
  <si>
    <t>Department of Business &amp; Professional Regulation</t>
  </si>
  <si>
    <t>DCF</t>
  </si>
  <si>
    <t>Department of Children &amp; Families</t>
  </si>
  <si>
    <t>DEO</t>
  </si>
  <si>
    <t>Department of Economic Opportunity</t>
  </si>
  <si>
    <t>DMS</t>
  </si>
  <si>
    <t>Department of Management Services</t>
  </si>
  <si>
    <t>DOC</t>
  </si>
  <si>
    <t>Department of Corrections</t>
  </si>
  <si>
    <t>DOE</t>
  </si>
  <si>
    <t>Florida Department of Education</t>
  </si>
  <si>
    <t>DOR</t>
  </si>
  <si>
    <t>Florida Department of Revenue</t>
  </si>
  <si>
    <t>DOT</t>
  </si>
  <si>
    <t>Florida Department of Transportation</t>
  </si>
  <si>
    <t>DFS</t>
  </si>
  <si>
    <t>Department of Financial Services</t>
  </si>
  <si>
    <t>DOH</t>
  </si>
  <si>
    <t>Florida Department of Health</t>
  </si>
  <si>
    <t>HSMV</t>
  </si>
  <si>
    <t>Department of Highway Safety &amp; Motor Vehicles</t>
  </si>
  <si>
    <t>FDLE</t>
  </si>
  <si>
    <t>Florida Department of Law Enforcement</t>
  </si>
  <si>
    <t>ELC</t>
  </si>
  <si>
    <t>Early Learning Coalition</t>
  </si>
  <si>
    <t>a.    This project is dependent on one or more other projects, AND one or more other projects are dependent on this project.</t>
  </si>
  <si>
    <t>b.    This project is dependent on one or more other projects.</t>
  </si>
  <si>
    <t>c.    One or more other projects are dependent on this project.</t>
  </si>
  <si>
    <t>d.    This project has no interdependencies.</t>
  </si>
  <si>
    <t>c.    Yes</t>
  </si>
  <si>
    <t>b.    Some, but not all [reword]</t>
  </si>
  <si>
    <t>c.    A vendor is not required for implementation.</t>
  </si>
  <si>
    <r>
      <t>a.</t>
    </r>
    <r>
      <rPr>
        <sz val="11"/>
        <color indexed="8"/>
        <rFont val="Calibri"/>
        <family val="2"/>
        <scheme val="minor"/>
      </rPr>
      <t>    Not mature--mostly ad hoc project management processes</t>
    </r>
  </si>
  <si>
    <r>
      <t>b.</t>
    </r>
    <r>
      <rPr>
        <sz val="11"/>
        <color indexed="8"/>
        <rFont val="Calibri"/>
        <family val="2"/>
        <scheme val="minor"/>
      </rPr>
      <t>    Somewhat mature--an even mix of ad hoc and established, best-practice project management processes</t>
    </r>
  </si>
  <si>
    <r>
      <t>c.</t>
    </r>
    <r>
      <rPr>
        <sz val="11"/>
        <color indexed="8"/>
        <rFont val="Calibri"/>
        <family val="2"/>
        <scheme val="minor"/>
      </rPr>
      <t>    Moderately mature--using established, best-practice project management processes, but not always consistently</t>
    </r>
  </si>
  <si>
    <r>
      <t>d.</t>
    </r>
    <r>
      <rPr>
        <sz val="11"/>
        <color indexed="8"/>
        <rFont val="Calibri"/>
        <family val="2"/>
        <scheme val="minor"/>
      </rPr>
      <t>    Mature--using established, best-practice project management processes consistently</t>
    </r>
  </si>
  <si>
    <t>2)  How was the basis of estimate determined?</t>
  </si>
  <si>
    <t>3)  How important is the project to meeting the agency's Strategic Goals and Objectives as set forth in the agency's Long Range Program Plan (LRPP)?</t>
  </si>
  <si>
    <t>5)  What is the level of project management maturity within your organization?</t>
  </si>
  <si>
    <t>6)  Does the project impact mission-critical supporting business processes?</t>
  </si>
  <si>
    <t>7)  What is the potential organizational impact to State agencies with proceeding with this project?</t>
  </si>
  <si>
    <r>
      <t xml:space="preserve">8)  How critical is the project to meeting </t>
    </r>
    <r>
      <rPr>
        <b/>
        <u/>
        <sz val="11"/>
        <color rgb="FF0000FF"/>
        <rFont val="Calibri"/>
        <family val="2"/>
        <scheme val="minor"/>
      </rPr>
      <t>externally generated mandates</t>
    </r>
    <r>
      <rPr>
        <b/>
        <sz val="11"/>
        <color rgb="FF0000FF"/>
        <rFont val="Calibri"/>
        <family val="2"/>
        <scheme val="minor"/>
      </rPr>
      <t xml:space="preserve"> (Executive, Legislative, or Judicial)? </t>
    </r>
  </si>
  <si>
    <t>9)  What is the level of certainty in the estimated scope of the project?</t>
  </si>
  <si>
    <t>10)  What is the level of certainty in the estimated cost of the project?</t>
  </si>
  <si>
    <t>11)  What is the level of certainty in the estimated duration of the project?</t>
  </si>
  <si>
    <r>
      <t xml:space="preserve">3)   Are the organizational structure and functional responsibilities clearly defined for this project?
</t>
    </r>
    <r>
      <rPr>
        <strike/>
        <sz val="12"/>
        <color indexed="10"/>
        <rFont val="Arial"/>
        <family val="2"/>
      </rPr>
      <t/>
    </r>
  </si>
  <si>
    <t>4)   What role does the agency's IT department play in this project?</t>
  </si>
  <si>
    <t xml:space="preserve">5)  Will this project drive a need for organizational change management? </t>
  </si>
  <si>
    <t>6)  Who are the primary customers for the potential solution?</t>
  </si>
  <si>
    <t>7)  Are multiple project procurements required?</t>
  </si>
  <si>
    <t>8)  How much of the Agency's business is being reengineered as part of the project?</t>
  </si>
  <si>
    <t xml:space="preserve">9)  Are Subject Matter Experts available to participate in the definition of project requirements and scope? </t>
  </si>
  <si>
    <t xml:space="preserve">10)    Are the operating procedures and business process diagrams that define and illustrate the work currently accomplished (by the effort under consideration) accurate and up-to-date?  </t>
  </si>
  <si>
    <t>11)  Is documentation for the existing system (as it relates to this project) kept up-to-date with system design documents, specifications, and Operations &amp; Maintenance guides?</t>
  </si>
  <si>
    <t>12)   For the existing system (as it relates to this project), is trained staff available to interpret system behavior?</t>
  </si>
  <si>
    <t>13)  Will the project involve protected data (Employee, Recipient, etc.)?</t>
  </si>
  <si>
    <t xml:space="preserve">3)  Is this project dependent on the deliverable(s) from another project, organization, or agency?  </t>
  </si>
  <si>
    <t xml:space="preserve">4)  Is the project dependent on limited resources controlled by an external entity?  </t>
  </si>
  <si>
    <t>5)  Does the project sponsor have direct authority over all the resources needed for the project (including funding, equipment, facilities, and human resources)?</t>
  </si>
  <si>
    <t>6)  How will failure of the project impact the stakeholders?</t>
  </si>
  <si>
    <t>7)  Does the project impact the state at an enterprise level?</t>
  </si>
  <si>
    <t>8)  What is the level of assurance that stakeholders will deliver resources as promised?</t>
  </si>
  <si>
    <t>9)  Are there any projected changes of critical or key stakeholders over the life of the project?</t>
  </si>
  <si>
    <r>
      <t>10)  Is the agency project manager assigned to this project certified by PMI</t>
    </r>
    <r>
      <rPr>
        <b/>
        <sz val="11"/>
        <color rgb="FF0000FF"/>
        <rFont val="Calibri"/>
        <family val="2"/>
      </rPr>
      <t>®</t>
    </r>
    <r>
      <rPr>
        <b/>
        <sz val="11"/>
        <color rgb="FF0000FF"/>
        <rFont val="Calibri"/>
        <family val="2"/>
        <scheme val="minor"/>
      </rPr>
      <t xml:space="preserve"> (PgMP®, PMP®, CAPM®, Agile Certified Practitioner®, etc.)?</t>
    </r>
  </si>
  <si>
    <t>11)  Does the agency have the necessary knowledge, skills, and abilities to staff the project team with in-house resources?</t>
  </si>
  <si>
    <t xml:space="preserve">12)  Do business users and subject matter experts have sufficient skills and experience given the size and complexity of the project? </t>
  </si>
  <si>
    <t xml:space="preserve">13)  Does the assigned project manager have the specific experience (proven ability) to successfully execute a project of this scope and complexity?  </t>
  </si>
  <si>
    <t>14)  What percent of the project team has experience with the selected development methodology or selected implementation approach for the project?</t>
  </si>
  <si>
    <t xml:space="preserve">15)  What percent of the agency's IT leadership has experience with the development methodology or selected implementation approach for the project? </t>
  </si>
  <si>
    <t>16)  How clearly defined and understood are the goals and objectives of this project by a majority of the project team and stakeholders?</t>
  </si>
  <si>
    <t xml:space="preserve">17)  Is the boundary between what is in the project scope and what is not in the project scope clearly documented? </t>
  </si>
  <si>
    <t xml:space="preserve">18)  Has the project charter been reviewed and approved by all key stakeholders, including the project sponsor? </t>
  </si>
  <si>
    <t xml:space="preserve">19)  How was the estimated completion date for this project determined?   </t>
  </si>
  <si>
    <t>20)  What is the estimated budget for this project?</t>
  </si>
  <si>
    <t>21)  Are there multiple agencies engaged as participants in this project?</t>
  </si>
  <si>
    <t>c.    This project does not plan to use GAA funding</t>
  </si>
  <si>
    <t>2)  Are there interrelated projects that are dependent upon this project, or upon which this project depends (either for inputs, outputs, or resources)?</t>
  </si>
  <si>
    <t xml:space="preserve">a)  Have an understanding of IT project management?  </t>
  </si>
  <si>
    <t xml:space="preserve">b)  Have experience in the business or functional domain?   </t>
  </si>
  <si>
    <t>15)  Is there more than one funding source for this project?</t>
  </si>
  <si>
    <t>NOTIFY GOVERNANCE?</t>
  </si>
  <si>
    <t>Cumulative Risk Score</t>
  </si>
  <si>
    <t>High Risk:  368 - 500</t>
  </si>
  <si>
    <t>Medium Risk:  234 - 367</t>
  </si>
  <si>
    <t>Low Risk:  100 - 233</t>
  </si>
  <si>
    <t>High Complexity:  368 - 500</t>
  </si>
  <si>
    <t>Medium Complexity:  234 - 367</t>
  </si>
  <si>
    <t>Low Complexity:  100 - 233</t>
  </si>
  <si>
    <t>PRE-CHARTER PHASE CATEGORY</t>
  </si>
  <si>
    <t>INITIATION PHASE CATEGORY</t>
  </si>
  <si>
    <t>Cumulative Complexity Score</t>
  </si>
  <si>
    <t>Average Risk Score</t>
  </si>
  <si>
    <t>Average Complexity Score</t>
  </si>
  <si>
    <t>PLANNING PHASE CATEGORY</t>
  </si>
  <si>
    <t>Event Driven Risk Score</t>
  </si>
  <si>
    <t>Score from Complexity_Planning</t>
  </si>
  <si>
    <t>Planning Complexity Completed?</t>
  </si>
  <si>
    <t>Planning Complexity Rating</t>
  </si>
  <si>
    <t>Defaults to High_Complexity if Planning Complexity is not completed for the Event-Driven Assessment.</t>
  </si>
  <si>
    <t>Plus: Risk Event-Driven Score</t>
  </si>
  <si>
    <t>EVENT-DRIVEN CATEGORY</t>
  </si>
  <si>
    <t>d.    1 - 50</t>
  </si>
  <si>
    <t xml:space="preserve">2)  Has the complexity of the project required additional efforts to monitor scope / schedule / cost or quality parameters? </t>
  </si>
  <si>
    <t>c.    None</t>
  </si>
  <si>
    <t>b.    One to three</t>
  </si>
  <si>
    <t>a.    Four or more</t>
  </si>
  <si>
    <t>a.    All require training</t>
  </si>
  <si>
    <t>b.    Most require training</t>
  </si>
  <si>
    <t>c.    Some require training</t>
  </si>
  <si>
    <t>d.    None require training</t>
  </si>
  <si>
    <t>a.    None have experience</t>
  </si>
  <si>
    <t>b.    Some have experience</t>
  </si>
  <si>
    <t>c.    Most have experience</t>
  </si>
  <si>
    <t>d.    All have experience</t>
  </si>
  <si>
    <t>c.   &lt; 5 project team members</t>
  </si>
  <si>
    <t>b.   Between 5 and 20 project team members</t>
  </si>
  <si>
    <t>a.   &gt; 20 project team members</t>
  </si>
  <si>
    <t>b.    Resources are available.  Minimal turnover or preemption for other support activities is expected.</t>
  </si>
  <si>
    <t>a.    Time required for critical decisions exceeds available schedule.</t>
  </si>
  <si>
    <t>5)  Has requirements elaboration resulted in a requirements variance sufficient to force changes to project schedule, scope, or cost?</t>
  </si>
  <si>
    <t>a.    The project staff requires training for the selected methodology.</t>
  </si>
  <si>
    <t>b.    The project staff has knowledge of, but limited experience with, the selected methodology.</t>
  </si>
  <si>
    <t>c.    The project staff has extensive experience with the selected methodology.</t>
  </si>
  <si>
    <t>7)  Are there any new requirements determined after Project Planning that will drive a need for additional funding?</t>
  </si>
  <si>
    <t>8)  Does the project team require any additional training in order to be effective on the project (for technical, functional, or business skills)?</t>
  </si>
  <si>
    <t>9)  Do the project team members have experience with an IT project of this magnitude and scope?</t>
  </si>
  <si>
    <t>10)  Do the project team members have experience working together as a project team?</t>
  </si>
  <si>
    <t xml:space="preserve">11)  Is the size of the project team appropriate for the size and complexity of the project effort? </t>
  </si>
  <si>
    <t xml:space="preserve">12)  What is the size of the project team?  </t>
  </si>
  <si>
    <t>13)  Are appropriately skilled resources available for the next phase of the project?</t>
  </si>
  <si>
    <r>
      <t xml:space="preserve">4)  Has the agency successfully </t>
    </r>
    <r>
      <rPr>
        <b/>
        <u/>
        <sz val="11"/>
        <color rgb="FF0000FF"/>
        <rFont val="Calibri"/>
        <family val="2"/>
        <scheme val="minor"/>
      </rPr>
      <t>executed</t>
    </r>
    <r>
      <rPr>
        <b/>
        <sz val="11"/>
        <color rgb="FF0000FF"/>
        <rFont val="Calibri"/>
        <family val="2"/>
        <scheme val="minor"/>
      </rPr>
      <t xml:space="preserve"> projects with similar scope, schedule, and/or cost within the past two years?</t>
    </r>
  </si>
  <si>
    <t>b)  Does the project have routine change management meetings?</t>
  </si>
  <si>
    <t>3)  Will the primary solutions vendor support the technical solution after project completion?</t>
  </si>
  <si>
    <t>Edited question for clarity.</t>
  </si>
  <si>
    <t xml:space="preserve">2)  Is the project going to be reliant on a sole vendor?  </t>
  </si>
  <si>
    <t>b.    Some input is still needed</t>
  </si>
  <si>
    <t>d.    Detailed project schedule is complete and baselined</t>
  </si>
  <si>
    <t>c.    Detailed project schedule is complete, but not yet baselined</t>
  </si>
  <si>
    <t>b.    Project schedule has been completed at the milestone level</t>
  </si>
  <si>
    <t>a.    Project schedule is not yet developed</t>
  </si>
  <si>
    <t>c.    Not applicable</t>
  </si>
  <si>
    <t xml:space="preserve">7)  Are acceptence criteria identified for all deliverables? </t>
  </si>
  <si>
    <t xml:space="preserve">8)  If a vendor implementation is required, has the vendor successfully implemented the selected solution in another organization?  </t>
  </si>
  <si>
    <t>9)  Is there contingency built into the project schedule to accommodate the mitigation of schedule risks?</t>
  </si>
  <si>
    <t>10)  Are appropriate sourcing lead times built into the schedule?</t>
  </si>
  <si>
    <t>11)  Change management process:</t>
  </si>
  <si>
    <t>12)  Are quality assurance methods defined?</t>
  </si>
  <si>
    <t>13)  Have appropriate SMEs been engaged to support the project (legal, procurement, security, budget, technology, business, etc)?</t>
  </si>
  <si>
    <t>14)  Is there a documented timeline for the next phase of the project?</t>
  </si>
  <si>
    <t>15)  Are all necessary resources (equipment, software, office space, etc.) for the next phase of the project readily available?</t>
  </si>
  <si>
    <t>16)  Does the Organizational Change Management Plan address impacts to the business?</t>
  </si>
  <si>
    <t xml:space="preserve">17)  Have the costs associated with the organizational changes been identified and budgeted? </t>
  </si>
  <si>
    <t xml:space="preserve">18)  Does the Project Plan clearly identify Integration requirements with other systems or dependencies on other projects that are outside the direct control of the project team? </t>
  </si>
  <si>
    <t xml:space="preserve">12)  If the project plans to use GAA funding, do project funds cross fiscal year budgets? </t>
  </si>
  <si>
    <r>
      <t>The work defined at the lowest level of the Work Breakdown Structure for which cost and duration can be estimated and managed.  (PMBOK</t>
    </r>
    <r>
      <rPr>
        <sz val="11"/>
        <rFont val="Calibri"/>
        <family val="2"/>
      </rPr>
      <t>®</t>
    </r>
    <r>
      <rPr>
        <i/>
        <sz val="11"/>
        <rFont val="Calibri"/>
        <family val="2"/>
        <scheme val="minor"/>
      </rPr>
      <t>, 5th Edition)</t>
    </r>
  </si>
  <si>
    <r>
      <t xml:space="preserve">15)  </t>
    </r>
    <r>
      <rPr>
        <b/>
        <sz val="11"/>
        <color rgb="FF0000FF"/>
        <rFont val="Calibri"/>
        <family val="2"/>
        <scheme val="minor"/>
      </rPr>
      <t>How would you evaluate the complexity of the business processes impacted by the project?</t>
    </r>
  </si>
  <si>
    <t xml:space="preserve">Consider the number of inputs that the business processes require, the number of steps within those processes, the number of people involved in those processes, and the number of outputs that the processes are expected to produce. </t>
  </si>
  <si>
    <t>Question No.</t>
  </si>
  <si>
    <t>Changes</t>
  </si>
  <si>
    <t>Tab Name</t>
  </si>
  <si>
    <t>From</t>
  </si>
  <si>
    <t>To</t>
  </si>
  <si>
    <t>Description of Change</t>
  </si>
  <si>
    <t>Risk Pre-Charter</t>
  </si>
  <si>
    <t>2)</t>
  </si>
  <si>
    <t xml:space="preserve">Deleted Question #2. </t>
  </si>
  <si>
    <t>3)</t>
  </si>
  <si>
    <t>Renumbered question.</t>
  </si>
  <si>
    <t>4)</t>
  </si>
  <si>
    <t xml:space="preserve">Deleted Question #4. </t>
  </si>
  <si>
    <t>6)</t>
  </si>
  <si>
    <t xml:space="preserve">Revised question to address projects executed within the past two years (changed from five years). </t>
  </si>
  <si>
    <t>Changed scoring weight from 5 to 10 points.</t>
  </si>
  <si>
    <t>5)</t>
  </si>
  <si>
    <t xml:space="preserve">Added new Question #5.  Scoring weight: 15 points. </t>
  </si>
  <si>
    <t>7)</t>
  </si>
  <si>
    <t>8)</t>
  </si>
  <si>
    <t>9)</t>
  </si>
  <si>
    <t>Changed scoring weight from 10 to 5 points.</t>
  </si>
  <si>
    <t>10)</t>
  </si>
  <si>
    <t>11)</t>
  </si>
  <si>
    <t>12)</t>
  </si>
  <si>
    <t>13)</t>
  </si>
  <si>
    <t>Added answer “c” to previous Yes/No answer set.</t>
  </si>
  <si>
    <t>Changed scoring weight from 10 to 15 points.</t>
  </si>
  <si>
    <t>Complexity Pre-Charter</t>
  </si>
  <si>
    <t xml:space="preserve">Revised question wording for clarity. </t>
  </si>
  <si>
    <t xml:space="preserve">Changed answers from Yes/No to current answer set. </t>
  </si>
  <si>
    <t xml:space="preserve">Deleted Question #3. </t>
  </si>
  <si>
    <t>Changed scoring weight from 15 to 5 points.</t>
  </si>
  <si>
    <t>Changed scoring weight from 5 to 15 points.</t>
  </si>
  <si>
    <t>14)</t>
  </si>
  <si>
    <t>Risk Initiation Gate</t>
  </si>
  <si>
    <t>Changed previous answer set to Yes/No answer set.</t>
  </si>
  <si>
    <t>Changed scoring weight from 5 to 20 points.</t>
  </si>
  <si>
    <t xml:space="preserve">Deleted Question #9. </t>
  </si>
  <si>
    <t>Changed scoring weight from 15 to 10 points.</t>
  </si>
  <si>
    <t>15)</t>
  </si>
  <si>
    <t>Changed scoring weight from 15 to 20 points.</t>
  </si>
  <si>
    <t>16)</t>
  </si>
  <si>
    <t>17)</t>
  </si>
  <si>
    <t>18)</t>
  </si>
  <si>
    <t>19)</t>
  </si>
  <si>
    <t>20)</t>
  </si>
  <si>
    <t>21)</t>
  </si>
  <si>
    <t>22)</t>
  </si>
  <si>
    <t>23)</t>
  </si>
  <si>
    <t>Complexity Initiation Gate</t>
  </si>
  <si>
    <t>1)</t>
  </si>
  <si>
    <t>Changed scoring weight from 10 to 20 points.</t>
  </si>
  <si>
    <t>3) a)</t>
  </si>
  <si>
    <t>Changed scoring weight from 4 to 5 points.</t>
  </si>
  <si>
    <t>3) b)</t>
  </si>
  <si>
    <t>No change.</t>
  </si>
  <si>
    <t>Changed scoring weight from 25 to 20 points.</t>
  </si>
  <si>
    <t>12) a)</t>
  </si>
  <si>
    <t xml:space="preserve">Deleted Question #12a. </t>
  </si>
  <si>
    <t>12) b)</t>
  </si>
  <si>
    <t>Changed scoring weight from 6 to 10 points.</t>
  </si>
  <si>
    <t>12) c)</t>
  </si>
  <si>
    <t xml:space="preserve">Deleted Question #15. </t>
  </si>
  <si>
    <t>Risk Planning Gate</t>
  </si>
  <si>
    <t>1) a)</t>
  </si>
  <si>
    <t>1) b)</t>
  </si>
  <si>
    <t>Changed scoring weight from 8 to 5 points.</t>
  </si>
  <si>
    <t>4) a)</t>
  </si>
  <si>
    <t>Changed scoring weight from 20 to 10 points.</t>
  </si>
  <si>
    <t>4) b)</t>
  </si>
  <si>
    <t>Changed scoring weight from 6 to 9 points.</t>
  </si>
  <si>
    <t xml:space="preserve">Deleted Question #7. </t>
  </si>
  <si>
    <t xml:space="preserve">Deleted Question #10. </t>
  </si>
  <si>
    <t>Added answer “c” to previous answer set.</t>
  </si>
  <si>
    <t>14) a)</t>
  </si>
  <si>
    <t>11) a)</t>
  </si>
  <si>
    <t>14) b)</t>
  </si>
  <si>
    <t>11) b)</t>
  </si>
  <si>
    <t>Changed scoring weight from 6 to 5 points.</t>
  </si>
  <si>
    <t xml:space="preserve">Added new Question #12.  Scoring weight: 10 points. </t>
  </si>
  <si>
    <t xml:space="preserve">Added new Question #13.  Scoring weight: 10 points. </t>
  </si>
  <si>
    <t xml:space="preserve">Added new Question #14.  Scoring weight: 10 points. </t>
  </si>
  <si>
    <t xml:space="preserve">Added new Question #15.  Scoring weight: 10 points. </t>
  </si>
  <si>
    <t xml:space="preserve">Added new Question #16.  Scoring weight: 10 points. </t>
  </si>
  <si>
    <t xml:space="preserve">Added new Question #17.  Scoring weight: 10 points. </t>
  </si>
  <si>
    <t xml:space="preserve">Added new Question #18.  Scoring weight: 10 points. </t>
  </si>
  <si>
    <t>Complexity Planning Gate</t>
  </si>
  <si>
    <t>1) c)</t>
  </si>
  <si>
    <t>Added answer “c” to the answer set.</t>
  </si>
  <si>
    <t xml:space="preserve">Edited d. answer. </t>
  </si>
  <si>
    <t>Added PMBOK® definition of Work Package.</t>
  </si>
  <si>
    <t>Changed scoring weight from 7 to 15 points.</t>
  </si>
  <si>
    <t>Edited question: replaced “Initiation” with “Planning”.</t>
  </si>
  <si>
    <t>Changed scoring weight from 20 to 15 points.</t>
  </si>
  <si>
    <t>Edited question.  Added clarification comments.</t>
  </si>
  <si>
    <t>Changed scoring weight from 8 to 15 points.</t>
  </si>
  <si>
    <t>Risk Event-Driven</t>
  </si>
  <si>
    <t>Edited question:  added the word “scope.”</t>
  </si>
  <si>
    <t>8) a)</t>
  </si>
  <si>
    <t>8) b)</t>
  </si>
  <si>
    <t>8) c)</t>
  </si>
  <si>
    <t>Rule Chapter 74-1, F.A.C</t>
  </si>
  <si>
    <t>Changes to AST Risk &amp; Complexity Assessment Workbook (Posted to AST Website on 4/22/2015)</t>
  </si>
  <si>
    <t>Seq.</t>
  </si>
  <si>
    <t>&lt;Project Name&gt;</t>
  </si>
  <si>
    <r>
      <rPr>
        <b/>
        <sz val="11"/>
        <rFont val="Calibri"/>
        <family val="2"/>
        <scheme val="minor"/>
      </rPr>
      <t>Effective Date:</t>
    </r>
    <r>
      <rPr>
        <sz val="11"/>
        <rFont val="Calibri"/>
        <family val="2"/>
        <scheme val="minor"/>
      </rPr>
      <t xml:space="preserve">  07/15 (incorporated into Rule 74-1.002, F.A.C.)</t>
    </r>
  </si>
  <si>
    <t>CITRUS</t>
  </si>
  <si>
    <t>Department of Citrus</t>
  </si>
  <si>
    <t>DACS</t>
  </si>
  <si>
    <t>Department of Agriculture &amp; Consumer Services</t>
  </si>
  <si>
    <t>DEM</t>
  </si>
  <si>
    <t>Department of Emergency Management</t>
  </si>
  <si>
    <t>DEP</t>
  </si>
  <si>
    <t>Department of Environmental Protection</t>
  </si>
  <si>
    <t>DJJ</t>
  </si>
  <si>
    <t>Department of Juvenile Justice</t>
  </si>
  <si>
    <t>DMA</t>
  </si>
  <si>
    <t>Department of Military Affairs</t>
  </si>
  <si>
    <t>DOS</t>
  </si>
  <si>
    <t>Florida Department of State</t>
  </si>
  <si>
    <t>DVA</t>
  </si>
  <si>
    <t>Florida Department of Veterans' Affairs</t>
  </si>
  <si>
    <t>FL</t>
  </si>
  <si>
    <t>Florida Lottery</t>
  </si>
  <si>
    <t>FDEA</t>
  </si>
  <si>
    <t>Florida Department of Elder Affairs</t>
  </si>
  <si>
    <t>OFR</t>
  </si>
  <si>
    <t>Office of Financial Regulation</t>
  </si>
  <si>
    <t>OIR</t>
  </si>
  <si>
    <t>Office of Insurance Regulation</t>
  </si>
  <si>
    <t>Department of Management Services, Division of State Technology</t>
  </si>
  <si>
    <r>
      <rPr>
        <b/>
        <sz val="11"/>
        <rFont val="Calibri"/>
        <family val="2"/>
        <scheme val="minor"/>
      </rPr>
      <t>Form Number:</t>
    </r>
    <r>
      <rPr>
        <sz val="11"/>
        <rFont val="Calibri"/>
        <family val="2"/>
        <scheme val="minor"/>
      </rPr>
      <t xml:space="preserve">  DST-F-0505A</t>
    </r>
  </si>
  <si>
    <r>
      <rPr>
        <b/>
        <sz val="11"/>
        <rFont val="Calibri"/>
        <family val="2"/>
        <scheme val="minor"/>
      </rPr>
      <t xml:space="preserve">Form Title: </t>
    </r>
    <r>
      <rPr>
        <sz val="11"/>
        <rFont val="Calibri"/>
        <family val="2"/>
        <scheme val="minor"/>
      </rPr>
      <t xml:space="preserve"> DST Project Risk &amp; Complexity Assessment Tool</t>
    </r>
  </si>
  <si>
    <r>
      <rPr>
        <b/>
        <sz val="11"/>
        <rFont val="Calibri"/>
        <family val="2"/>
        <scheme val="minor"/>
      </rPr>
      <t>Effective Date:</t>
    </r>
    <r>
      <rPr>
        <sz val="11"/>
        <rFont val="Calibri"/>
        <family val="2"/>
        <scheme val="minor"/>
      </rPr>
      <t xml:space="preserve">  07/15 (incorporated into Rule 60GG-1, F.A.C.)</t>
    </r>
  </si>
  <si>
    <r>
      <rPr>
        <b/>
        <sz val="11"/>
        <rFont val="Calibri"/>
        <family val="2"/>
        <scheme val="minor"/>
      </rPr>
      <t xml:space="preserve">Effective Date: </t>
    </r>
    <r>
      <rPr>
        <sz val="11"/>
        <rFont val="Calibri"/>
        <family val="2"/>
        <scheme val="minor"/>
      </rPr>
      <t xml:space="preserve"> 07/15 (incorporated into Rule 60GG-1, F.A.C.)</t>
    </r>
  </si>
  <si>
    <r>
      <rPr>
        <b/>
        <sz val="10"/>
        <rFont val="Calibri"/>
        <family val="2"/>
        <scheme val="minor"/>
      </rPr>
      <t>Form Title:</t>
    </r>
    <r>
      <rPr>
        <sz val="10"/>
        <rFont val="Calibri"/>
        <family val="2"/>
        <scheme val="minor"/>
      </rPr>
      <t xml:space="preserve">  DMS Project Risk &amp; Complexity Assessment Tool
</t>
    </r>
    <r>
      <rPr>
        <b/>
        <sz val="10"/>
        <rFont val="Calibri"/>
        <family val="2"/>
        <scheme val="minor"/>
      </rPr>
      <t>Form Number:</t>
    </r>
    <r>
      <rPr>
        <sz val="10"/>
        <rFont val="Calibri"/>
        <family val="2"/>
        <scheme val="minor"/>
      </rPr>
      <t xml:space="preserve">  DMS-F-0505A
</t>
    </r>
    <r>
      <rPr>
        <b/>
        <sz val="10"/>
        <rFont val="Calibri"/>
        <family val="2"/>
        <scheme val="minor"/>
      </rPr>
      <t xml:space="preserve">Effective Date:  </t>
    </r>
    <r>
      <rPr>
        <sz val="10"/>
        <rFont val="Calibri"/>
        <family val="2"/>
        <scheme val="minor"/>
      </rPr>
      <t>07/15
(incorporated into Rule 60GG-1, F.A.C.)</t>
    </r>
  </si>
  <si>
    <r>
      <rPr>
        <b/>
        <sz val="11"/>
        <rFont val="Calibri"/>
        <family val="2"/>
        <scheme val="minor"/>
      </rPr>
      <t xml:space="preserve">Form Title: </t>
    </r>
    <r>
      <rPr>
        <sz val="11"/>
        <rFont val="Calibri"/>
        <family val="2"/>
        <scheme val="minor"/>
      </rPr>
      <t xml:space="preserve"> DMS Project Risk &amp; Complexity Assessment Tool</t>
    </r>
  </si>
  <si>
    <r>
      <rPr>
        <b/>
        <sz val="11"/>
        <rFont val="Calibri"/>
        <family val="2"/>
        <scheme val="minor"/>
      </rPr>
      <t xml:space="preserve">Form Number: </t>
    </r>
    <r>
      <rPr>
        <sz val="11"/>
        <rFont val="Calibri"/>
        <family val="2"/>
        <scheme val="minor"/>
      </rPr>
      <t xml:space="preserve"> DMS-F-0505A</t>
    </r>
  </si>
  <si>
    <r>
      <rPr>
        <b/>
        <sz val="10"/>
        <rFont val="Calibri"/>
        <family val="2"/>
        <scheme val="minor"/>
      </rPr>
      <t>Form Title:</t>
    </r>
    <r>
      <rPr>
        <sz val="10"/>
        <rFont val="Calibri"/>
        <family val="2"/>
        <scheme val="minor"/>
      </rPr>
      <t xml:space="preserve">  DMS Project Risk &amp; Complexity Assessment Tool
</t>
    </r>
    <r>
      <rPr>
        <b/>
        <sz val="10"/>
        <rFont val="Calibri"/>
        <family val="2"/>
        <scheme val="minor"/>
      </rPr>
      <t>Form Number:</t>
    </r>
    <r>
      <rPr>
        <sz val="10"/>
        <rFont val="Calibri"/>
        <family val="2"/>
        <scheme val="minor"/>
      </rPr>
      <t xml:space="preserve">  DMS-F-0505A
</t>
    </r>
    <r>
      <rPr>
        <b/>
        <sz val="10"/>
        <rFont val="Calibri"/>
        <family val="2"/>
        <scheme val="minor"/>
      </rPr>
      <t xml:space="preserve">Effective Date: </t>
    </r>
    <r>
      <rPr>
        <sz val="10"/>
        <rFont val="Calibri"/>
        <family val="2"/>
        <scheme val="minor"/>
      </rPr>
      <t xml:space="preserve"> 07/15
(incorporated into Rule 60GG-1, F.A.C.)</t>
    </r>
  </si>
  <si>
    <r>
      <rPr>
        <b/>
        <sz val="11"/>
        <rFont val="Calibri"/>
        <family val="2"/>
        <scheme val="minor"/>
      </rPr>
      <t>Form Title:</t>
    </r>
    <r>
      <rPr>
        <sz val="11"/>
        <rFont val="Calibri"/>
        <family val="2"/>
        <scheme val="minor"/>
      </rPr>
      <t xml:space="preserve">  DMS Project Risk &amp; Complexity Assessment Tool</t>
    </r>
  </si>
  <si>
    <r>
      <rPr>
        <b/>
        <sz val="11"/>
        <rFont val="Calibri"/>
        <family val="2"/>
        <scheme val="minor"/>
      </rPr>
      <t>Form Number:</t>
    </r>
    <r>
      <rPr>
        <sz val="11"/>
        <rFont val="Calibri"/>
        <family val="2"/>
        <scheme val="minor"/>
      </rPr>
      <t xml:space="preserve">  DMS-F-0505A</t>
    </r>
  </si>
  <si>
    <t>AMN- Initial version of DMS Risk and Complexity Assessment</t>
  </si>
  <si>
    <t>AMN- Updates after internal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</si>
</sst>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
    <numFmt numFmtId="166" formatCode="m/d/yyyy;@"/>
    <numFmt numFmtId="167" formatCode="0.00_);\(0.00\)"/>
    <numFmt numFmtId="168" formatCode="0_);\(0\)"/>
    <numFmt numFmtId="169" formatCode="0.00000000_);\(0.00000000\)"/>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1"/>
      <name val="Arial"/>
      <family val="2"/>
    </font>
    <font>
      <strike/>
      <sz val="12"/>
      <color indexed="10"/>
      <name val="Arial"/>
      <family val="2"/>
    </font>
    <font>
      <sz val="16"/>
      <name val="Arial"/>
      <family val="2"/>
    </font>
    <font>
      <b/>
      <sz val="11"/>
      <color theme="0"/>
      <name val="Calibri"/>
      <family val="2"/>
      <scheme val="minor"/>
    </font>
    <font>
      <sz val="11"/>
      <color rgb="FFFF0000"/>
      <name val="Calibri"/>
      <family val="2"/>
      <scheme val="minor"/>
    </font>
    <font>
      <sz val="11"/>
      <color rgb="FF0000FF"/>
      <name val="Arial"/>
      <family val="2"/>
    </font>
    <font>
      <sz val="12"/>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b/>
      <sz val="12"/>
      <color theme="0"/>
      <name val="Calibri"/>
      <family val="2"/>
      <scheme val="minor"/>
    </font>
    <font>
      <sz val="11"/>
      <name val="Calibri"/>
      <family val="2"/>
      <scheme val="minor"/>
    </font>
    <font>
      <i/>
      <sz val="11"/>
      <name val="Calibri"/>
      <family val="2"/>
      <scheme val="minor"/>
    </font>
    <font>
      <sz val="11"/>
      <color rgb="FF333399"/>
      <name val="Calibri"/>
      <family val="2"/>
      <scheme val="minor"/>
    </font>
    <font>
      <b/>
      <sz val="11"/>
      <color rgb="FF00B050"/>
      <name val="Calibri"/>
      <family val="2"/>
      <scheme val="minor"/>
    </font>
    <font>
      <b/>
      <sz val="11"/>
      <name val="Calibri"/>
      <family val="2"/>
      <scheme val="minor"/>
    </font>
    <font>
      <b/>
      <u/>
      <sz val="11"/>
      <name val="Calibri"/>
      <family val="2"/>
      <scheme val="minor"/>
    </font>
    <font>
      <sz val="11"/>
      <color indexed="8"/>
      <name val="Calibri"/>
      <family val="2"/>
      <scheme val="minor"/>
    </font>
    <font>
      <sz val="11"/>
      <color indexed="10"/>
      <name val="Calibri"/>
      <family val="2"/>
      <scheme val="minor"/>
    </font>
    <font>
      <b/>
      <sz val="11"/>
      <color indexed="8"/>
      <name val="Calibri"/>
      <family val="2"/>
      <scheme val="minor"/>
    </font>
    <font>
      <sz val="11"/>
      <color rgb="FF00B050"/>
      <name val="Calibri"/>
      <family val="2"/>
      <scheme val="minor"/>
    </font>
    <font>
      <b/>
      <sz val="11"/>
      <color rgb="FFFF0000"/>
      <name val="Calibri"/>
      <family val="2"/>
      <scheme val="minor"/>
    </font>
    <font>
      <b/>
      <sz val="11"/>
      <color theme="5" tint="-0.249977111117893"/>
      <name val="Calibri"/>
      <family val="2"/>
      <scheme val="minor"/>
    </font>
    <font>
      <sz val="11"/>
      <color theme="3" tint="-0.249977111117893"/>
      <name val="Calibri"/>
      <family val="2"/>
      <scheme val="minor"/>
    </font>
    <font>
      <u/>
      <sz val="11"/>
      <name val="Calibri"/>
      <family val="2"/>
      <scheme val="minor"/>
    </font>
    <font>
      <b/>
      <sz val="11"/>
      <color rgb="FFFFFFFF"/>
      <name val="Calibri"/>
      <family val="2"/>
      <scheme val="minor"/>
    </font>
    <font>
      <b/>
      <i/>
      <sz val="11"/>
      <name val="Calibri"/>
      <family val="2"/>
      <scheme val="minor"/>
    </font>
    <font>
      <sz val="10"/>
      <name val="Calibri"/>
      <family val="2"/>
      <scheme val="minor"/>
    </font>
    <font>
      <sz val="16"/>
      <name val="Calibri"/>
      <family val="2"/>
      <scheme val="minor"/>
    </font>
    <font>
      <i/>
      <sz val="11"/>
      <color rgb="FF0000FF"/>
      <name val="Calibri"/>
      <family val="2"/>
      <scheme val="minor"/>
    </font>
    <font>
      <b/>
      <i/>
      <sz val="11"/>
      <color rgb="FF0000FF"/>
      <name val="Calibri"/>
      <family val="2"/>
      <scheme val="minor"/>
    </font>
    <font>
      <sz val="11"/>
      <color rgb="FF0000FF"/>
      <name val="Calibri"/>
      <family val="2"/>
      <scheme val="minor"/>
    </font>
    <font>
      <b/>
      <sz val="11"/>
      <color rgb="FF0000FF"/>
      <name val="Calibri"/>
      <family val="2"/>
      <scheme val="minor"/>
    </font>
    <font>
      <sz val="11"/>
      <color theme="0"/>
      <name val="Calibri"/>
      <family val="2"/>
      <scheme val="minor"/>
    </font>
    <font>
      <sz val="10"/>
      <color theme="0"/>
      <name val="Arial"/>
      <family val="2"/>
    </font>
    <font>
      <b/>
      <sz val="11"/>
      <color rgb="FF000000"/>
      <name val="Calibri"/>
      <family val="2"/>
    </font>
    <font>
      <b/>
      <sz val="11"/>
      <color rgb="FFC00000"/>
      <name val="Calibri"/>
      <family val="2"/>
      <scheme val="minor"/>
    </font>
    <font>
      <sz val="11"/>
      <color theme="0" tint="-0.14999847407452621"/>
      <name val="Calibri"/>
      <family val="2"/>
      <scheme val="minor"/>
    </font>
    <font>
      <b/>
      <sz val="10"/>
      <name val="Calibri"/>
      <family val="2"/>
      <scheme val="minor"/>
    </font>
    <font>
      <sz val="14"/>
      <name val="Calibri"/>
      <family val="2"/>
      <scheme val="minor"/>
    </font>
    <font>
      <sz val="10"/>
      <color theme="1" tint="0.499984740745262"/>
      <name val="Calibri"/>
      <family val="2"/>
      <scheme val="minor"/>
    </font>
    <font>
      <sz val="10"/>
      <name val="Cambria"/>
      <family val="2"/>
      <scheme val="major"/>
    </font>
    <font>
      <b/>
      <sz val="11"/>
      <color rgb="FF002060"/>
      <name val="Calibri"/>
      <family val="2"/>
      <scheme val="minor"/>
    </font>
    <font>
      <b/>
      <sz val="9"/>
      <name val="Calibri"/>
      <family val="2"/>
      <scheme val="minor"/>
    </font>
    <font>
      <b/>
      <sz val="9"/>
      <color rgb="FFFF0000"/>
      <name val="Calibri"/>
      <family val="2"/>
      <scheme val="minor"/>
    </font>
    <font>
      <b/>
      <sz val="9"/>
      <color rgb="FF00B050"/>
      <name val="Calibri"/>
      <family val="2"/>
      <scheme val="minor"/>
    </font>
    <font>
      <b/>
      <sz val="11"/>
      <color theme="9" tint="0.59999389629810485"/>
      <name val="Calibri"/>
      <family val="2"/>
      <scheme val="minor"/>
    </font>
    <font>
      <b/>
      <u/>
      <sz val="11"/>
      <color rgb="FF0000FF"/>
      <name val="Calibri"/>
      <family val="2"/>
      <scheme val="minor"/>
    </font>
    <font>
      <b/>
      <sz val="11"/>
      <color rgb="FF0000FF"/>
      <name val="Calibri"/>
      <family val="2"/>
    </font>
    <font>
      <sz val="11"/>
      <color rgb="FF002060"/>
      <name val="Wingdings 3"/>
      <family val="1"/>
      <charset val="2"/>
    </font>
    <font>
      <sz val="11"/>
      <color rgb="FF000000"/>
      <name val="Calibri"/>
      <family val="2"/>
      <scheme val="minor"/>
    </font>
    <font>
      <sz val="10"/>
      <color rgb="FFFF0000"/>
      <name val="Calibri"/>
      <family val="2"/>
      <scheme val="minor"/>
    </font>
    <font>
      <strike/>
      <sz val="11"/>
      <name val="Calibri"/>
      <family val="2"/>
      <scheme val="minor"/>
    </font>
    <font>
      <sz val="9"/>
      <name val="Calibri"/>
      <family val="2"/>
      <scheme val="minor"/>
    </font>
    <font>
      <b/>
      <i/>
      <sz val="11"/>
      <color rgb="FFFF0000"/>
      <name val="Calibri"/>
      <family val="2"/>
      <scheme val="minor"/>
    </font>
    <font>
      <i/>
      <sz val="10"/>
      <name val="Calibri"/>
      <family val="2"/>
      <scheme val="minor"/>
    </font>
    <font>
      <sz val="11"/>
      <name val="Calibri"/>
      <family val="2"/>
    </font>
    <font>
      <b/>
      <sz val="11"/>
      <name val="Calibri"/>
      <family val="2"/>
    </font>
  </fonts>
  <fills count="1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0" tint="-0.499984740745262"/>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C0C0C0"/>
        <bgColor rgb="FFC0C0C0"/>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rgb="FFBDD6EE"/>
        <bgColor indexed="64"/>
      </patternFill>
    </fill>
  </fills>
  <borders count="3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EEECE1"/>
      </left>
      <right style="thin">
        <color rgb="FFEEECE1"/>
      </right>
      <top style="thin">
        <color rgb="FFEEECE1"/>
      </top>
      <bottom style="thin">
        <color rgb="FFEEECE1"/>
      </bottom>
      <diagonal/>
    </border>
    <border>
      <left/>
      <right/>
      <top style="thin">
        <color rgb="FFEEECE1"/>
      </top>
      <bottom style="thin">
        <color indexed="64"/>
      </bottom>
      <diagonal/>
    </border>
    <border>
      <left/>
      <right/>
      <top/>
      <bottom style="thin">
        <color indexed="64"/>
      </bottom>
      <diagonal/>
    </border>
    <border>
      <left/>
      <right/>
      <top style="thin">
        <color rgb="FFEEECE1"/>
      </top>
      <bottom/>
      <diagonal/>
    </border>
    <border>
      <left/>
      <right/>
      <top style="thin">
        <color indexed="64"/>
      </top>
      <bottom/>
      <diagonal/>
    </border>
    <border>
      <left/>
      <right style="thin">
        <color indexed="64"/>
      </right>
      <top style="thin">
        <color indexed="64"/>
      </top>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top style="thin">
        <color theme="0" tint="-0.499984740745262"/>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theme="0" tint="-0.499984740745262"/>
      </left>
      <right/>
      <top/>
      <bottom style="thin">
        <color indexed="64"/>
      </bottom>
      <diagonal/>
    </border>
    <border>
      <left style="thin">
        <color indexed="64"/>
      </left>
      <right style="thin">
        <color indexed="64"/>
      </right>
      <top/>
      <bottom/>
      <diagonal/>
    </border>
    <border>
      <left style="thin">
        <color theme="0" tint="-0.499984740745262"/>
      </left>
      <right/>
      <top style="thin">
        <color indexed="64"/>
      </top>
      <bottom style="thin">
        <color indexed="64"/>
      </bottom>
      <diagonal/>
    </border>
  </borders>
  <cellStyleXfs count="6">
    <xf numFmtId="0" fontId="0" fillId="0" borderId="0"/>
    <xf numFmtId="0" fontId="13" fillId="0" borderId="0"/>
    <xf numFmtId="0" fontId="20" fillId="0" borderId="0"/>
    <xf numFmtId="0" fontId="10" fillId="0" borderId="0"/>
    <xf numFmtId="0" fontId="54" fillId="0" borderId="0">
      <alignment vertical="center"/>
    </xf>
    <xf numFmtId="0" fontId="3" fillId="0" borderId="0"/>
  </cellStyleXfs>
  <cellXfs count="689">
    <xf numFmtId="0" fontId="0" fillId="0" borderId="0" xfId="0"/>
    <xf numFmtId="0" fontId="13" fillId="0" borderId="0" xfId="0" applyFont="1"/>
    <xf numFmtId="0" fontId="0" fillId="0" borderId="0" xfId="0" applyAlignment="1"/>
    <xf numFmtId="0" fontId="0" fillId="0" borderId="0" xfId="0" applyFill="1" applyBorder="1"/>
    <xf numFmtId="0" fontId="14" fillId="0" borderId="0" xfId="0" applyFont="1"/>
    <xf numFmtId="0" fontId="20" fillId="0" borderId="0" xfId="2"/>
    <xf numFmtId="0" fontId="20" fillId="0" borderId="0" xfId="2" applyFont="1"/>
    <xf numFmtId="0" fontId="22" fillId="0" borderId="0" xfId="2" applyFont="1"/>
    <xf numFmtId="0" fontId="23" fillId="0" borderId="0" xfId="2" applyFont="1" applyAlignment="1">
      <alignment horizontal="left"/>
    </xf>
    <xf numFmtId="0" fontId="23" fillId="0" borderId="0" xfId="2" applyFont="1"/>
    <xf numFmtId="0" fontId="20" fillId="5" borderId="0" xfId="2" applyFill="1"/>
    <xf numFmtId="0" fontId="23" fillId="0" borderId="0" xfId="2" applyFont="1" applyAlignment="1">
      <alignment horizontal="center" wrapText="1"/>
    </xf>
    <xf numFmtId="0" fontId="24" fillId="4" borderId="2" xfId="2" applyFont="1" applyFill="1" applyBorder="1" applyAlignment="1">
      <alignment horizontal="center" wrapText="1"/>
    </xf>
    <xf numFmtId="0" fontId="20" fillId="0" borderId="2" xfId="2" applyBorder="1" applyAlignment="1">
      <alignment horizontal="center" vertical="top"/>
    </xf>
    <xf numFmtId="166" fontId="20" fillId="0" borderId="2" xfId="2" applyNumberFormat="1" applyBorder="1" applyAlignment="1">
      <alignment horizontal="center" vertical="top"/>
    </xf>
    <xf numFmtId="0" fontId="0" fillId="0" borderId="15" xfId="0" applyFill="1" applyBorder="1"/>
    <xf numFmtId="0" fontId="19" fillId="0" borderId="0" xfId="0" applyFont="1" applyFill="1" applyBorder="1"/>
    <xf numFmtId="0" fontId="0" fillId="0" borderId="14" xfId="0" applyFill="1" applyBorder="1"/>
    <xf numFmtId="0" fontId="19" fillId="0" borderId="14" xfId="0" applyFont="1" applyFill="1" applyBorder="1"/>
    <xf numFmtId="0" fontId="19" fillId="0" borderId="15" xfId="0" applyFont="1" applyFill="1" applyBorder="1" applyAlignment="1">
      <alignment horizontal="left" vertical="center" indent="5" readingOrder="1"/>
    </xf>
    <xf numFmtId="0" fontId="19" fillId="0" borderId="15" xfId="0" applyFont="1" applyFill="1" applyBorder="1" applyAlignment="1">
      <alignment horizontal="left" vertical="center" indent="8" readingOrder="1"/>
    </xf>
    <xf numFmtId="0" fontId="19" fillId="0" borderId="15" xfId="0" applyFont="1" applyFill="1" applyBorder="1" applyAlignment="1">
      <alignment horizontal="left" vertical="center" indent="12" readingOrder="1"/>
    </xf>
    <xf numFmtId="0" fontId="16" fillId="0" borderId="15" xfId="0" applyFont="1" applyFill="1" applyBorder="1"/>
    <xf numFmtId="0" fontId="25" fillId="0" borderId="0" xfId="0" applyFont="1"/>
    <xf numFmtId="0" fontId="25" fillId="0" borderId="0" xfId="0" applyFont="1" applyAlignment="1">
      <alignment horizontal="left" vertical="center" indent="3" readingOrder="1"/>
    </xf>
    <xf numFmtId="0" fontId="25" fillId="0" borderId="0" xfId="0" applyFont="1" applyAlignment="1">
      <alignment horizontal="left" vertical="center" indent="6" readingOrder="1"/>
    </xf>
    <xf numFmtId="0" fontId="27" fillId="0" borderId="0" xfId="0" applyFont="1" applyAlignment="1">
      <alignment horizontal="left" vertical="center" indent="6" readingOrder="1"/>
    </xf>
    <xf numFmtId="0" fontId="25" fillId="0" borderId="0" xfId="0" applyFont="1" applyAlignment="1">
      <alignment horizontal="left" vertical="center" indent="10" readingOrder="1"/>
    </xf>
    <xf numFmtId="0" fontId="27" fillId="0" borderId="0" xfId="0" applyFont="1" applyAlignment="1">
      <alignment horizontal="left" vertical="center" indent="10" readingOrder="1"/>
    </xf>
    <xf numFmtId="0" fontId="25" fillId="2" borderId="13" xfId="0" applyFont="1" applyFill="1" applyBorder="1"/>
    <xf numFmtId="0" fontId="25" fillId="2" borderId="10" xfId="0" applyFont="1" applyFill="1" applyBorder="1"/>
    <xf numFmtId="0" fontId="25" fillId="2" borderId="11" xfId="0" applyFont="1" applyFill="1" applyBorder="1"/>
    <xf numFmtId="0" fontId="25" fillId="2" borderId="14" xfId="0" applyFont="1" applyFill="1" applyBorder="1"/>
    <xf numFmtId="0" fontId="25" fillId="2" borderId="0" xfId="0" applyFont="1" applyFill="1" applyBorder="1"/>
    <xf numFmtId="0" fontId="25" fillId="2" borderId="15" xfId="0" applyFont="1" applyFill="1" applyBorder="1"/>
    <xf numFmtId="0" fontId="25" fillId="2" borderId="12" xfId="0" applyFont="1" applyFill="1" applyBorder="1"/>
    <xf numFmtId="0" fontId="25" fillId="2" borderId="1" xfId="0" applyFont="1" applyFill="1" applyBorder="1"/>
    <xf numFmtId="0" fontId="25" fillId="2" borderId="6" xfId="0" applyFont="1" applyFill="1" applyBorder="1"/>
    <xf numFmtId="0" fontId="25"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2" fontId="25" fillId="0" borderId="0" xfId="0" applyNumberFormat="1" applyFont="1" applyFill="1" applyAlignment="1" applyProtection="1">
      <alignment horizontal="center" vertical="center"/>
      <protection locked="0"/>
    </xf>
    <xf numFmtId="0" fontId="25" fillId="0" borderId="0" xfId="0" applyFont="1" applyFill="1" applyAlignment="1">
      <alignment vertical="top"/>
    </xf>
    <xf numFmtId="0" fontId="29" fillId="0" borderId="0" xfId="0" applyFont="1" applyFill="1" applyAlignment="1" applyProtection="1">
      <alignment horizontal="center" vertical="center"/>
      <protection locked="0"/>
    </xf>
    <xf numFmtId="2" fontId="25" fillId="0" borderId="0" xfId="0" applyNumberFormat="1" applyFont="1" applyFill="1" applyBorder="1" applyAlignment="1" applyProtection="1">
      <alignment horizontal="center" vertical="center"/>
      <protection locked="0"/>
    </xf>
    <xf numFmtId="0" fontId="25" fillId="0" borderId="0" xfId="0" applyFont="1" applyAlignment="1" applyProtection="1">
      <alignment horizontal="center" vertical="center" wrapText="1"/>
      <protection locked="0"/>
    </xf>
    <xf numFmtId="0" fontId="25" fillId="0" borderId="0" xfId="0" applyFont="1" applyAlignment="1" applyProtection="1">
      <alignment horizontal="center" vertical="center"/>
      <protection locked="0"/>
    </xf>
    <xf numFmtId="2" fontId="25" fillId="0" borderId="0" xfId="0" applyNumberFormat="1" applyFont="1" applyAlignment="1" applyProtection="1">
      <alignment horizontal="center" vertical="center"/>
      <protection locked="0"/>
    </xf>
    <xf numFmtId="0" fontId="25" fillId="0" borderId="0"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protection locked="0"/>
    </xf>
    <xf numFmtId="2" fontId="25" fillId="0" borderId="0" xfId="0" applyNumberFormat="1" applyFont="1" applyBorder="1" applyAlignment="1" applyProtection="1">
      <alignment horizontal="center" vertical="center"/>
      <protection locked="0"/>
    </xf>
    <xf numFmtId="0" fontId="25" fillId="0" borderId="4" xfId="0" applyFont="1" applyBorder="1" applyAlignment="1">
      <alignment horizontal="center" wrapText="1"/>
    </xf>
    <xf numFmtId="0" fontId="25" fillId="0" borderId="6" xfId="0" applyFont="1" applyBorder="1" applyAlignment="1">
      <alignment horizontal="center" wrapText="1"/>
    </xf>
    <xf numFmtId="0" fontId="25" fillId="0" borderId="4" xfId="0" applyFont="1" applyBorder="1" applyAlignment="1">
      <alignment horizontal="center"/>
    </xf>
    <xf numFmtId="0" fontId="25" fillId="3" borderId="0" xfId="0" applyFont="1" applyFill="1"/>
    <xf numFmtId="0" fontId="25" fillId="3" borderId="0" xfId="0" applyFont="1" applyFill="1" applyAlignment="1">
      <alignment horizontal="center"/>
    </xf>
    <xf numFmtId="0" fontId="17" fillId="6" borderId="0" xfId="0" applyFont="1" applyFill="1" applyBorder="1" applyAlignment="1">
      <alignment horizontal="center" vertical="center"/>
    </xf>
    <xf numFmtId="0" fontId="17" fillId="4" borderId="0" xfId="0" applyFont="1" applyFill="1" applyBorder="1" applyAlignment="1">
      <alignment horizontal="center" vertical="center" wrapText="1"/>
    </xf>
    <xf numFmtId="0" fontId="17" fillId="6" borderId="0" xfId="0" applyFont="1" applyFill="1" applyBorder="1" applyAlignment="1">
      <alignment horizontal="center" vertical="top"/>
    </xf>
    <xf numFmtId="0" fontId="17" fillId="4" borderId="0" xfId="0" applyFont="1" applyFill="1" applyBorder="1" applyAlignment="1">
      <alignment horizontal="center" vertical="top"/>
    </xf>
    <xf numFmtId="0" fontId="25" fillId="0" borderId="0" xfId="0" applyFont="1" applyFill="1" applyAlignment="1">
      <alignment horizontal="center" vertical="top"/>
    </xf>
    <xf numFmtId="0" fontId="25" fillId="0" borderId="0" xfId="0" applyFont="1" applyFill="1" applyBorder="1" applyAlignment="1">
      <alignment horizontal="center" vertical="top"/>
    </xf>
    <xf numFmtId="0" fontId="29" fillId="0" borderId="0" xfId="0" applyFont="1" applyFill="1" applyBorder="1" applyAlignment="1">
      <alignment horizontal="center" vertical="top"/>
    </xf>
    <xf numFmtId="0" fontId="29" fillId="0" borderId="0" xfId="0" applyFont="1" applyFill="1" applyBorder="1" applyAlignment="1">
      <alignment horizontal="center" vertical="top" wrapText="1"/>
    </xf>
    <xf numFmtId="0" fontId="30" fillId="0" borderId="0" xfId="0" applyFont="1" applyFill="1" applyBorder="1" applyAlignment="1">
      <alignment horizontal="center" vertical="top" wrapText="1"/>
    </xf>
    <xf numFmtId="0" fontId="11" fillId="0" borderId="0" xfId="0" applyFont="1" applyFill="1" applyAlignment="1">
      <alignment horizontal="left" vertical="top"/>
    </xf>
    <xf numFmtId="0" fontId="11" fillId="0" borderId="0" xfId="0" applyFont="1" applyFill="1" applyAlignment="1">
      <alignment horizontal="center" vertical="top"/>
    </xf>
    <xf numFmtId="0" fontId="25" fillId="0" borderId="0" xfId="0" applyFont="1" applyFill="1" applyAlignment="1" applyProtection="1">
      <alignment horizontal="center" vertical="top"/>
      <protection locked="0"/>
    </xf>
    <xf numFmtId="0" fontId="11" fillId="0" borderId="0" xfId="0" applyFont="1" applyFill="1" applyAlignment="1">
      <alignment horizontal="left" vertical="top" wrapText="1"/>
    </xf>
    <xf numFmtId="0" fontId="11" fillId="0" borderId="0" xfId="0" applyFont="1" applyFill="1" applyAlignment="1">
      <alignment vertical="top"/>
    </xf>
    <xf numFmtId="0" fontId="34" fillId="0" borderId="0" xfId="0" applyFont="1" applyFill="1" applyAlignment="1">
      <alignment vertical="top"/>
    </xf>
    <xf numFmtId="0" fontId="34" fillId="0" borderId="0" xfId="0" applyFont="1" applyFill="1" applyAlignment="1">
      <alignment horizontal="center" vertical="top"/>
    </xf>
    <xf numFmtId="0" fontId="11" fillId="0" borderId="0" xfId="0" applyFont="1" applyFill="1" applyAlignment="1">
      <alignment horizontal="left" vertical="top" wrapText="1" indent="6"/>
    </xf>
    <xf numFmtId="0" fontId="11" fillId="0" borderId="0" xfId="0" applyFont="1" applyFill="1" applyBorder="1" applyAlignment="1">
      <alignment horizontal="left" vertical="top" indent="6"/>
    </xf>
    <xf numFmtId="0" fontId="29" fillId="7" borderId="0" xfId="0" applyFont="1" applyFill="1" applyAlignment="1">
      <alignment horizontal="left" vertical="top" wrapText="1"/>
    </xf>
    <xf numFmtId="0" fontId="25" fillId="7" borderId="0" xfId="0" applyFont="1" applyFill="1" applyAlignment="1">
      <alignment vertical="top"/>
    </xf>
    <xf numFmtId="0" fontId="29" fillId="7" borderId="0" xfId="0" applyFont="1" applyFill="1" applyAlignment="1">
      <alignment horizontal="left" vertical="top"/>
    </xf>
    <xf numFmtId="0" fontId="25" fillId="7" borderId="0" xfId="0" applyFont="1" applyFill="1" applyAlignment="1">
      <alignment horizontal="center" vertical="top"/>
    </xf>
    <xf numFmtId="0" fontId="36" fillId="7" borderId="0" xfId="0" applyFont="1" applyFill="1" applyAlignment="1">
      <alignment horizontal="left" vertical="top"/>
    </xf>
    <xf numFmtId="0" fontId="25" fillId="7" borderId="4" xfId="0" applyFont="1" applyFill="1" applyBorder="1" applyAlignment="1">
      <alignment horizontal="center" vertical="top"/>
    </xf>
    <xf numFmtId="0" fontId="34" fillId="7" borderId="0" xfId="0" applyFont="1" applyFill="1" applyBorder="1" applyAlignment="1">
      <alignment vertical="top"/>
    </xf>
    <xf numFmtId="0" fontId="20" fillId="0" borderId="16" xfId="2" applyFont="1" applyBorder="1" applyAlignment="1">
      <alignment horizontal="left" vertical="center" indent="1"/>
    </xf>
    <xf numFmtId="0" fontId="20" fillId="0" borderId="18" xfId="2" applyFont="1" applyBorder="1" applyAlignment="1">
      <alignment horizontal="left" vertical="center" indent="1"/>
    </xf>
    <xf numFmtId="0" fontId="20" fillId="0" borderId="17" xfId="2" applyFont="1" applyBorder="1" applyAlignment="1">
      <alignment horizontal="left" vertical="center" indent="1"/>
    </xf>
    <xf numFmtId="0" fontId="25" fillId="0" borderId="16" xfId="0" applyFont="1" applyBorder="1" applyAlignment="1">
      <alignment horizontal="left" vertical="center" indent="1"/>
    </xf>
    <xf numFmtId="0" fontId="25" fillId="0" borderId="17" xfId="0" applyFont="1" applyBorder="1" applyAlignment="1">
      <alignment horizontal="left" vertical="center" indent="1"/>
    </xf>
    <xf numFmtId="0" fontId="41" fillId="3" borderId="10" xfId="0" applyFont="1" applyFill="1" applyBorder="1"/>
    <xf numFmtId="0" fontId="41" fillId="3" borderId="0" xfId="0" applyFont="1" applyFill="1" applyBorder="1"/>
    <xf numFmtId="0" fontId="41" fillId="3" borderId="12" xfId="0" applyFont="1" applyFill="1" applyBorder="1"/>
    <xf numFmtId="0" fontId="41" fillId="3" borderId="1" xfId="0" applyFont="1" applyFill="1" applyBorder="1"/>
    <xf numFmtId="0" fontId="41" fillId="0" borderId="0" xfId="0" applyFont="1"/>
    <xf numFmtId="0" fontId="43" fillId="3" borderId="13" xfId="0" applyFont="1" applyFill="1" applyBorder="1" applyAlignment="1">
      <alignment horizontal="left" vertical="center" indent="2" readingOrder="1"/>
    </xf>
    <xf numFmtId="0" fontId="45" fillId="3" borderId="10" xfId="0" applyFont="1" applyFill="1" applyBorder="1"/>
    <xf numFmtId="0" fontId="45" fillId="3" borderId="14" xfId="0" applyFont="1" applyFill="1" applyBorder="1" applyAlignment="1">
      <alignment horizontal="left" vertical="center" indent="5" readingOrder="1"/>
    </xf>
    <xf numFmtId="0" fontId="45" fillId="3" borderId="0" xfId="0" applyFont="1" applyFill="1" applyBorder="1"/>
    <xf numFmtId="0" fontId="45" fillId="3" borderId="12" xfId="0" applyFont="1" applyFill="1" applyBorder="1" applyAlignment="1">
      <alignment horizontal="left" vertical="center" indent="8" readingOrder="1"/>
    </xf>
    <xf numFmtId="0" fontId="45" fillId="3" borderId="1" xfId="0" applyFont="1" applyFill="1" applyBorder="1"/>
    <xf numFmtId="0" fontId="25" fillId="8" borderId="19" xfId="0" applyFont="1" applyFill="1" applyBorder="1" applyAlignment="1">
      <alignment horizontal="center" vertical="top"/>
    </xf>
    <xf numFmtId="0" fontId="25" fillId="8" borderId="20" xfId="0" applyFont="1" applyFill="1" applyBorder="1" applyAlignment="1">
      <alignment horizontal="center" vertical="top"/>
    </xf>
    <xf numFmtId="0" fontId="17" fillId="6" borderId="0" xfId="3" applyFont="1" applyFill="1"/>
    <xf numFmtId="0" fontId="48" fillId="6" borderId="0" xfId="3" applyFont="1" applyFill="1" applyBorder="1" applyAlignment="1">
      <alignment vertical="top"/>
    </xf>
    <xf numFmtId="0" fontId="13" fillId="0" borderId="0" xfId="3" applyFont="1" applyAlignment="1">
      <alignment horizontal="center" vertical="top"/>
    </xf>
    <xf numFmtId="0" fontId="13" fillId="0" borderId="0" xfId="3" applyFont="1" applyAlignment="1">
      <alignment vertical="top"/>
    </xf>
    <xf numFmtId="0" fontId="49" fillId="9" borderId="16" xfId="3" applyFont="1" applyFill="1" applyBorder="1" applyAlignment="1" applyProtection="1">
      <alignment horizontal="left" vertical="center"/>
    </xf>
    <xf numFmtId="0" fontId="10" fillId="10" borderId="18" xfId="3" applyFill="1" applyBorder="1"/>
    <xf numFmtId="0" fontId="10" fillId="10" borderId="17" xfId="3" applyFill="1" applyBorder="1"/>
    <xf numFmtId="0" fontId="10" fillId="0" borderId="0" xfId="3"/>
    <xf numFmtId="0" fontId="10" fillId="0" borderId="21" xfId="3" applyBorder="1" applyAlignment="1">
      <alignment horizontal="left"/>
    </xf>
    <xf numFmtId="0" fontId="10" fillId="0" borderId="22" xfId="3" applyBorder="1"/>
    <xf numFmtId="0" fontId="10" fillId="0" borderId="23" xfId="3" applyBorder="1"/>
    <xf numFmtId="0" fontId="50" fillId="0" borderId="0" xfId="3" applyFont="1"/>
    <xf numFmtId="0" fontId="10" fillId="0" borderId="24" xfId="3" applyBorder="1" applyAlignment="1">
      <alignment horizontal="left"/>
    </xf>
    <xf numFmtId="0" fontId="25" fillId="8" borderId="23" xfId="0" applyFont="1" applyFill="1" applyBorder="1" applyAlignment="1">
      <alignment horizontal="center" vertical="top"/>
    </xf>
    <xf numFmtId="167" fontId="25" fillId="0" borderId="0" xfId="0" applyNumberFormat="1" applyFont="1" applyFill="1" applyAlignment="1">
      <alignment horizontal="center" vertical="top"/>
    </xf>
    <xf numFmtId="167" fontId="25" fillId="0" borderId="8" xfId="0" applyNumberFormat="1" applyFont="1" applyFill="1" applyBorder="1" applyAlignment="1">
      <alignment horizontal="center" vertical="top"/>
    </xf>
    <xf numFmtId="167" fontId="51" fillId="0" borderId="8" xfId="0" applyNumberFormat="1" applyFont="1" applyFill="1" applyBorder="1" applyAlignment="1">
      <alignment horizontal="center" vertical="top"/>
    </xf>
    <xf numFmtId="0" fontId="10" fillId="7" borderId="0" xfId="3" applyFill="1"/>
    <xf numFmtId="167" fontId="25" fillId="0" borderId="3" xfId="0" applyNumberFormat="1" applyFont="1" applyFill="1" applyBorder="1" applyAlignment="1">
      <alignment horizontal="center" vertical="center"/>
    </xf>
    <xf numFmtId="0" fontId="25" fillId="12" borderId="0" xfId="0" applyFont="1" applyFill="1" applyAlignment="1">
      <alignment vertical="top"/>
    </xf>
    <xf numFmtId="0" fontId="25" fillId="12" borderId="0" xfId="0" applyFont="1" applyFill="1" applyAlignment="1">
      <alignment horizontal="center" vertical="top"/>
    </xf>
    <xf numFmtId="0" fontId="29" fillId="0" borderId="0" xfId="0" applyFont="1" applyFill="1" applyBorder="1" applyAlignment="1">
      <alignment horizontal="left" vertical="top" wrapText="1" indent="1"/>
    </xf>
    <xf numFmtId="0" fontId="17" fillId="0" borderId="0" xfId="0" applyFont="1" applyFill="1" applyBorder="1" applyAlignment="1">
      <alignment horizontal="left" vertical="top" wrapText="1" indent="1"/>
    </xf>
    <xf numFmtId="0" fontId="17" fillId="6" borderId="0" xfId="0" applyFont="1" applyFill="1" applyBorder="1" applyAlignment="1">
      <alignment horizontal="left" vertical="top"/>
    </xf>
    <xf numFmtId="0" fontId="39" fillId="4" borderId="4" xfId="0" applyFont="1" applyFill="1" applyBorder="1" applyAlignment="1">
      <alignment horizontal="center" wrapText="1"/>
    </xf>
    <xf numFmtId="0" fontId="39" fillId="4" borderId="5" xfId="0" applyFont="1" applyFill="1" applyBorder="1" applyAlignment="1">
      <alignment horizontal="center" wrapText="1"/>
    </xf>
    <xf numFmtId="167" fontId="25" fillId="12" borderId="2" xfId="0" applyNumberFormat="1" applyFont="1" applyFill="1" applyBorder="1" applyAlignment="1">
      <alignment horizontal="center" vertical="top"/>
    </xf>
    <xf numFmtId="167" fontId="25" fillId="12" borderId="0" xfId="0" applyNumberFormat="1" applyFont="1" applyFill="1" applyAlignment="1">
      <alignment horizontal="center" vertical="top"/>
    </xf>
    <xf numFmtId="167" fontId="30" fillId="0" borderId="0" xfId="0" applyNumberFormat="1" applyFont="1" applyFill="1" applyBorder="1" applyAlignment="1">
      <alignment horizontal="center" vertical="top" wrapText="1"/>
    </xf>
    <xf numFmtId="167" fontId="29" fillId="0" borderId="0" xfId="0" applyNumberFormat="1" applyFont="1" applyFill="1" applyBorder="1" applyAlignment="1">
      <alignment horizontal="right" vertical="top" indent="1"/>
    </xf>
    <xf numFmtId="167" fontId="25" fillId="0" borderId="0" xfId="0" applyNumberFormat="1" applyFont="1" applyFill="1" applyAlignment="1">
      <alignment vertical="top"/>
    </xf>
    <xf numFmtId="167" fontId="25" fillId="7" borderId="0" xfId="0" applyNumberFormat="1" applyFont="1" applyFill="1" applyAlignment="1">
      <alignment horizontal="center" vertical="top"/>
    </xf>
    <xf numFmtId="167" fontId="34" fillId="7" borderId="0" xfId="0" applyNumberFormat="1" applyFont="1" applyFill="1" applyAlignment="1">
      <alignment vertical="top"/>
    </xf>
    <xf numFmtId="167" fontId="25" fillId="7" borderId="0" xfId="0" applyNumberFormat="1" applyFont="1" applyFill="1" applyAlignment="1">
      <alignment vertical="top"/>
    </xf>
    <xf numFmtId="167" fontId="17" fillId="4" borderId="0" xfId="0" applyNumberFormat="1" applyFont="1" applyFill="1" applyBorder="1" applyAlignment="1">
      <alignment horizontal="center" vertical="center" wrapText="1"/>
    </xf>
    <xf numFmtId="0" fontId="20" fillId="0" borderId="2" xfId="2" applyFill="1" applyBorder="1" applyAlignment="1">
      <alignment horizontal="center" vertical="top"/>
    </xf>
    <xf numFmtId="166" fontId="20" fillId="0" borderId="2" xfId="2" applyNumberFormat="1" applyFill="1" applyBorder="1" applyAlignment="1">
      <alignment horizontal="center" vertical="top"/>
    </xf>
    <xf numFmtId="0" fontId="25" fillId="0" borderId="0" xfId="0" applyFont="1" applyFill="1" applyAlignment="1" applyProtection="1">
      <alignment horizontal="center" vertical="top"/>
    </xf>
    <xf numFmtId="0" fontId="25" fillId="0" borderId="0" xfId="0" applyFont="1" applyFill="1" applyAlignment="1" applyProtection="1">
      <alignment horizontal="center" vertical="center" wrapText="1"/>
    </xf>
    <xf numFmtId="0" fontId="25" fillId="0" borderId="0" xfId="0" applyFont="1" applyFill="1" applyAlignment="1" applyProtection="1">
      <alignment horizontal="center" vertical="center"/>
    </xf>
    <xf numFmtId="0" fontId="25" fillId="0" borderId="0" xfId="0" applyFont="1" applyFill="1" applyBorder="1" applyAlignment="1" applyProtection="1">
      <alignment horizontal="center" vertical="center" wrapText="1"/>
    </xf>
    <xf numFmtId="0" fontId="25" fillId="12" borderId="0" xfId="0" applyFont="1" applyFill="1" applyAlignment="1" applyProtection="1">
      <alignment vertical="center"/>
    </xf>
    <xf numFmtId="0" fontId="25" fillId="12" borderId="0" xfId="0" applyFont="1" applyFill="1" applyAlignment="1" applyProtection="1">
      <alignment horizontal="center" vertical="center"/>
    </xf>
    <xf numFmtId="167" fontId="25" fillId="12" borderId="0" xfId="0" applyNumberFormat="1" applyFont="1" applyFill="1" applyAlignment="1" applyProtection="1">
      <alignment horizontal="center" vertical="center"/>
    </xf>
    <xf numFmtId="0" fontId="25" fillId="0" borderId="0" xfId="0" applyFont="1" applyFill="1" applyAlignment="1" applyProtection="1">
      <alignment vertical="center"/>
    </xf>
    <xf numFmtId="0" fontId="17" fillId="6" borderId="0" xfId="0" applyFont="1" applyFill="1" applyBorder="1" applyAlignment="1" applyProtection="1">
      <alignment horizontal="center" vertical="center"/>
    </xf>
    <xf numFmtId="2" fontId="17" fillId="4" borderId="0" xfId="0" applyNumberFormat="1" applyFont="1" applyFill="1" applyBorder="1" applyAlignment="1" applyProtection="1">
      <alignment horizontal="center" vertical="center" wrapText="1"/>
    </xf>
    <xf numFmtId="167" fontId="17" fillId="4"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38" fillId="0" borderId="0" xfId="0" applyFont="1" applyFill="1" applyAlignment="1" applyProtection="1">
      <alignment horizontal="center" vertical="center"/>
    </xf>
    <xf numFmtId="0" fontId="30" fillId="0" borderId="0" xfId="0" applyFont="1" applyFill="1" applyAlignment="1" applyProtection="1">
      <alignment horizontal="center" vertical="center"/>
    </xf>
    <xf numFmtId="2" fontId="30" fillId="0" borderId="0" xfId="0" applyNumberFormat="1" applyFont="1" applyFill="1" applyAlignment="1" applyProtection="1">
      <alignment horizontal="center" vertical="center" wrapText="1"/>
    </xf>
    <xf numFmtId="167" fontId="30" fillId="0" borderId="0" xfId="0" applyNumberFormat="1" applyFont="1" applyFill="1" applyAlignment="1" applyProtection="1">
      <alignment horizontal="center" vertical="center" wrapText="1"/>
    </xf>
    <xf numFmtId="0" fontId="30" fillId="0" borderId="0" xfId="0" applyFont="1" applyFill="1" applyAlignment="1" applyProtection="1">
      <alignment horizontal="center" vertical="center" wrapText="1"/>
    </xf>
    <xf numFmtId="167" fontId="29" fillId="0" borderId="0" xfId="0" applyNumberFormat="1" applyFont="1" applyFill="1" applyBorder="1" applyAlignment="1" applyProtection="1">
      <alignment horizontal="center" vertical="top"/>
    </xf>
    <xf numFmtId="0" fontId="29" fillId="0" borderId="0" xfId="0" applyFont="1" applyFill="1" applyBorder="1" applyAlignment="1" applyProtection="1">
      <alignment horizontal="left" vertical="top" wrapText="1" indent="1"/>
    </xf>
    <xf numFmtId="0" fontId="17" fillId="0" borderId="0" xfId="0" applyFont="1" applyFill="1" applyBorder="1" applyAlignment="1" applyProtection="1">
      <alignment horizontal="left" vertical="top" wrapText="1" indent="1"/>
    </xf>
    <xf numFmtId="167" fontId="30" fillId="0" borderId="0" xfId="0" applyNumberFormat="1" applyFont="1" applyFill="1" applyBorder="1" applyAlignment="1" applyProtection="1">
      <alignment horizontal="center" vertical="top" wrapText="1"/>
    </xf>
    <xf numFmtId="167" fontId="25" fillId="0" borderId="0" xfId="0" applyNumberFormat="1" applyFont="1" applyFill="1" applyAlignment="1" applyProtection="1">
      <alignment horizontal="center" vertical="center"/>
    </xf>
    <xf numFmtId="0" fontId="25" fillId="0" borderId="0" xfId="0" applyFont="1" applyFill="1" applyAlignment="1" applyProtection="1">
      <alignment vertical="center" wrapText="1"/>
    </xf>
    <xf numFmtId="0" fontId="25" fillId="0" borderId="0" xfId="0" applyFont="1" applyFill="1" applyAlignment="1" applyProtection="1">
      <alignment horizontal="left" vertical="center" wrapText="1" indent="6"/>
    </xf>
    <xf numFmtId="0" fontId="25" fillId="0" borderId="0" xfId="0" applyFont="1" applyFill="1" applyBorder="1" applyAlignment="1" applyProtection="1">
      <alignment horizontal="left" vertical="center" wrapText="1"/>
    </xf>
    <xf numFmtId="167" fontId="51" fillId="0" borderId="8" xfId="0" applyNumberFormat="1" applyFont="1" applyFill="1" applyBorder="1" applyAlignment="1" applyProtection="1">
      <alignment horizontal="center" vertical="top"/>
    </xf>
    <xf numFmtId="0" fontId="25" fillId="8" borderId="20" xfId="0" applyFont="1" applyFill="1" applyBorder="1" applyAlignment="1" applyProtection="1">
      <alignment horizontal="center" vertical="center"/>
    </xf>
    <xf numFmtId="167" fontId="25" fillId="0" borderId="8" xfId="0" applyNumberFormat="1" applyFont="1" applyFill="1" applyBorder="1" applyAlignment="1" applyProtection="1">
      <alignment horizontal="center" vertical="top"/>
    </xf>
    <xf numFmtId="0" fontId="25" fillId="0" borderId="0" xfId="0" applyFont="1" applyFill="1" applyBorder="1" applyAlignment="1" applyProtection="1">
      <alignment vertical="center" wrapText="1"/>
    </xf>
    <xf numFmtId="167" fontId="25" fillId="0" borderId="0" xfId="0" applyNumberFormat="1" applyFont="1" applyFill="1" applyAlignment="1" applyProtection="1">
      <alignment horizontal="center" vertical="center" wrapText="1"/>
    </xf>
    <xf numFmtId="0" fontId="25" fillId="8" borderId="19" xfId="0" applyFont="1" applyFill="1" applyBorder="1" applyAlignment="1" applyProtection="1">
      <alignment horizontal="center" vertical="center"/>
    </xf>
    <xf numFmtId="0" fontId="25" fillId="0" borderId="0" xfId="0" applyFont="1" applyFill="1" applyAlignment="1" applyProtection="1">
      <alignment horizontal="left" vertical="center" wrapText="1"/>
    </xf>
    <xf numFmtId="0" fontId="25" fillId="0" borderId="2"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2" fontId="25" fillId="0" borderId="0" xfId="0" applyNumberFormat="1" applyFont="1" applyFill="1" applyBorder="1" applyAlignment="1" applyProtection="1">
      <alignment horizontal="center" vertical="center"/>
    </xf>
    <xf numFmtId="0" fontId="25" fillId="0" borderId="0" xfId="0" applyFont="1" applyBorder="1" applyAlignment="1" applyProtection="1">
      <alignment horizontal="center" vertical="center"/>
    </xf>
    <xf numFmtId="0" fontId="29" fillId="7" borderId="0" xfId="0" applyFont="1" applyFill="1" applyAlignment="1" applyProtection="1">
      <alignment horizontal="left" vertical="center" wrapText="1"/>
    </xf>
    <xf numFmtId="0" fontId="25" fillId="7" borderId="0" xfId="0" applyFont="1" applyFill="1" applyAlignment="1" applyProtection="1">
      <alignment horizontal="left" vertical="center" wrapText="1"/>
    </xf>
    <xf numFmtId="167" fontId="25" fillId="7" borderId="0" xfId="0" applyNumberFormat="1" applyFont="1" applyFill="1" applyAlignment="1" applyProtection="1">
      <alignment horizontal="center" vertical="center"/>
    </xf>
    <xf numFmtId="0" fontId="29" fillId="7" borderId="0" xfId="0" applyFont="1" applyFill="1" applyAlignment="1" applyProtection="1">
      <alignment horizontal="center" vertical="center"/>
    </xf>
    <xf numFmtId="0" fontId="25" fillId="7" borderId="0" xfId="0" applyFont="1" applyFill="1" applyAlignment="1" applyProtection="1">
      <alignment horizontal="center" vertical="center"/>
    </xf>
    <xf numFmtId="0" fontId="29" fillId="7" borderId="0" xfId="0" applyFont="1" applyFill="1" applyAlignment="1" applyProtection="1">
      <alignment vertical="center"/>
    </xf>
    <xf numFmtId="0" fontId="25" fillId="7" borderId="0" xfId="0" applyFont="1" applyFill="1" applyAlignment="1" applyProtection="1">
      <alignment horizontal="left" vertical="center"/>
    </xf>
    <xf numFmtId="167" fontId="34" fillId="7" borderId="0" xfId="0" applyNumberFormat="1" applyFont="1" applyFill="1" applyAlignment="1" applyProtection="1">
      <alignment horizontal="center" vertical="center"/>
    </xf>
    <xf numFmtId="0" fontId="34" fillId="7" borderId="0" xfId="0" applyFont="1" applyFill="1" applyAlignment="1" applyProtection="1">
      <alignment vertical="center"/>
    </xf>
    <xf numFmtId="0" fontId="34" fillId="7" borderId="0" xfId="0" applyFont="1" applyFill="1" applyBorder="1" applyAlignment="1" applyProtection="1">
      <alignment vertical="center"/>
    </xf>
    <xf numFmtId="0" fontId="34" fillId="0" borderId="0" xfId="0" applyFont="1" applyFill="1" applyAlignment="1" applyProtection="1">
      <alignment vertical="center"/>
    </xf>
    <xf numFmtId="0" fontId="25" fillId="7" borderId="0" xfId="0" applyFont="1" applyFill="1" applyAlignment="1" applyProtection="1">
      <alignment vertical="center"/>
    </xf>
    <xf numFmtId="0" fontId="29" fillId="7" borderId="0" xfId="0" applyFont="1" applyFill="1" applyAlignment="1" applyProtection="1">
      <alignment horizontal="left" vertical="center"/>
    </xf>
    <xf numFmtId="2" fontId="25" fillId="7" borderId="0" xfId="0" applyNumberFormat="1" applyFont="1" applyFill="1" applyAlignment="1" applyProtection="1">
      <alignment horizontal="left" vertical="center"/>
    </xf>
    <xf numFmtId="0" fontId="35" fillId="7" borderId="2" xfId="0" applyFont="1" applyFill="1" applyBorder="1" applyAlignment="1" applyProtection="1">
      <alignment horizontal="center" vertical="center"/>
    </xf>
    <xf numFmtId="0" fontId="31" fillId="0" borderId="0" xfId="0" applyFont="1" applyFill="1" applyAlignment="1" applyProtection="1">
      <alignment horizontal="left" vertical="center"/>
    </xf>
    <xf numFmtId="0" fontId="28" fillId="7" borderId="2" xfId="0" applyFont="1" applyFill="1" applyBorder="1" applyAlignment="1" applyProtection="1">
      <alignment horizontal="center" vertical="center"/>
    </xf>
    <xf numFmtId="0" fontId="25" fillId="7" borderId="0" xfId="0" applyFont="1" applyFill="1" applyBorder="1" applyAlignment="1" applyProtection="1">
      <alignment vertical="center"/>
    </xf>
    <xf numFmtId="0" fontId="46" fillId="7" borderId="4" xfId="0" applyFont="1" applyFill="1" applyBorder="1" applyAlignment="1" applyProtection="1">
      <alignment horizontal="center" vertical="center"/>
    </xf>
    <xf numFmtId="0" fontId="25" fillId="7" borderId="4" xfId="0" applyFont="1" applyFill="1" applyBorder="1" applyAlignment="1" applyProtection="1">
      <alignment horizontal="center" vertical="center"/>
    </xf>
    <xf numFmtId="2" fontId="25" fillId="0" borderId="0" xfId="0" applyNumberFormat="1" applyFont="1" applyFill="1" applyAlignment="1" applyProtection="1">
      <alignment vertical="center"/>
    </xf>
    <xf numFmtId="0" fontId="25" fillId="12" borderId="0" xfId="0" applyFont="1" applyFill="1" applyBorder="1" applyAlignment="1" applyProtection="1">
      <alignment vertical="center" wrapText="1"/>
    </xf>
    <xf numFmtId="0" fontId="25" fillId="12" borderId="0" xfId="0" applyFont="1" applyFill="1" applyBorder="1" applyAlignment="1" applyProtection="1">
      <alignment vertical="center"/>
    </xf>
    <xf numFmtId="167" fontId="25" fillId="12" borderId="0" xfId="0" applyNumberFormat="1" applyFont="1" applyFill="1" applyAlignment="1" applyProtection="1">
      <alignment vertical="center"/>
    </xf>
    <xf numFmtId="0" fontId="17" fillId="6" borderId="0" xfId="0" applyFont="1" applyFill="1" applyBorder="1" applyAlignment="1" applyProtection="1">
      <alignment horizontal="center" vertical="center" wrapText="1"/>
    </xf>
    <xf numFmtId="167" fontId="17" fillId="4" borderId="0" xfId="0" applyNumberFormat="1" applyFont="1" applyFill="1" applyBorder="1" applyAlignment="1" applyProtection="1">
      <alignment horizontal="center" vertical="center"/>
    </xf>
    <xf numFmtId="0" fontId="29" fillId="0"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xf>
    <xf numFmtId="167" fontId="29" fillId="0" borderId="0" xfId="0" applyNumberFormat="1" applyFont="1" applyFill="1" applyBorder="1" applyAlignment="1" applyProtection="1">
      <alignment horizontal="center" vertical="center"/>
    </xf>
    <xf numFmtId="2" fontId="29" fillId="0" borderId="0" xfId="0" applyNumberFormat="1" applyFont="1" applyFill="1" applyBorder="1" applyAlignment="1" applyProtection="1">
      <alignment horizontal="center" vertical="center"/>
    </xf>
    <xf numFmtId="167" fontId="29" fillId="0" borderId="0" xfId="0" applyNumberFormat="1" applyFont="1" applyFill="1" applyBorder="1" applyAlignment="1" applyProtection="1">
      <alignment horizontal="right" vertical="top" indent="1"/>
    </xf>
    <xf numFmtId="2" fontId="25" fillId="0" borderId="0" xfId="0" applyNumberFormat="1" applyFont="1" applyFill="1" applyAlignment="1" applyProtection="1">
      <alignment horizontal="center" vertical="center"/>
    </xf>
    <xf numFmtId="0" fontId="25" fillId="8" borderId="19" xfId="0" applyFont="1" applyFill="1" applyBorder="1" applyAlignment="1" applyProtection="1">
      <alignment horizontal="center" vertical="top"/>
    </xf>
    <xf numFmtId="0" fontId="25" fillId="8" borderId="20" xfId="0" applyFont="1" applyFill="1" applyBorder="1" applyAlignment="1" applyProtection="1">
      <alignment horizontal="center" vertical="top"/>
    </xf>
    <xf numFmtId="0" fontId="25" fillId="0" borderId="0" xfId="0" applyFont="1" applyFill="1" applyBorder="1" applyAlignment="1" applyProtection="1">
      <alignment vertical="center"/>
    </xf>
    <xf numFmtId="0" fontId="25" fillId="7" borderId="0" xfId="0" applyFont="1" applyFill="1" applyBorder="1" applyAlignment="1" applyProtection="1">
      <alignment horizontal="left" vertical="center" wrapText="1"/>
    </xf>
    <xf numFmtId="164" fontId="29" fillId="7" borderId="0" xfId="0" applyNumberFormat="1" applyFont="1" applyFill="1" applyAlignment="1" applyProtection="1">
      <alignment horizontal="center" vertical="center"/>
    </xf>
    <xf numFmtId="167" fontId="25" fillId="7" borderId="0" xfId="0" applyNumberFormat="1" applyFont="1" applyFill="1" applyAlignment="1" applyProtection="1">
      <alignment vertical="center"/>
    </xf>
    <xf numFmtId="0" fontId="29" fillId="7" borderId="2" xfId="0" applyFont="1" applyFill="1" applyBorder="1" applyAlignment="1" applyProtection="1">
      <alignment horizontal="center" vertical="center"/>
    </xf>
    <xf numFmtId="0" fontId="36" fillId="7" borderId="0" xfId="0" applyFont="1" applyFill="1" applyAlignment="1" applyProtection="1">
      <alignment horizontal="left" vertical="center"/>
    </xf>
    <xf numFmtId="167" fontId="25" fillId="0" borderId="0" xfId="0" applyNumberFormat="1" applyFont="1" applyFill="1" applyAlignment="1" applyProtection="1">
      <alignment vertical="center"/>
    </xf>
    <xf numFmtId="2" fontId="25" fillId="0" borderId="0" xfId="0" applyNumberFormat="1" applyFont="1" applyAlignment="1" applyProtection="1">
      <alignment horizontal="lef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0" fontId="17" fillId="0" borderId="0" xfId="0" applyFont="1" applyFill="1" applyBorder="1" applyAlignment="1" applyProtection="1">
      <alignment horizontal="center" vertical="center"/>
    </xf>
    <xf numFmtId="2" fontId="17" fillId="0" borderId="0" xfId="0" applyNumberFormat="1" applyFont="1" applyFill="1" applyBorder="1" applyAlignment="1" applyProtection="1">
      <alignment horizontal="center" vertical="center" wrapText="1"/>
    </xf>
    <xf numFmtId="167" fontId="17" fillId="0" borderId="0" xfId="0" applyNumberFormat="1"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167" fontId="25" fillId="0" borderId="0" xfId="0" applyNumberFormat="1" applyFont="1" applyAlignment="1" applyProtection="1">
      <alignment vertical="center"/>
    </xf>
    <xf numFmtId="0" fontId="25" fillId="0" borderId="0" xfId="0" applyFont="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0" xfId="0" applyFont="1" applyAlignment="1" applyProtection="1">
      <alignment horizontal="left" vertical="center" wrapText="1" indent="6"/>
    </xf>
    <xf numFmtId="167" fontId="25" fillId="0" borderId="0" xfId="0" applyNumberFormat="1" applyFont="1" applyAlignment="1" applyProtection="1">
      <alignment horizontal="center" vertical="center"/>
    </xf>
    <xf numFmtId="0" fontId="25" fillId="0" borderId="0" xfId="0" applyFont="1" applyAlignment="1" applyProtection="1">
      <alignment vertical="center" wrapText="1"/>
    </xf>
    <xf numFmtId="0" fontId="25" fillId="0" borderId="0" xfId="0" applyFont="1" applyAlignment="1" applyProtection="1">
      <alignment horizontal="center" vertical="center"/>
    </xf>
    <xf numFmtId="167" fontId="25" fillId="0" borderId="0" xfId="0" applyNumberFormat="1" applyFont="1" applyAlignment="1" applyProtection="1">
      <alignment horizontal="center" vertical="center" wrapText="1"/>
    </xf>
    <xf numFmtId="0" fontId="25" fillId="0" borderId="0" xfId="0" applyFont="1" applyAlignment="1" applyProtection="1">
      <alignment horizontal="left" vertical="center" wrapText="1"/>
    </xf>
    <xf numFmtId="2" fontId="25" fillId="0" borderId="0" xfId="0" applyNumberFormat="1" applyFont="1" applyAlignment="1" applyProtection="1">
      <alignment horizontal="center" vertical="center"/>
    </xf>
    <xf numFmtId="2" fontId="25" fillId="0" borderId="0" xfId="0" applyNumberFormat="1" applyFont="1" applyBorder="1" applyAlignment="1" applyProtection="1">
      <alignment horizontal="center" vertical="center"/>
    </xf>
    <xf numFmtId="0" fontId="31" fillId="0" borderId="0" xfId="0" applyFont="1" applyAlignment="1" applyProtection="1">
      <alignment horizontal="left" vertical="center"/>
    </xf>
    <xf numFmtId="0" fontId="25" fillId="0" borderId="0" xfId="0" applyFont="1" applyBorder="1" applyAlignment="1" applyProtection="1">
      <alignment vertical="center"/>
    </xf>
    <xf numFmtId="0" fontId="25" fillId="12" borderId="0" xfId="0" applyFont="1" applyFill="1" applyAlignment="1" applyProtection="1">
      <alignment vertical="center" wrapText="1"/>
    </xf>
    <xf numFmtId="0" fontId="29" fillId="0" borderId="0" xfId="0" applyFont="1" applyBorder="1" applyAlignment="1" applyProtection="1">
      <alignment horizontal="center" vertical="center" wrapText="1"/>
    </xf>
    <xf numFmtId="0" fontId="29" fillId="0" borderId="0" xfId="0" applyFont="1" applyBorder="1" applyAlignment="1" applyProtection="1">
      <alignment horizontal="center" vertical="center"/>
    </xf>
    <xf numFmtId="167" fontId="29" fillId="0" borderId="0" xfId="0" applyNumberFormat="1" applyFont="1" applyBorder="1" applyAlignment="1" applyProtection="1">
      <alignment horizontal="center" vertical="center" wrapText="1"/>
    </xf>
    <xf numFmtId="2" fontId="29" fillId="0" borderId="0" xfId="0" applyNumberFormat="1" applyFont="1" applyBorder="1" applyAlignment="1" applyProtection="1">
      <alignment horizontal="center" vertical="center" wrapText="1"/>
    </xf>
    <xf numFmtId="0" fontId="25" fillId="0" borderId="0" xfId="0" applyFont="1" applyAlignment="1" applyProtection="1">
      <alignment horizontal="left" vertical="center" indent="6"/>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30" fillId="0" borderId="0" xfId="0" applyFont="1" applyFill="1" applyBorder="1" applyAlignment="1" applyProtection="1">
      <alignment horizontal="center" vertical="top" wrapText="1"/>
    </xf>
    <xf numFmtId="165" fontId="25" fillId="0" borderId="0" xfId="0" applyNumberFormat="1" applyFont="1" applyBorder="1" applyAlignment="1" applyProtection="1">
      <alignment horizontal="center" vertical="center"/>
    </xf>
    <xf numFmtId="167" fontId="29" fillId="0" borderId="0" xfId="0" applyNumberFormat="1" applyFont="1" applyBorder="1" applyAlignment="1" applyProtection="1">
      <alignment horizontal="center" vertical="center"/>
    </xf>
    <xf numFmtId="2" fontId="29" fillId="0" borderId="0" xfId="0" applyNumberFormat="1" applyFont="1" applyBorder="1" applyAlignment="1" applyProtection="1">
      <alignment horizontal="center" vertical="center"/>
    </xf>
    <xf numFmtId="167" fontId="25" fillId="0" borderId="0" xfId="0" applyNumberFormat="1" applyFont="1" applyFill="1" applyBorder="1" applyAlignment="1" applyProtection="1">
      <alignment horizontal="center" vertical="top"/>
    </xf>
    <xf numFmtId="0" fontId="26" fillId="0" borderId="0" xfId="0" applyFont="1" applyFill="1" applyBorder="1" applyAlignment="1">
      <alignment horizontal="left" vertical="top" wrapText="1"/>
    </xf>
    <xf numFmtId="0" fontId="25" fillId="0" borderId="0" xfId="0" applyFont="1" applyFill="1" applyAlignment="1" applyProtection="1">
      <alignment horizontal="left" vertical="top"/>
      <protection locked="0"/>
    </xf>
    <xf numFmtId="0" fontId="30" fillId="0" borderId="0" xfId="0" applyFont="1" applyFill="1" applyAlignment="1" applyProtection="1">
      <alignment horizontal="center" vertical="center"/>
      <protection locked="0"/>
    </xf>
    <xf numFmtId="0" fontId="25" fillId="0" borderId="0" xfId="0" applyFont="1" applyFill="1" applyBorder="1" applyAlignment="1" applyProtection="1">
      <alignment horizontal="left" vertical="center" wrapText="1"/>
      <protection locked="0"/>
    </xf>
    <xf numFmtId="0" fontId="25" fillId="0" borderId="0" xfId="0" applyFont="1" applyFill="1" applyBorder="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29"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protection locked="0"/>
    </xf>
    <xf numFmtId="0" fontId="25" fillId="0" borderId="0" xfId="0" applyFont="1" applyFill="1" applyAlignment="1" applyProtection="1">
      <alignment horizontal="left" vertical="center"/>
      <protection locked="0"/>
    </xf>
    <xf numFmtId="0" fontId="25" fillId="0" borderId="0" xfId="0" applyFont="1" applyFill="1" applyBorder="1" applyAlignment="1" applyProtection="1">
      <alignment vertical="center"/>
      <protection locked="0"/>
    </xf>
    <xf numFmtId="0" fontId="17" fillId="0" borderId="0" xfId="0" applyFont="1" applyFill="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31" fillId="0" borderId="0" xfId="0" applyFont="1" applyAlignment="1" applyProtection="1">
      <alignment horizontal="left" vertical="center"/>
      <protection locked="0"/>
    </xf>
    <xf numFmtId="0" fontId="25" fillId="0" borderId="0" xfId="0" applyFont="1" applyAlignment="1" applyProtection="1">
      <alignment vertical="center"/>
      <protection locked="0"/>
    </xf>
    <xf numFmtId="0" fontId="31" fillId="0" borderId="0" xfId="0" applyFont="1" applyBorder="1" applyAlignment="1" applyProtection="1">
      <alignment vertical="center"/>
      <protection locked="0"/>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53" fillId="3" borderId="13" xfId="0" applyFont="1" applyFill="1" applyBorder="1"/>
    <xf numFmtId="0" fontId="42" fillId="3" borderId="14" xfId="0" applyFont="1" applyFill="1" applyBorder="1"/>
    <xf numFmtId="0" fontId="55" fillId="0" borderId="0" xfId="4" applyFont="1" applyAlignment="1">
      <alignment horizontal="center" vertical="center"/>
    </xf>
    <xf numFmtId="168" fontId="41" fillId="7" borderId="0" xfId="4" applyNumberFormat="1" applyFont="1" applyFill="1" applyAlignment="1">
      <alignment horizontal="center" vertical="center"/>
    </xf>
    <xf numFmtId="0" fontId="41" fillId="7" borderId="0" xfId="4" applyNumberFormat="1" applyFont="1" applyFill="1" applyAlignment="1">
      <alignment horizontal="center" vertical="center"/>
    </xf>
    <xf numFmtId="167" fontId="41" fillId="7" borderId="0" xfId="4" applyNumberFormat="1" applyFont="1" applyFill="1" applyAlignment="1">
      <alignment horizontal="center" vertical="center"/>
    </xf>
    <xf numFmtId="168" fontId="52" fillId="0" borderId="0" xfId="4" applyNumberFormat="1" applyFont="1" applyAlignment="1">
      <alignment horizontal="center" vertical="center"/>
    </xf>
    <xf numFmtId="0" fontId="52" fillId="0" borderId="0" xfId="4" applyNumberFormat="1" applyFont="1" applyAlignment="1">
      <alignment horizontal="center" vertical="center"/>
    </xf>
    <xf numFmtId="167" fontId="52" fillId="0" borderId="0" xfId="4" applyNumberFormat="1" applyFont="1" applyAlignment="1">
      <alignment horizontal="center" vertical="center"/>
    </xf>
    <xf numFmtId="167" fontId="25" fillId="0" borderId="0" xfId="0" applyNumberFormat="1" applyFont="1" applyFill="1" applyBorder="1" applyAlignment="1">
      <alignment horizontal="center" vertical="top"/>
    </xf>
    <xf numFmtId="0" fontId="25" fillId="0" borderId="25" xfId="0" applyFont="1" applyFill="1" applyBorder="1" applyAlignment="1" applyProtection="1">
      <alignment horizontal="center" vertical="top"/>
      <protection locked="0"/>
    </xf>
    <xf numFmtId="0" fontId="25" fillId="0" borderId="25" xfId="0" applyFont="1" applyFill="1" applyBorder="1" applyAlignment="1">
      <alignment horizontal="center" vertical="top"/>
    </xf>
    <xf numFmtId="169" fontId="25" fillId="7" borderId="0" xfId="0" applyNumberFormat="1" applyFont="1" applyFill="1" applyAlignment="1" applyProtection="1">
      <alignment horizontal="left" vertical="center"/>
    </xf>
    <xf numFmtId="167" fontId="51" fillId="0" borderId="0" xfId="0" applyNumberFormat="1" applyFont="1" applyFill="1" applyBorder="1" applyAlignment="1" applyProtection="1">
      <alignment horizontal="center" vertical="top"/>
    </xf>
    <xf numFmtId="168" fontId="25" fillId="0" borderId="0" xfId="0" applyNumberFormat="1" applyFont="1" applyFill="1" applyAlignment="1" applyProtection="1">
      <alignment vertical="center"/>
    </xf>
    <xf numFmtId="2" fontId="29" fillId="0" borderId="0" xfId="0" applyNumberFormat="1" applyFont="1" applyFill="1" applyBorder="1" applyAlignment="1" applyProtection="1">
      <alignment horizontal="center" vertical="center" wrapText="1"/>
    </xf>
    <xf numFmtId="0" fontId="29" fillId="0" borderId="0" xfId="0" applyFont="1" applyFill="1" applyAlignment="1" applyProtection="1">
      <alignment horizontal="left" vertical="center" indent="2"/>
    </xf>
    <xf numFmtId="0" fontId="31" fillId="0" borderId="0" xfId="0" applyFont="1" applyFill="1" applyAlignment="1" applyProtection="1">
      <alignment horizontal="left" vertical="center"/>
      <protection locked="0"/>
    </xf>
    <xf numFmtId="0" fontId="29" fillId="0" borderId="0" xfId="0" applyFont="1" applyFill="1" applyAlignment="1" applyProtection="1">
      <alignment horizontal="center" vertical="center"/>
    </xf>
    <xf numFmtId="0" fontId="25" fillId="0" borderId="0" xfId="0" applyFont="1" applyFill="1" applyAlignment="1" applyProtection="1">
      <alignment horizontal="left" vertical="center" indent="6"/>
    </xf>
    <xf numFmtId="0" fontId="31" fillId="0" borderId="0" xfId="0" applyFont="1" applyFill="1" applyAlignment="1" applyProtection="1">
      <alignment horizontal="left" vertical="center" wrapText="1"/>
      <protection locked="0"/>
    </xf>
    <xf numFmtId="0" fontId="31" fillId="0" borderId="0" xfId="0" applyFont="1" applyFill="1" applyAlignment="1" applyProtection="1">
      <alignment horizontal="center" vertical="center" wrapText="1"/>
      <protection locked="0"/>
    </xf>
    <xf numFmtId="0" fontId="29" fillId="7" borderId="4" xfId="0" applyFont="1" applyFill="1" applyBorder="1" applyAlignment="1" applyProtection="1">
      <alignment horizontal="center" vertical="center"/>
    </xf>
    <xf numFmtId="0" fontId="52" fillId="7" borderId="4" xfId="0" applyFont="1" applyFill="1" applyBorder="1" applyAlignment="1" applyProtection="1">
      <alignment horizontal="center" vertical="center"/>
    </xf>
    <xf numFmtId="0" fontId="17" fillId="4" borderId="0" xfId="0" applyFont="1" applyFill="1" applyAlignment="1" applyProtection="1">
      <alignment horizontal="left" vertical="center"/>
    </xf>
    <xf numFmtId="0" fontId="47" fillId="4" borderId="0" xfId="0" applyFont="1" applyFill="1" applyAlignment="1" applyProtection="1">
      <alignment horizontal="center" vertical="center"/>
    </xf>
    <xf numFmtId="167" fontId="47" fillId="4" borderId="0" xfId="0" applyNumberFormat="1" applyFont="1" applyFill="1" applyAlignment="1" applyProtection="1">
      <alignment horizontal="center" vertical="center"/>
    </xf>
    <xf numFmtId="2" fontId="47" fillId="4" borderId="0" xfId="0" applyNumberFormat="1" applyFont="1" applyFill="1" applyAlignment="1" applyProtection="1">
      <alignment vertical="center"/>
    </xf>
    <xf numFmtId="2" fontId="17" fillId="6" borderId="0" xfId="0" applyNumberFormat="1" applyFont="1" applyFill="1" applyBorder="1" applyAlignment="1" applyProtection="1">
      <alignment horizontal="center" vertical="center" wrapText="1"/>
    </xf>
    <xf numFmtId="167" fontId="17" fillId="6" borderId="0" xfId="0" applyNumberFormat="1" applyFont="1" applyFill="1" applyBorder="1" applyAlignment="1" applyProtection="1">
      <alignment horizontal="center" vertical="center"/>
    </xf>
    <xf numFmtId="2" fontId="17" fillId="6" borderId="0" xfId="0" applyNumberFormat="1" applyFont="1" applyFill="1" applyBorder="1" applyAlignment="1" applyProtection="1">
      <alignment horizontal="center" vertical="center"/>
    </xf>
    <xf numFmtId="167" fontId="25" fillId="7" borderId="0" xfId="0" applyNumberFormat="1" applyFont="1" applyFill="1" applyBorder="1" applyAlignment="1" applyProtection="1">
      <alignment horizontal="center" vertical="center"/>
    </xf>
    <xf numFmtId="167" fontId="29" fillId="0" borderId="0" xfId="0" applyNumberFormat="1" applyFont="1" applyFill="1" applyAlignment="1" applyProtection="1">
      <alignment horizontal="left" vertical="center"/>
    </xf>
    <xf numFmtId="0" fontId="25" fillId="0" borderId="0" xfId="0" applyFont="1" applyFill="1" applyAlignment="1" applyProtection="1">
      <alignment horizontal="left" vertical="center"/>
    </xf>
    <xf numFmtId="167" fontId="34" fillId="0" borderId="0" xfId="0" applyNumberFormat="1" applyFont="1" applyFill="1" applyAlignment="1" applyProtection="1">
      <alignment vertical="center"/>
    </xf>
    <xf numFmtId="167" fontId="25" fillId="0" borderId="0" xfId="0" applyNumberFormat="1" applyFont="1" applyFill="1" applyBorder="1" applyAlignment="1" applyProtection="1">
      <alignment horizontal="center" vertical="center"/>
    </xf>
    <xf numFmtId="0" fontId="25" fillId="13" borderId="0" xfId="0" applyFont="1" applyFill="1" applyAlignment="1" applyProtection="1">
      <alignment vertical="center"/>
    </xf>
    <xf numFmtId="0" fontId="29" fillId="13" borderId="0" xfId="0" applyFont="1" applyFill="1" applyAlignment="1" applyProtection="1">
      <alignment horizontal="center" vertical="center"/>
    </xf>
    <xf numFmtId="0" fontId="25" fillId="7" borderId="26" xfId="0" applyFont="1" applyFill="1" applyBorder="1" applyAlignment="1" applyProtection="1">
      <alignment vertical="center"/>
    </xf>
    <xf numFmtId="167" fontId="29" fillId="7" borderId="0" xfId="0" applyNumberFormat="1" applyFont="1" applyFill="1" applyBorder="1" applyAlignment="1" applyProtection="1">
      <alignment vertical="center"/>
    </xf>
    <xf numFmtId="0" fontId="25" fillId="7" borderId="19" xfId="0" applyFont="1" applyFill="1" applyBorder="1" applyAlignment="1" applyProtection="1">
      <alignment vertical="center"/>
    </xf>
    <xf numFmtId="0" fontId="25" fillId="7" borderId="0" xfId="0" applyFont="1" applyFill="1" applyBorder="1" applyAlignment="1" applyProtection="1">
      <alignment horizontal="left" vertical="center"/>
    </xf>
    <xf numFmtId="167" fontId="34" fillId="7" borderId="0" xfId="0" applyNumberFormat="1" applyFont="1" applyFill="1" applyBorder="1" applyAlignment="1" applyProtection="1">
      <alignment vertical="center"/>
    </xf>
    <xf numFmtId="0" fontId="46" fillId="7" borderId="2" xfId="0" applyFont="1" applyFill="1" applyBorder="1" applyAlignment="1" applyProtection="1">
      <alignment horizontal="center" vertical="center"/>
    </xf>
    <xf numFmtId="167" fontId="25" fillId="7" borderId="28" xfId="0" applyNumberFormat="1" applyFont="1" applyFill="1" applyBorder="1" applyAlignment="1" applyProtection="1">
      <alignment horizontal="center" vertical="center"/>
    </xf>
    <xf numFmtId="0" fontId="25" fillId="7" borderId="29" xfId="0" applyFont="1" applyFill="1" applyBorder="1" applyAlignment="1" applyProtection="1">
      <alignment vertical="center"/>
    </xf>
    <xf numFmtId="169" fontId="25" fillId="7" borderId="28" xfId="0" applyNumberFormat="1" applyFont="1" applyFill="1" applyBorder="1" applyAlignment="1" applyProtection="1">
      <alignment horizontal="left" vertical="center"/>
    </xf>
    <xf numFmtId="167" fontId="34" fillId="7" borderId="28" xfId="0" applyNumberFormat="1" applyFont="1" applyFill="1" applyBorder="1" applyAlignment="1" applyProtection="1">
      <alignment vertical="center"/>
    </xf>
    <xf numFmtId="0" fontId="34" fillId="7" borderId="28" xfId="0" applyFont="1" applyFill="1" applyBorder="1" applyAlignment="1" applyProtection="1">
      <alignment vertical="center"/>
    </xf>
    <xf numFmtId="0" fontId="25" fillId="12" borderId="7" xfId="0" applyFont="1" applyFill="1" applyBorder="1" applyAlignment="1" applyProtection="1">
      <alignment vertical="center"/>
    </xf>
    <xf numFmtId="0" fontId="25" fillId="12" borderId="25" xfId="0" applyFont="1" applyFill="1" applyBorder="1" applyAlignment="1" applyProtection="1">
      <alignment vertical="center"/>
    </xf>
    <xf numFmtId="167" fontId="25" fillId="12" borderId="25" xfId="0" applyNumberFormat="1" applyFont="1" applyFill="1" applyBorder="1" applyAlignment="1" applyProtection="1">
      <alignment vertical="center"/>
    </xf>
    <xf numFmtId="0" fontId="25" fillId="6" borderId="0" xfId="0" applyFont="1" applyFill="1" applyBorder="1" applyAlignment="1" applyProtection="1">
      <alignment vertical="center"/>
    </xf>
    <xf numFmtId="0" fontId="17" fillId="6" borderId="8" xfId="0" applyFont="1" applyFill="1" applyBorder="1" applyAlignment="1" applyProtection="1">
      <alignment horizontal="left" vertical="center"/>
    </xf>
    <xf numFmtId="0" fontId="8" fillId="0" borderId="21" xfId="3" applyFont="1" applyBorder="1" applyAlignment="1">
      <alignment horizontal="left"/>
    </xf>
    <xf numFmtId="0" fontId="29" fillId="0" borderId="0" xfId="0" applyFont="1" applyFill="1" applyBorder="1" applyAlignment="1">
      <alignment horizontal="left" vertical="top" wrapText="1"/>
    </xf>
    <xf numFmtId="167" fontId="25" fillId="7" borderId="3" xfId="0" applyNumberFormat="1" applyFont="1" applyFill="1" applyBorder="1" applyAlignment="1" applyProtection="1">
      <alignment horizontal="center" vertical="center"/>
    </xf>
    <xf numFmtId="167" fontId="25" fillId="7" borderId="30" xfId="0" applyNumberFormat="1" applyFont="1" applyFill="1" applyBorder="1" applyAlignment="1" applyProtection="1">
      <alignment horizontal="center" vertical="center"/>
    </xf>
    <xf numFmtId="164" fontId="29" fillId="7" borderId="2" xfId="0" applyNumberFormat="1" applyFont="1" applyFill="1" applyBorder="1" applyAlignment="1" applyProtection="1">
      <alignment horizontal="center" vertical="center" wrapText="1"/>
    </xf>
    <xf numFmtId="164" fontId="29" fillId="7" borderId="2" xfId="0" applyNumberFormat="1" applyFont="1" applyFill="1" applyBorder="1" applyAlignment="1" applyProtection="1">
      <alignment horizontal="center" vertical="center"/>
    </xf>
    <xf numFmtId="164" fontId="29" fillId="7" borderId="0" xfId="0" applyNumberFormat="1" applyFont="1" applyFill="1" applyBorder="1" applyAlignment="1" applyProtection="1">
      <alignment horizontal="center" vertical="center"/>
    </xf>
    <xf numFmtId="0" fontId="46" fillId="7" borderId="0" xfId="0" applyFont="1" applyFill="1" applyAlignment="1" applyProtection="1">
      <alignment vertical="center"/>
    </xf>
    <xf numFmtId="0" fontId="45" fillId="7" borderId="0" xfId="0" applyFont="1" applyFill="1" applyAlignment="1" applyProtection="1">
      <alignment vertical="center"/>
    </xf>
    <xf numFmtId="164" fontId="46" fillId="7" borderId="0" xfId="0" applyNumberFormat="1" applyFont="1" applyFill="1" applyBorder="1" applyAlignment="1" applyProtection="1">
      <alignment horizontal="center" vertical="center"/>
    </xf>
    <xf numFmtId="0" fontId="57" fillId="7" borderId="2" xfId="0" applyFont="1" applyFill="1" applyBorder="1" applyAlignment="1" applyProtection="1">
      <alignment horizontal="center" vertical="center"/>
    </xf>
    <xf numFmtId="0" fontId="58" fillId="7" borderId="2" xfId="0" applyFont="1" applyFill="1" applyBorder="1" applyAlignment="1" applyProtection="1">
      <alignment horizontal="center" vertical="center"/>
    </xf>
    <xf numFmtId="0" fontId="59" fillId="7" borderId="2" xfId="0" applyFont="1" applyFill="1" applyBorder="1" applyAlignment="1" applyProtection="1">
      <alignment horizontal="center" vertical="center"/>
    </xf>
    <xf numFmtId="0" fontId="58" fillId="7" borderId="2" xfId="0" applyFont="1" applyFill="1" applyBorder="1" applyAlignment="1">
      <alignment horizontal="center" vertical="center"/>
    </xf>
    <xf numFmtId="0" fontId="57" fillId="7" borderId="2" xfId="0" applyFont="1" applyFill="1" applyBorder="1" applyAlignment="1">
      <alignment horizontal="center" vertical="center"/>
    </xf>
    <xf numFmtId="0" fontId="59" fillId="7" borderId="2" xfId="0" applyFont="1" applyFill="1" applyBorder="1" applyAlignment="1">
      <alignment horizontal="center" vertical="center"/>
    </xf>
    <xf numFmtId="0" fontId="29" fillId="13" borderId="0" xfId="0" applyFont="1" applyFill="1" applyAlignment="1" applyProtection="1">
      <alignment vertical="center"/>
    </xf>
    <xf numFmtId="164" fontId="29" fillId="13" borderId="0" xfId="0" applyNumberFormat="1" applyFont="1" applyFill="1" applyAlignment="1" applyProtection="1">
      <alignment horizontal="center" vertical="center"/>
    </xf>
    <xf numFmtId="0" fontId="34" fillId="13" borderId="0" xfId="0" applyFont="1" applyFill="1" applyAlignment="1" applyProtection="1">
      <alignment vertical="center"/>
    </xf>
    <xf numFmtId="0" fontId="17" fillId="4" borderId="31" xfId="0" applyFont="1" applyFill="1" applyBorder="1" applyAlignment="1" applyProtection="1">
      <alignment vertical="center"/>
    </xf>
    <xf numFmtId="0" fontId="17" fillId="4" borderId="32" xfId="0" applyFont="1" applyFill="1" applyBorder="1" applyAlignment="1" applyProtection="1">
      <alignment vertical="center"/>
    </xf>
    <xf numFmtId="0" fontId="25" fillId="4" borderId="32" xfId="0" applyFont="1" applyFill="1" applyBorder="1" applyAlignment="1" applyProtection="1">
      <alignment vertical="center"/>
    </xf>
    <xf numFmtId="167" fontId="25" fillId="4" borderId="32" xfId="0" applyNumberFormat="1" applyFont="1" applyFill="1" applyBorder="1" applyAlignment="1" applyProtection="1">
      <alignment vertical="center"/>
    </xf>
    <xf numFmtId="0" fontId="25" fillId="4" borderId="33" xfId="0" applyFont="1" applyFill="1" applyBorder="1" applyAlignment="1" applyProtection="1">
      <alignment vertical="center"/>
    </xf>
    <xf numFmtId="0" fontId="47" fillId="0" borderId="0" xfId="0" applyFont="1" applyFill="1" applyBorder="1" applyAlignment="1" applyProtection="1">
      <alignment horizontal="left" vertical="center"/>
    </xf>
    <xf numFmtId="167" fontId="47" fillId="0" borderId="0" xfId="0" applyNumberFormat="1" applyFont="1" applyFill="1" applyBorder="1" applyAlignment="1" applyProtection="1">
      <alignment vertical="center"/>
    </xf>
    <xf numFmtId="0" fontId="47" fillId="0" borderId="0" xfId="0" applyFont="1" applyFill="1" applyBorder="1" applyAlignment="1" applyProtection="1">
      <alignment vertical="center"/>
    </xf>
    <xf numFmtId="167" fontId="34" fillId="0" borderId="0" xfId="0" applyNumberFormat="1" applyFont="1" applyFill="1" applyBorder="1" applyAlignment="1" applyProtection="1">
      <alignment vertical="center"/>
    </xf>
    <xf numFmtId="0" fontId="34" fillId="0" borderId="0" xfId="0" applyFont="1" applyFill="1" applyBorder="1" applyAlignment="1" applyProtection="1">
      <alignment vertical="center"/>
    </xf>
    <xf numFmtId="169" fontId="25" fillId="0" borderId="0" xfId="0" applyNumberFormat="1" applyFont="1" applyFill="1" applyBorder="1" applyAlignment="1" applyProtection="1">
      <alignment horizontal="left" vertical="center"/>
    </xf>
    <xf numFmtId="0" fontId="46" fillId="7" borderId="3" xfId="0" applyFont="1" applyFill="1" applyBorder="1" applyAlignment="1" applyProtection="1">
      <alignment horizontal="center" vertical="center"/>
    </xf>
    <xf numFmtId="0" fontId="28" fillId="0" borderId="25" xfId="0" applyFont="1" applyFill="1" applyBorder="1" applyAlignment="1" applyProtection="1">
      <alignment vertical="center" wrapText="1"/>
    </xf>
    <xf numFmtId="0" fontId="17" fillId="0" borderId="25" xfId="0" applyFont="1" applyFill="1" applyBorder="1" applyAlignment="1" applyProtection="1">
      <alignment horizontal="left" vertical="center" indent="2"/>
    </xf>
    <xf numFmtId="0" fontId="47" fillId="0" borderId="25" xfId="0" applyFont="1" applyFill="1" applyBorder="1" applyAlignment="1" applyProtection="1">
      <alignment horizontal="left" vertical="center"/>
    </xf>
    <xf numFmtId="167" fontId="47" fillId="0" borderId="25" xfId="0" applyNumberFormat="1" applyFont="1" applyFill="1" applyBorder="1" applyAlignment="1" applyProtection="1">
      <alignment vertical="center"/>
    </xf>
    <xf numFmtId="0" fontId="47" fillId="0" borderId="25" xfId="0" applyFont="1" applyFill="1" applyBorder="1" applyAlignment="1" applyProtection="1">
      <alignment vertical="center"/>
    </xf>
    <xf numFmtId="167" fontId="25" fillId="0" borderId="25" xfId="0" applyNumberFormat="1" applyFont="1" applyFill="1" applyBorder="1" applyAlignment="1" applyProtection="1">
      <alignment horizontal="center" vertical="center"/>
    </xf>
    <xf numFmtId="0" fontId="25" fillId="0" borderId="25" xfId="0" applyFont="1" applyFill="1" applyBorder="1" applyAlignment="1" applyProtection="1">
      <alignment vertical="center"/>
    </xf>
    <xf numFmtId="0" fontId="28" fillId="0" borderId="0" xfId="0" applyFont="1" applyFill="1" applyBorder="1" applyAlignment="1" applyProtection="1">
      <alignment vertical="center" wrapText="1"/>
    </xf>
    <xf numFmtId="0" fontId="33" fillId="0" borderId="0" xfId="0" applyFont="1" applyFill="1" applyBorder="1" applyAlignment="1" applyProtection="1">
      <alignment horizontal="left" vertical="center"/>
    </xf>
    <xf numFmtId="0" fontId="33" fillId="0" borderId="25" xfId="0" applyFont="1" applyFill="1" applyBorder="1" applyAlignment="1" applyProtection="1">
      <alignment horizontal="left" vertical="center"/>
    </xf>
    <xf numFmtId="169" fontId="25" fillId="0" borderId="25" xfId="0" applyNumberFormat="1" applyFont="1" applyFill="1" applyBorder="1" applyAlignment="1" applyProtection="1">
      <alignment horizontal="left" vertical="center"/>
    </xf>
    <xf numFmtId="167" fontId="34" fillId="0" borderId="25" xfId="0" applyNumberFormat="1" applyFont="1" applyFill="1" applyBorder="1" applyAlignment="1" applyProtection="1">
      <alignment vertical="center"/>
    </xf>
    <xf numFmtId="0" fontId="34" fillId="0" borderId="25" xfId="0" applyFont="1" applyFill="1" applyBorder="1" applyAlignment="1" applyProtection="1">
      <alignment vertical="center"/>
    </xf>
    <xf numFmtId="0" fontId="17" fillId="0" borderId="0" xfId="0" applyFont="1" applyFill="1" applyBorder="1" applyAlignment="1" applyProtection="1">
      <alignment horizontal="left" vertical="center" indent="2"/>
    </xf>
    <xf numFmtId="169" fontId="25" fillId="7" borderId="23" xfId="0" applyNumberFormat="1" applyFont="1" applyFill="1" applyBorder="1" applyAlignment="1" applyProtection="1">
      <alignment horizontal="left" vertical="center"/>
    </xf>
    <xf numFmtId="167" fontId="34" fillId="7" borderId="23" xfId="0" applyNumberFormat="1" applyFont="1" applyFill="1" applyBorder="1" applyAlignment="1" applyProtection="1">
      <alignment vertical="center"/>
    </xf>
    <xf numFmtId="0" fontId="34" fillId="7" borderId="23" xfId="0" applyFont="1" applyFill="1" applyBorder="1" applyAlignment="1" applyProtection="1">
      <alignment vertical="center"/>
    </xf>
    <xf numFmtId="167" fontId="25" fillId="7" borderId="23" xfId="0" applyNumberFormat="1" applyFont="1" applyFill="1" applyBorder="1" applyAlignment="1" applyProtection="1">
      <alignment horizontal="center" vertical="center"/>
    </xf>
    <xf numFmtId="167" fontId="29" fillId="13" borderId="18" xfId="0" applyNumberFormat="1" applyFont="1" applyFill="1" applyBorder="1" applyAlignment="1" applyProtection="1">
      <alignment vertical="center"/>
    </xf>
    <xf numFmtId="0" fontId="29" fillId="13" borderId="18" xfId="0" applyFont="1" applyFill="1" applyBorder="1" applyAlignment="1" applyProtection="1">
      <alignment horizontal="center" vertical="center"/>
    </xf>
    <xf numFmtId="164" fontId="29" fillId="13" borderId="18" xfId="0" applyNumberFormat="1" applyFont="1" applyFill="1" applyBorder="1" applyAlignment="1" applyProtection="1">
      <alignment horizontal="center" vertical="center" wrapText="1"/>
    </xf>
    <xf numFmtId="0" fontId="25" fillId="13" borderId="18" xfId="0" applyFont="1" applyFill="1" applyBorder="1" applyAlignment="1" applyProtection="1">
      <alignment vertical="center"/>
    </xf>
    <xf numFmtId="167" fontId="25" fillId="7" borderId="37" xfId="0" applyNumberFormat="1" applyFont="1" applyFill="1" applyBorder="1" applyAlignment="1" applyProtection="1">
      <alignment horizontal="center" vertical="center"/>
    </xf>
    <xf numFmtId="0" fontId="17" fillId="6" borderId="16" xfId="0" applyFont="1" applyFill="1" applyBorder="1" applyAlignment="1">
      <alignment horizontal="left" vertical="top"/>
    </xf>
    <xf numFmtId="0" fontId="17" fillId="6" borderId="38" xfId="0" applyFont="1" applyFill="1" applyBorder="1" applyAlignment="1">
      <alignment horizontal="left" vertical="top"/>
    </xf>
    <xf numFmtId="169" fontId="47" fillId="6" borderId="18" xfId="0" applyNumberFormat="1" applyFont="1" applyFill="1" applyBorder="1" applyAlignment="1" applyProtection="1">
      <alignment horizontal="left" vertical="center"/>
    </xf>
    <xf numFmtId="167" fontId="47" fillId="6" borderId="18" xfId="0" applyNumberFormat="1" applyFont="1" applyFill="1" applyBorder="1" applyAlignment="1" applyProtection="1">
      <alignment vertical="center"/>
    </xf>
    <xf numFmtId="0" fontId="47" fillId="6" borderId="18" xfId="0" applyFont="1" applyFill="1" applyBorder="1" applyAlignment="1" applyProtection="1">
      <alignment vertical="center"/>
    </xf>
    <xf numFmtId="167" fontId="47" fillId="6" borderId="18" xfId="0" applyNumberFormat="1" applyFont="1" applyFill="1" applyBorder="1" applyAlignment="1" applyProtection="1">
      <alignment horizontal="center" vertical="center"/>
    </xf>
    <xf numFmtId="0" fontId="47" fillId="4" borderId="2" xfId="0" applyFont="1" applyFill="1" applyBorder="1" applyAlignment="1" applyProtection="1">
      <alignment horizontal="left" vertical="center"/>
    </xf>
    <xf numFmtId="0" fontId="47" fillId="4" borderId="18" xfId="0" applyFont="1" applyFill="1" applyBorder="1" applyAlignment="1" applyProtection="1">
      <alignment horizontal="left" vertical="center"/>
    </xf>
    <xf numFmtId="167" fontId="47" fillId="4" borderId="18" xfId="0" applyNumberFormat="1" applyFont="1" applyFill="1" applyBorder="1" applyAlignment="1" applyProtection="1">
      <alignment vertical="center"/>
    </xf>
    <xf numFmtId="0" fontId="47" fillId="4" borderId="17" xfId="0" applyFont="1" applyFill="1" applyBorder="1" applyAlignment="1" applyProtection="1">
      <alignment vertical="center"/>
    </xf>
    <xf numFmtId="167" fontId="47" fillId="4" borderId="16" xfId="0" applyNumberFormat="1" applyFont="1" applyFill="1" applyBorder="1" applyAlignment="1" applyProtection="1">
      <alignment vertical="center"/>
    </xf>
    <xf numFmtId="0" fontId="25" fillId="7" borderId="23" xfId="0" applyFont="1" applyFill="1" applyBorder="1" applyAlignment="1" applyProtection="1">
      <alignment vertical="center"/>
    </xf>
    <xf numFmtId="0" fontId="25" fillId="7" borderId="20" xfId="0" applyFont="1" applyFill="1" applyBorder="1" applyAlignment="1" applyProtection="1">
      <alignment vertical="center"/>
    </xf>
    <xf numFmtId="0" fontId="26" fillId="7" borderId="0" xfId="0" applyFont="1" applyFill="1" applyBorder="1" applyAlignment="1" applyProtection="1">
      <alignment horizontal="left" vertical="center"/>
    </xf>
    <xf numFmtId="0" fontId="60" fillId="4" borderId="0" xfId="0" applyFont="1" applyFill="1" applyBorder="1" applyAlignment="1">
      <alignment horizontal="center" vertical="center" wrapText="1"/>
    </xf>
    <xf numFmtId="0" fontId="50" fillId="7" borderId="0" xfId="0" applyFont="1" applyFill="1" applyAlignment="1" applyProtection="1">
      <alignment vertical="center"/>
    </xf>
    <xf numFmtId="167" fontId="29" fillId="7" borderId="30" xfId="0" applyNumberFormat="1" applyFont="1" applyFill="1" applyBorder="1" applyAlignment="1" applyProtection="1">
      <alignment horizontal="center" vertical="center"/>
    </xf>
    <xf numFmtId="0" fontId="26" fillId="7" borderId="0" xfId="0" applyFont="1" applyFill="1" applyAlignment="1" applyProtection="1">
      <alignment horizontal="left" vertical="center"/>
    </xf>
    <xf numFmtId="0" fontId="29" fillId="14" borderId="0" xfId="0" applyFont="1" applyFill="1" applyAlignment="1" applyProtection="1">
      <alignment vertical="center"/>
    </xf>
    <xf numFmtId="0" fontId="34" fillId="14" borderId="0" xfId="0" applyFont="1" applyFill="1" applyAlignment="1" applyProtection="1">
      <alignment vertical="center"/>
    </xf>
    <xf numFmtId="0" fontId="29" fillId="14" borderId="0" xfId="0" applyFont="1" applyFill="1" applyAlignment="1" applyProtection="1">
      <alignment horizontal="center" vertical="center"/>
    </xf>
    <xf numFmtId="164" fontId="29" fillId="14" borderId="0" xfId="0" applyNumberFormat="1" applyFont="1" applyFill="1" applyAlignment="1" applyProtection="1">
      <alignment horizontal="center" vertical="center"/>
    </xf>
    <xf numFmtId="0" fontId="60" fillId="4" borderId="0" xfId="0" applyFont="1" applyFill="1" applyBorder="1" applyAlignment="1">
      <alignment horizontal="center" vertical="center"/>
    </xf>
    <xf numFmtId="0" fontId="60" fillId="4" borderId="0" xfId="0" applyFont="1" applyFill="1" applyBorder="1" applyAlignment="1" applyProtection="1">
      <alignment horizontal="center" vertical="center"/>
    </xf>
    <xf numFmtId="0" fontId="53" fillId="7" borderId="34" xfId="0" applyFont="1" applyFill="1" applyBorder="1"/>
    <xf numFmtId="0" fontId="53" fillId="7" borderId="10" xfId="0" applyFont="1" applyFill="1" applyBorder="1"/>
    <xf numFmtId="0" fontId="41" fillId="7" borderId="10" xfId="0" applyFont="1" applyFill="1" applyBorder="1"/>
    <xf numFmtId="0" fontId="0" fillId="7" borderId="10" xfId="0" applyFill="1" applyBorder="1"/>
    <xf numFmtId="0" fontId="0" fillId="7" borderId="35" xfId="0" applyFill="1" applyBorder="1"/>
    <xf numFmtId="0" fontId="41" fillId="7" borderId="9" xfId="0" applyFont="1" applyFill="1" applyBorder="1"/>
    <xf numFmtId="0" fontId="41" fillId="7" borderId="23" xfId="0" applyFont="1" applyFill="1" applyBorder="1"/>
    <xf numFmtId="0" fontId="0" fillId="7" borderId="23" xfId="0" applyFill="1" applyBorder="1"/>
    <xf numFmtId="0" fontId="0" fillId="7" borderId="20" xfId="0" applyFill="1" applyBorder="1"/>
    <xf numFmtId="0" fontId="25" fillId="7" borderId="8" xfId="0" applyFont="1" applyFill="1" applyBorder="1" applyAlignment="1">
      <alignment horizontal="left" vertical="top" wrapText="1" indent="1"/>
    </xf>
    <xf numFmtId="0" fontId="25" fillId="7" borderId="0" xfId="0" applyFont="1" applyFill="1" applyBorder="1" applyAlignment="1">
      <alignment horizontal="left" vertical="top" wrapText="1" indent="1"/>
    </xf>
    <xf numFmtId="0" fontId="25" fillId="7" borderId="19" xfId="0" applyFont="1" applyFill="1" applyBorder="1" applyAlignment="1">
      <alignment horizontal="left" vertical="top" wrapText="1" indent="1"/>
    </xf>
    <xf numFmtId="168" fontId="29" fillId="7" borderId="0" xfId="0" applyNumberFormat="1" applyFont="1" applyFill="1" applyAlignment="1" applyProtection="1">
      <alignment horizontal="center" vertical="center" wrapText="1"/>
    </xf>
    <xf numFmtId="168" fontId="25" fillId="12" borderId="0" xfId="0" applyNumberFormat="1" applyFont="1" applyFill="1" applyAlignment="1" applyProtection="1">
      <alignment horizontal="center" vertical="top"/>
    </xf>
    <xf numFmtId="0" fontId="25" fillId="12" borderId="0" xfId="0" applyFont="1" applyFill="1" applyAlignment="1" applyProtection="1">
      <alignment horizontal="center" vertical="top"/>
    </xf>
    <xf numFmtId="168" fontId="29" fillId="0" borderId="0" xfId="0" applyNumberFormat="1" applyFont="1" applyFill="1" applyBorder="1" applyAlignment="1" applyProtection="1">
      <alignment horizontal="center" vertical="top"/>
    </xf>
    <xf numFmtId="0" fontId="29" fillId="0" borderId="0" xfId="0" applyFont="1" applyFill="1" applyBorder="1" applyAlignment="1" applyProtection="1">
      <alignment horizontal="center" vertical="top" wrapText="1"/>
    </xf>
    <xf numFmtId="168" fontId="17" fillId="4" borderId="2" xfId="0" applyNumberFormat="1" applyFont="1" applyFill="1" applyBorder="1" applyAlignment="1" applyProtection="1">
      <alignment horizontal="center" vertical="center"/>
    </xf>
    <xf numFmtId="168" fontId="25" fillId="0" borderId="0" xfId="0" applyNumberFormat="1" applyFont="1" applyFill="1" applyBorder="1" applyAlignment="1" applyProtection="1">
      <alignment horizontal="center" vertical="top" wrapText="1"/>
    </xf>
    <xf numFmtId="168" fontId="25" fillId="0" borderId="0" xfId="0" applyNumberFormat="1" applyFont="1" applyFill="1" applyAlignment="1" applyProtection="1">
      <alignment horizontal="center" vertical="top"/>
    </xf>
    <xf numFmtId="0" fontId="25" fillId="7" borderId="0" xfId="0" applyFont="1" applyFill="1" applyAlignment="1" applyProtection="1">
      <alignment horizontal="left" vertical="top" wrapText="1"/>
    </xf>
    <xf numFmtId="168" fontId="29" fillId="7" borderId="0" xfId="0" applyNumberFormat="1" applyFont="1" applyFill="1" applyAlignment="1" applyProtection="1">
      <alignment horizontal="center" vertical="top" wrapText="1"/>
    </xf>
    <xf numFmtId="168" fontId="29" fillId="7" borderId="0" xfId="0" applyNumberFormat="1" applyFont="1" applyFill="1" applyAlignment="1" applyProtection="1">
      <alignment horizontal="center" vertical="top"/>
    </xf>
    <xf numFmtId="0" fontId="25" fillId="7" borderId="0" xfId="0" applyFont="1" applyFill="1" applyAlignment="1" applyProtection="1">
      <alignment horizontal="left" vertical="top"/>
    </xf>
    <xf numFmtId="168" fontId="25" fillId="7" borderId="0" xfId="0" applyNumberFormat="1" applyFont="1" applyFill="1" applyAlignment="1" applyProtection="1">
      <alignment horizontal="center" vertical="top"/>
    </xf>
    <xf numFmtId="2" fontId="25" fillId="7" borderId="0" xfId="0" applyNumberFormat="1" applyFont="1" applyFill="1" applyAlignment="1" applyProtection="1">
      <alignment horizontal="left" vertical="top"/>
    </xf>
    <xf numFmtId="0" fontId="25" fillId="7" borderId="0" xfId="0" applyFont="1" applyFill="1" applyAlignment="1" applyProtection="1">
      <alignment horizontal="center" vertical="top"/>
    </xf>
    <xf numFmtId="0" fontId="25" fillId="7" borderId="0" xfId="0" applyFont="1" applyFill="1" applyAlignment="1" applyProtection="1">
      <alignment vertical="top"/>
    </xf>
    <xf numFmtId="0" fontId="25" fillId="0" borderId="0" xfId="0" applyFont="1" applyFill="1" applyAlignment="1" applyProtection="1">
      <alignment vertical="top"/>
    </xf>
    <xf numFmtId="0" fontId="17" fillId="4" borderId="0" xfId="0" applyFont="1" applyFill="1" applyBorder="1" applyAlignment="1" applyProtection="1">
      <alignment vertical="center" wrapText="1"/>
    </xf>
    <xf numFmtId="168" fontId="17" fillId="4" borderId="17" xfId="0" applyNumberFormat="1" applyFont="1" applyFill="1" applyBorder="1" applyAlignment="1" applyProtection="1">
      <alignment horizontal="center" vertical="center"/>
    </xf>
    <xf numFmtId="0" fontId="17" fillId="4" borderId="16" xfId="0" applyFont="1" applyFill="1" applyBorder="1" applyAlignment="1" applyProtection="1">
      <alignment horizontal="center" vertical="center" wrapText="1"/>
    </xf>
    <xf numFmtId="0" fontId="17" fillId="4" borderId="16" xfId="0" applyFont="1" applyFill="1" applyBorder="1" applyAlignment="1" applyProtection="1">
      <alignment horizontal="center" vertical="center"/>
    </xf>
    <xf numFmtId="0" fontId="25" fillId="0" borderId="0" xfId="0" applyFont="1" applyFill="1" applyBorder="1" applyAlignment="1" applyProtection="1">
      <alignment horizontal="center" vertical="top"/>
    </xf>
    <xf numFmtId="167" fontId="17" fillId="4" borderId="17" xfId="0" applyNumberFormat="1" applyFont="1" applyFill="1" applyBorder="1" applyAlignment="1" applyProtection="1">
      <alignment horizontal="center" vertical="center"/>
    </xf>
    <xf numFmtId="167" fontId="25" fillId="0" borderId="0" xfId="0" applyNumberFormat="1" applyFont="1" applyFill="1" applyAlignment="1" applyProtection="1">
      <alignment horizontal="center" vertical="top"/>
    </xf>
    <xf numFmtId="0" fontId="18" fillId="0" borderId="0" xfId="0" applyFont="1" applyFill="1" applyBorder="1" applyAlignment="1" applyProtection="1">
      <alignment vertical="center" wrapText="1"/>
    </xf>
    <xf numFmtId="0" fontId="29" fillId="7" borderId="0" xfId="0" applyFont="1" applyFill="1" applyAlignment="1" applyProtection="1">
      <alignment horizontal="left" vertical="top" wrapText="1"/>
    </xf>
    <xf numFmtId="0" fontId="25" fillId="0" borderId="0" xfId="0" applyFont="1" applyFill="1" applyBorder="1" applyAlignment="1" applyProtection="1">
      <alignment horizontal="left" vertical="center"/>
    </xf>
    <xf numFmtId="0" fontId="25" fillId="0" borderId="0" xfId="0" applyFont="1" applyBorder="1" applyAlignment="1" applyProtection="1">
      <alignment horizontal="left" vertical="center" wrapText="1"/>
    </xf>
    <xf numFmtId="0" fontId="31" fillId="0" borderId="0" xfId="0" applyFont="1" applyBorder="1" applyAlignment="1" applyProtection="1">
      <alignment vertical="center"/>
    </xf>
    <xf numFmtId="0" fontId="31" fillId="0" borderId="0" xfId="0" applyFont="1" applyAlignment="1" applyProtection="1">
      <alignment horizontal="left" vertical="center" wrapText="1"/>
    </xf>
    <xf numFmtId="0" fontId="29" fillId="0" borderId="0" xfId="0" applyFont="1" applyAlignment="1" applyProtection="1">
      <alignment vertical="center"/>
    </xf>
    <xf numFmtId="0" fontId="29" fillId="0" borderId="0" xfId="0" applyFont="1" applyAlignment="1" applyProtection="1">
      <alignment horizontal="center" vertical="center"/>
    </xf>
    <xf numFmtId="0" fontId="25" fillId="0" borderId="0" xfId="0" applyFont="1" applyBorder="1" applyAlignment="1" applyProtection="1">
      <alignment horizontal="left" vertical="center"/>
    </xf>
    <xf numFmtId="0" fontId="31" fillId="0" borderId="0" xfId="0" applyFont="1" applyFill="1" applyAlignment="1" applyProtection="1">
      <alignment horizontal="left" vertical="center" wrapText="1"/>
    </xf>
    <xf numFmtId="0" fontId="31" fillId="0" borderId="0" xfId="0" applyFont="1" applyFill="1" applyAlignment="1" applyProtection="1">
      <alignment horizontal="center" vertical="center" wrapText="1"/>
    </xf>
    <xf numFmtId="0" fontId="25" fillId="0" borderId="0" xfId="0" applyFont="1" applyFill="1" applyBorder="1" applyAlignment="1" applyProtection="1">
      <alignment horizontal="center" vertical="top"/>
      <protection locked="0"/>
    </xf>
    <xf numFmtId="0" fontId="29" fillId="7" borderId="0" xfId="0" applyFont="1" applyFill="1" applyAlignment="1">
      <alignment horizontal="center" vertical="top" wrapText="1"/>
    </xf>
    <xf numFmtId="0" fontId="31" fillId="7" borderId="0" xfId="0" applyFont="1" applyFill="1" applyAlignment="1">
      <alignment horizontal="center" vertical="top"/>
    </xf>
    <xf numFmtId="0" fontId="7" fillId="0" borderId="0" xfId="0" applyFont="1" applyFill="1" applyAlignment="1">
      <alignment horizontal="left" vertical="top" indent="6"/>
    </xf>
    <xf numFmtId="0" fontId="11" fillId="7" borderId="0" xfId="0" applyFont="1" applyFill="1" applyBorder="1" applyAlignment="1">
      <alignment horizontal="left" vertical="top" indent="6"/>
    </xf>
    <xf numFmtId="168" fontId="25" fillId="7" borderId="0" xfId="0" applyNumberFormat="1" applyFont="1" applyFill="1" applyBorder="1" applyAlignment="1" applyProtection="1">
      <alignment horizontal="center" vertical="top" wrapText="1"/>
    </xf>
    <xf numFmtId="0" fontId="25" fillId="7" borderId="0" xfId="0" applyFont="1" applyFill="1" applyBorder="1" applyAlignment="1" applyProtection="1">
      <alignment horizontal="center" vertical="center"/>
    </xf>
    <xf numFmtId="168" fontId="25" fillId="7" borderId="0" xfId="0" applyNumberFormat="1" applyFont="1" applyFill="1" applyBorder="1" applyAlignment="1" applyProtection="1">
      <alignment horizontal="center" vertical="top"/>
    </xf>
    <xf numFmtId="167" fontId="25" fillId="7" borderId="19" xfId="0" applyNumberFormat="1" applyFont="1" applyFill="1" applyBorder="1" applyAlignment="1">
      <alignment horizontal="center" vertical="top"/>
    </xf>
    <xf numFmtId="0" fontId="25" fillId="7" borderId="0" xfId="0" applyFont="1" applyFill="1" applyAlignment="1" applyProtection="1">
      <alignment horizontal="left" vertical="center" wrapText="1" indent="6"/>
    </xf>
    <xf numFmtId="0" fontId="46" fillId="7" borderId="0" xfId="0" applyFont="1" applyFill="1" applyAlignment="1" applyProtection="1">
      <alignment horizontal="left" vertical="center" wrapText="1" indent="2"/>
    </xf>
    <xf numFmtId="167" fontId="25" fillId="7" borderId="0" xfId="0" applyNumberFormat="1" applyFont="1" applyFill="1" applyAlignment="1" applyProtection="1">
      <alignment horizontal="center" vertical="center" wrapText="1"/>
    </xf>
    <xf numFmtId="0" fontId="25" fillId="7" borderId="0" xfId="0" applyFont="1" applyFill="1" applyAlignment="1" applyProtection="1">
      <alignment horizontal="center" vertical="center" wrapText="1"/>
      <protection locked="0"/>
    </xf>
    <xf numFmtId="0" fontId="46" fillId="7" borderId="0" xfId="0" applyFont="1" applyFill="1" applyAlignment="1" applyProtection="1">
      <alignment horizontal="left" vertical="top" wrapText="1" indent="6"/>
    </xf>
    <xf numFmtId="168" fontId="17" fillId="7" borderId="0" xfId="0" applyNumberFormat="1" applyFont="1" applyFill="1" applyBorder="1" applyAlignment="1" applyProtection="1">
      <alignment horizontal="center" vertical="center"/>
    </xf>
    <xf numFmtId="0" fontId="25" fillId="7" borderId="0" xfId="0" applyFont="1" applyFill="1" applyAlignment="1" applyProtection="1">
      <alignment horizontal="left" vertical="center" wrapText="1" indent="9"/>
    </xf>
    <xf numFmtId="0" fontId="25" fillId="7" borderId="0" xfId="0" applyFont="1" applyFill="1" applyBorder="1" applyAlignment="1" applyProtection="1">
      <alignment horizontal="left" vertical="center" wrapText="1"/>
      <protection locked="0"/>
    </xf>
    <xf numFmtId="0" fontId="25" fillId="7" borderId="0" xfId="0" applyFont="1" applyFill="1" applyAlignment="1" applyProtection="1">
      <alignment horizontal="center" vertical="center" wrapText="1"/>
    </xf>
    <xf numFmtId="0" fontId="26" fillId="7" borderId="0" xfId="0" applyFont="1" applyFill="1" applyAlignment="1" applyProtection="1">
      <alignment horizontal="left" vertical="center" wrapText="1" indent="4"/>
    </xf>
    <xf numFmtId="0" fontId="37" fillId="7" borderId="0" xfId="0" applyFont="1" applyFill="1" applyBorder="1" applyAlignment="1" applyProtection="1">
      <alignment vertical="center" wrapText="1"/>
    </xf>
    <xf numFmtId="0" fontId="25" fillId="7" borderId="0" xfId="0" applyFont="1" applyFill="1" applyBorder="1" applyAlignment="1" applyProtection="1">
      <alignment horizontal="center" vertical="center" wrapText="1"/>
    </xf>
    <xf numFmtId="0" fontId="25" fillId="7" borderId="0" xfId="0" applyFont="1" applyFill="1" applyAlignment="1" applyProtection="1">
      <alignment vertical="center" wrapText="1"/>
    </xf>
    <xf numFmtId="0" fontId="46" fillId="7" borderId="0" xfId="0" applyFont="1" applyFill="1" applyAlignment="1" applyProtection="1">
      <alignment horizontal="left" vertical="top" wrapText="1" indent="2"/>
    </xf>
    <xf numFmtId="0" fontId="25" fillId="7" borderId="0" xfId="0" applyFont="1" applyFill="1" applyBorder="1" applyAlignment="1" applyProtection="1">
      <alignment vertical="center" wrapText="1"/>
    </xf>
    <xf numFmtId="167" fontId="47" fillId="7" borderId="0" xfId="0" applyNumberFormat="1" applyFont="1" applyFill="1" applyAlignment="1">
      <alignment horizontal="center" vertical="top"/>
    </xf>
    <xf numFmtId="0" fontId="46" fillId="7" borderId="0" xfId="0" applyFont="1" applyFill="1" applyAlignment="1">
      <alignment horizontal="left" vertical="top" wrapText="1" indent="2"/>
    </xf>
    <xf numFmtId="0" fontId="7" fillId="7" borderId="0" xfId="0" applyFont="1" applyFill="1" applyBorder="1" applyAlignment="1">
      <alignment horizontal="left" vertical="top" indent="6"/>
    </xf>
    <xf numFmtId="0" fontId="25" fillId="7" borderId="0" xfId="0" applyFont="1" applyFill="1" applyAlignment="1" applyProtection="1">
      <alignment horizontal="center" vertical="top"/>
      <protection locked="0"/>
    </xf>
    <xf numFmtId="167" fontId="25" fillId="7" borderId="0" xfId="0" applyNumberFormat="1" applyFont="1" applyFill="1" applyAlignment="1">
      <alignment horizontal="center"/>
    </xf>
    <xf numFmtId="0" fontId="7" fillId="7" borderId="0" xfId="0" applyFont="1" applyFill="1" applyAlignment="1">
      <alignment horizontal="left" vertical="top" indent="6"/>
    </xf>
    <xf numFmtId="0" fontId="9" fillId="7" borderId="0" xfId="0" applyFont="1" applyFill="1" applyAlignment="1">
      <alignment horizontal="left" vertical="top" indent="6"/>
    </xf>
    <xf numFmtId="0" fontId="46" fillId="7" borderId="0" xfId="0" applyFont="1" applyFill="1" applyAlignment="1">
      <alignment horizontal="left" vertical="top" indent="2"/>
    </xf>
    <xf numFmtId="0" fontId="46" fillId="7" borderId="0" xfId="0" applyFont="1" applyFill="1" applyBorder="1" applyAlignment="1">
      <alignment horizontal="left" vertical="top" wrapText="1" indent="2"/>
    </xf>
    <xf numFmtId="0" fontId="25" fillId="7" borderId="0" xfId="0" applyFont="1" applyFill="1" applyAlignment="1" applyProtection="1">
      <alignment horizontal="center" vertical="center"/>
      <protection locked="0"/>
    </xf>
    <xf numFmtId="0" fontId="25" fillId="7" borderId="0" xfId="0" applyFont="1" applyFill="1" applyAlignment="1" applyProtection="1">
      <alignment horizontal="left" vertical="center"/>
      <protection locked="0"/>
    </xf>
    <xf numFmtId="0" fontId="25" fillId="7"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left" vertical="center" wrapText="1" indent="6"/>
    </xf>
    <xf numFmtId="0" fontId="25" fillId="7" borderId="0" xfId="0" applyFont="1" applyFill="1" applyBorder="1" applyAlignment="1" applyProtection="1">
      <alignment horizontal="left" vertical="center"/>
      <protection locked="0"/>
    </xf>
    <xf numFmtId="2" fontId="25" fillId="7" borderId="0" xfId="0" applyNumberFormat="1" applyFont="1" applyFill="1" applyAlignment="1" applyProtection="1">
      <alignment horizontal="center" vertical="center"/>
    </xf>
    <xf numFmtId="2" fontId="25" fillId="7" borderId="0" xfId="0" applyNumberFormat="1" applyFont="1" applyFill="1" applyAlignment="1" applyProtection="1">
      <alignment horizontal="center" vertical="center"/>
      <protection locked="0"/>
    </xf>
    <xf numFmtId="0" fontId="46" fillId="7" borderId="0" xfId="0" applyFont="1" applyFill="1" applyBorder="1" applyAlignment="1" applyProtection="1">
      <alignment horizontal="left" vertical="center" wrapText="1" indent="2"/>
    </xf>
    <xf numFmtId="0" fontId="26" fillId="7" borderId="0" xfId="0" applyFont="1" applyFill="1" applyBorder="1" applyAlignment="1" applyProtection="1">
      <alignment horizontal="left" vertical="center" wrapText="1" indent="4"/>
    </xf>
    <xf numFmtId="0" fontId="25" fillId="7" borderId="0" xfId="0" applyFont="1" applyFill="1" applyBorder="1" applyAlignment="1" applyProtection="1">
      <alignment vertical="center" wrapText="1"/>
      <protection locked="0"/>
    </xf>
    <xf numFmtId="0" fontId="18" fillId="7" borderId="0" xfId="0" applyFont="1" applyFill="1" applyBorder="1" applyAlignment="1" applyProtection="1">
      <alignment vertical="center" wrapText="1"/>
      <protection locked="0"/>
    </xf>
    <xf numFmtId="0" fontId="25" fillId="7" borderId="0" xfId="0" applyFont="1" applyFill="1" applyAlignment="1" applyProtection="1">
      <alignment horizontal="left" vertical="center" wrapText="1" indent="8"/>
    </xf>
    <xf numFmtId="0" fontId="18" fillId="7" borderId="0" xfId="0" applyFont="1" applyFill="1" applyBorder="1" applyAlignment="1" applyProtection="1">
      <alignment vertical="center" wrapText="1"/>
    </xf>
    <xf numFmtId="0" fontId="26" fillId="7" borderId="0" xfId="0" applyFont="1" applyFill="1" applyAlignment="1" applyProtection="1">
      <alignment horizontal="left" vertical="center" wrapText="1" indent="2"/>
    </xf>
    <xf numFmtId="168" fontId="25" fillId="7" borderId="0" xfId="0" applyNumberFormat="1" applyFont="1" applyFill="1" applyAlignment="1" applyProtection="1">
      <alignment vertical="center"/>
    </xf>
    <xf numFmtId="2" fontId="25" fillId="7" borderId="0" xfId="0" applyNumberFormat="1" applyFont="1" applyFill="1" applyBorder="1" applyAlignment="1" applyProtection="1">
      <alignment horizontal="center" vertical="center"/>
    </xf>
    <xf numFmtId="0" fontId="31" fillId="7" borderId="0" xfId="0" applyFont="1" applyFill="1" applyAlignment="1" applyProtection="1">
      <alignment horizontal="left" vertical="center"/>
      <protection locked="0"/>
    </xf>
    <xf numFmtId="0" fontId="32" fillId="7" borderId="0" xfId="0" applyFont="1" applyFill="1" applyAlignment="1" applyProtection="1">
      <alignment horizontal="left" vertical="center"/>
      <protection locked="0"/>
    </xf>
    <xf numFmtId="0" fontId="32" fillId="7" borderId="0" xfId="0" applyFont="1" applyFill="1" applyAlignment="1" applyProtection="1">
      <alignment horizontal="left" vertical="center"/>
    </xf>
    <xf numFmtId="0" fontId="31" fillId="7" borderId="0" xfId="0" applyFont="1" applyFill="1" applyAlignment="1" applyProtection="1">
      <alignment horizontal="left" vertical="center"/>
    </xf>
    <xf numFmtId="0" fontId="46" fillId="7" borderId="0" xfId="0" applyFont="1" applyFill="1" applyAlignment="1" applyProtection="1">
      <alignment horizontal="left" vertical="center" wrapText="1" indent="4"/>
    </xf>
    <xf numFmtId="0" fontId="31" fillId="7" borderId="0" xfId="0" applyFont="1" applyFill="1" applyBorder="1" applyAlignment="1" applyProtection="1">
      <alignment horizontal="left" vertical="center"/>
    </xf>
    <xf numFmtId="0" fontId="25" fillId="7" borderId="0" xfId="0" applyFont="1" applyFill="1" applyAlignment="1" applyProtection="1">
      <alignment horizontal="left" vertical="center" indent="6"/>
    </xf>
    <xf numFmtId="0" fontId="25" fillId="7" borderId="0" xfId="0" applyFont="1" applyFill="1" applyBorder="1" applyAlignment="1" applyProtection="1">
      <alignment vertical="center"/>
      <protection locked="0"/>
    </xf>
    <xf numFmtId="0" fontId="46" fillId="7" borderId="0" xfId="0" quotePrefix="1" applyFont="1" applyFill="1" applyAlignment="1" applyProtection="1">
      <alignment horizontal="left" vertical="center" wrapText="1" indent="5"/>
    </xf>
    <xf numFmtId="0" fontId="25" fillId="7" borderId="0" xfId="0" applyFont="1" applyFill="1" applyAlignment="1" applyProtection="1">
      <alignment horizontal="left" vertical="center" wrapText="1" indent="1"/>
    </xf>
    <xf numFmtId="0" fontId="25" fillId="7" borderId="0" xfId="0" applyFont="1" applyFill="1" applyBorder="1" applyAlignment="1" applyProtection="1">
      <alignment horizontal="center" vertical="center"/>
      <protection locked="0"/>
    </xf>
    <xf numFmtId="165" fontId="25" fillId="7" borderId="0" xfId="0" applyNumberFormat="1" applyFont="1" applyFill="1" applyBorder="1" applyAlignment="1" applyProtection="1">
      <alignment horizontal="center" vertical="center"/>
    </xf>
    <xf numFmtId="0" fontId="25" fillId="7" borderId="0" xfId="0" applyFont="1" applyFill="1" applyAlignment="1" applyProtection="1">
      <alignment horizontal="left" vertical="center" wrapText="1" indent="5"/>
    </xf>
    <xf numFmtId="0" fontId="46" fillId="7" borderId="0" xfId="0" quotePrefix="1" applyFont="1" applyFill="1" applyAlignment="1" applyProtection="1">
      <alignment horizontal="left" vertical="center" wrapText="1" indent="2"/>
    </xf>
    <xf numFmtId="0" fontId="26" fillId="7" borderId="0" xfId="0" applyFont="1" applyFill="1" applyAlignment="1" applyProtection="1">
      <alignment horizontal="left" vertical="center" wrapText="1" indent="3"/>
    </xf>
    <xf numFmtId="0" fontId="46" fillId="7" borderId="0" xfId="0" applyFont="1" applyFill="1" applyAlignment="1" applyProtection="1">
      <alignment horizontal="left" vertical="center" indent="2"/>
    </xf>
    <xf numFmtId="0" fontId="31" fillId="7" borderId="0" xfId="0" applyFont="1" applyFill="1" applyAlignment="1" applyProtection="1">
      <alignment horizontal="left" vertical="center" wrapText="1" indent="6"/>
    </xf>
    <xf numFmtId="2" fontId="25" fillId="7" borderId="0" xfId="0" applyNumberFormat="1" applyFont="1" applyFill="1" applyBorder="1" applyAlignment="1" applyProtection="1">
      <alignment horizontal="center" vertical="center"/>
      <protection locked="0"/>
    </xf>
    <xf numFmtId="168" fontId="25" fillId="7" borderId="0" xfId="0" applyNumberFormat="1" applyFont="1" applyFill="1" applyAlignment="1" applyProtection="1">
      <alignment horizontal="center" vertical="center" wrapText="1"/>
    </xf>
    <xf numFmtId="0" fontId="6" fillId="7" borderId="0" xfId="0" applyFont="1" applyFill="1" applyAlignment="1">
      <alignment horizontal="left" vertical="top" indent="6"/>
    </xf>
    <xf numFmtId="0" fontId="46" fillId="7" borderId="0" xfId="0" applyFont="1" applyFill="1" applyBorder="1" applyAlignment="1">
      <alignment horizontal="left" vertical="top" indent="2"/>
    </xf>
    <xf numFmtId="1" fontId="25" fillId="7" borderId="0" xfId="0" applyNumberFormat="1" applyFont="1" applyFill="1" applyAlignment="1" applyProtection="1">
      <alignment horizontal="left" vertical="center" wrapText="1"/>
    </xf>
    <xf numFmtId="0" fontId="5" fillId="7" borderId="0" xfId="0" applyFont="1" applyFill="1" applyAlignment="1">
      <alignment horizontal="left" vertical="top" indent="6"/>
    </xf>
    <xf numFmtId="0" fontId="5" fillId="7" borderId="0" xfId="0" applyFont="1" applyFill="1" applyAlignment="1">
      <alignment horizontal="left" vertical="top" wrapText="1" indent="6"/>
    </xf>
    <xf numFmtId="0" fontId="29" fillId="13" borderId="18" xfId="0" applyFont="1" applyFill="1" applyBorder="1" applyAlignment="1" applyProtection="1">
      <alignment horizontal="center" vertical="center"/>
    </xf>
    <xf numFmtId="0" fontId="56" fillId="7" borderId="36" xfId="0" applyFont="1" applyFill="1" applyBorder="1" applyAlignment="1">
      <alignment horizontal="left" vertical="top" indent="1"/>
    </xf>
    <xf numFmtId="0" fontId="56" fillId="7" borderId="27" xfId="0" applyFont="1" applyFill="1" applyBorder="1" applyAlignment="1">
      <alignment horizontal="left" vertical="top" indent="1"/>
    </xf>
    <xf numFmtId="0" fontId="29" fillId="7" borderId="7" xfId="0" applyFont="1" applyFill="1" applyBorder="1" applyAlignment="1" applyProtection="1">
      <alignment horizontal="left" vertical="center" indent="3"/>
    </xf>
    <xf numFmtId="0" fontId="29" fillId="7" borderId="8" xfId="0" applyFont="1" applyFill="1" applyBorder="1" applyAlignment="1" applyProtection="1">
      <alignment horizontal="left" vertical="center" indent="3"/>
    </xf>
    <xf numFmtId="0" fontId="17" fillId="4" borderId="16" xfId="0" applyFont="1" applyFill="1" applyBorder="1" applyAlignment="1" applyProtection="1">
      <alignment horizontal="left" vertical="center" indent="3"/>
    </xf>
    <xf numFmtId="0" fontId="17" fillId="4" borderId="2" xfId="0" applyFont="1" applyFill="1" applyBorder="1" applyAlignment="1" applyProtection="1">
      <alignment horizontal="left" vertical="center" indent="3"/>
    </xf>
    <xf numFmtId="0" fontId="56" fillId="7" borderId="23" xfId="0" applyFont="1" applyFill="1" applyBorder="1" applyAlignment="1">
      <alignment horizontal="left" vertical="top" indent="1"/>
    </xf>
    <xf numFmtId="0" fontId="25" fillId="7" borderId="23" xfId="0" applyFont="1" applyFill="1" applyBorder="1" applyAlignment="1" applyProtection="1">
      <alignment horizontal="left" vertical="center" wrapText="1"/>
    </xf>
    <xf numFmtId="0" fontId="29" fillId="7" borderId="23" xfId="0" applyFont="1" applyFill="1" applyBorder="1" applyAlignment="1" applyProtection="1">
      <alignment vertical="center"/>
    </xf>
    <xf numFmtId="0" fontId="25" fillId="7" borderId="23" xfId="0" applyFont="1" applyFill="1" applyBorder="1" applyAlignment="1" applyProtection="1">
      <alignment horizontal="center" vertical="center"/>
    </xf>
    <xf numFmtId="0" fontId="17" fillId="4" borderId="18" xfId="0" applyFont="1" applyFill="1" applyBorder="1" applyAlignment="1" applyProtection="1">
      <alignment horizontal="left" vertical="center"/>
    </xf>
    <xf numFmtId="0" fontId="17" fillId="4" borderId="8" xfId="0" applyFont="1" applyFill="1" applyBorder="1" applyAlignment="1" applyProtection="1">
      <alignment horizontal="left" vertical="center" indent="2"/>
    </xf>
    <xf numFmtId="0" fontId="17" fillId="4" borderId="0" xfId="0" applyFont="1" applyFill="1" applyBorder="1" applyAlignment="1" applyProtection="1">
      <alignment horizontal="left" vertical="center"/>
    </xf>
    <xf numFmtId="2" fontId="17" fillId="4" borderId="8" xfId="0" applyNumberFormat="1" applyFont="1" applyFill="1" applyBorder="1" applyAlignment="1" applyProtection="1">
      <alignment horizontal="left" vertical="center" indent="2"/>
    </xf>
    <xf numFmtId="0" fontId="47" fillId="4" borderId="0" xfId="0" applyFont="1" applyFill="1" applyBorder="1" applyAlignment="1" applyProtection="1">
      <alignment horizontal="left" vertical="center" wrapText="1"/>
      <protection locked="0"/>
    </xf>
    <xf numFmtId="0" fontId="17" fillId="4" borderId="7" xfId="0" applyFont="1" applyFill="1" applyBorder="1" applyAlignment="1" applyProtection="1">
      <alignment horizontal="left" vertical="center"/>
    </xf>
    <xf numFmtId="0" fontId="47" fillId="4" borderId="18" xfId="0" applyFont="1" applyFill="1" applyBorder="1" applyAlignment="1" applyProtection="1">
      <alignment horizontal="left" vertical="center" wrapText="1"/>
    </xf>
    <xf numFmtId="0" fontId="33" fillId="5" borderId="8" xfId="0" applyFont="1" applyFill="1" applyBorder="1" applyAlignment="1" applyProtection="1">
      <alignment horizontal="left" vertical="center"/>
    </xf>
    <xf numFmtId="0" fontId="33" fillId="5" borderId="9" xfId="0" applyFont="1" applyFill="1" applyBorder="1" applyAlignment="1" applyProtection="1">
      <alignment horizontal="left" vertical="center"/>
    </xf>
    <xf numFmtId="0" fontId="17" fillId="15" borderId="2" xfId="0" applyFont="1" applyFill="1" applyBorder="1" applyAlignment="1" applyProtection="1">
      <alignment horizontal="center" vertical="center"/>
      <protection locked="0"/>
    </xf>
    <xf numFmtId="0" fontId="63" fillId="13" borderId="3" xfId="0" applyFont="1" applyFill="1" applyBorder="1" applyAlignment="1" applyProtection="1">
      <alignment horizontal="right" vertical="center" wrapText="1"/>
    </xf>
    <xf numFmtId="2" fontId="56" fillId="0" borderId="25" xfId="0" applyNumberFormat="1" applyFont="1" applyFill="1" applyBorder="1" applyAlignment="1" applyProtection="1">
      <alignment horizontal="left" vertical="center" indent="2"/>
    </xf>
    <xf numFmtId="0" fontId="31" fillId="0" borderId="25" xfId="0" applyFont="1" applyFill="1" applyBorder="1" applyAlignment="1" applyProtection="1">
      <alignment horizontal="left" vertical="center" wrapText="1"/>
      <protection locked="0"/>
    </xf>
    <xf numFmtId="2" fontId="40" fillId="0" borderId="25" xfId="0" applyNumberFormat="1" applyFont="1" applyFill="1" applyBorder="1" applyAlignment="1" applyProtection="1">
      <alignment horizontal="left" vertical="center" indent="1"/>
    </xf>
    <xf numFmtId="0" fontId="25" fillId="0" borderId="25" xfId="0" applyFont="1" applyFill="1" applyBorder="1" applyAlignment="1" applyProtection="1">
      <alignment horizontal="center" vertical="center" wrapText="1"/>
    </xf>
    <xf numFmtId="0" fontId="25" fillId="0" borderId="25" xfId="0" applyFont="1" applyFill="1" applyBorder="1" applyAlignment="1" applyProtection="1">
      <alignment horizontal="center" vertical="center"/>
    </xf>
    <xf numFmtId="2" fontId="56" fillId="0" borderId="23" xfId="0" applyNumberFormat="1" applyFont="1" applyFill="1" applyBorder="1" applyAlignment="1" applyProtection="1">
      <alignment horizontal="left" vertical="center" indent="2"/>
    </xf>
    <xf numFmtId="0" fontId="31" fillId="0" borderId="23" xfId="0" applyFont="1" applyFill="1" applyBorder="1" applyAlignment="1" applyProtection="1">
      <alignment horizontal="left" vertical="center" wrapText="1"/>
      <protection locked="0"/>
    </xf>
    <xf numFmtId="2" fontId="40" fillId="0" borderId="23" xfId="0" applyNumberFormat="1" applyFont="1" applyFill="1" applyBorder="1" applyAlignment="1" applyProtection="1">
      <alignment horizontal="left" vertical="center" indent="1"/>
    </xf>
    <xf numFmtId="167" fontId="25" fillId="0" borderId="23" xfId="0" applyNumberFormat="1" applyFont="1" applyFill="1" applyBorder="1" applyAlignment="1" applyProtection="1">
      <alignment horizontal="center" vertical="center"/>
    </xf>
    <xf numFmtId="0" fontId="25" fillId="0" borderId="23" xfId="0" applyFont="1" applyFill="1" applyBorder="1" applyAlignment="1" applyProtection="1">
      <alignment horizontal="center" vertical="center" wrapText="1"/>
    </xf>
    <xf numFmtId="0" fontId="25" fillId="0" borderId="23" xfId="0" applyFont="1" applyFill="1" applyBorder="1" applyAlignment="1" applyProtection="1">
      <alignment horizontal="center" vertical="center"/>
    </xf>
    <xf numFmtId="0" fontId="25" fillId="0" borderId="23" xfId="0" applyFont="1" applyFill="1" applyBorder="1" applyAlignment="1" applyProtection="1">
      <alignment vertical="center"/>
    </xf>
    <xf numFmtId="0" fontId="4" fillId="7" borderId="0" xfId="0" applyFont="1" applyFill="1" applyAlignment="1">
      <alignment horizontal="left" vertical="top" indent="6"/>
    </xf>
    <xf numFmtId="0" fontId="17" fillId="6" borderId="0" xfId="5" applyFont="1" applyFill="1"/>
    <xf numFmtId="0" fontId="48" fillId="6" borderId="0" xfId="5" applyFont="1" applyFill="1" applyBorder="1" applyAlignment="1">
      <alignment vertical="top"/>
    </xf>
    <xf numFmtId="0" fontId="13" fillId="0" borderId="0" xfId="5" applyFont="1" applyAlignment="1">
      <alignment horizontal="center" vertical="top"/>
    </xf>
    <xf numFmtId="0" fontId="13" fillId="0" borderId="0" xfId="5" applyFont="1" applyAlignment="1">
      <alignment vertical="top"/>
    </xf>
    <xf numFmtId="0" fontId="49" fillId="9" borderId="16" xfId="5" applyFont="1" applyFill="1" applyBorder="1" applyAlignment="1" applyProtection="1">
      <alignment horizontal="left" vertical="center"/>
    </xf>
    <xf numFmtId="0" fontId="3" fillId="10" borderId="18" xfId="5" applyFill="1" applyBorder="1"/>
    <xf numFmtId="0" fontId="3" fillId="10" borderId="17" xfId="5" applyFill="1" applyBorder="1"/>
    <xf numFmtId="0" fontId="3" fillId="0" borderId="0" xfId="5"/>
    <xf numFmtId="0" fontId="49" fillId="0" borderId="0" xfId="5" applyFont="1" applyFill="1" applyBorder="1" applyAlignment="1" applyProtection="1">
      <alignment horizontal="left" vertical="center"/>
    </xf>
    <xf numFmtId="0" fontId="43" fillId="0" borderId="0" xfId="5" applyFont="1" applyFill="1" applyBorder="1"/>
    <xf numFmtId="0" fontId="3" fillId="0" borderId="0" xfId="5" applyFill="1" applyBorder="1"/>
    <xf numFmtId="0" fontId="64" fillId="0" borderId="0" xfId="5" applyFont="1" applyAlignment="1">
      <alignment vertical="top" wrapText="1"/>
    </xf>
    <xf numFmtId="0" fontId="3" fillId="0" borderId="22" xfId="5" applyBorder="1"/>
    <xf numFmtId="0" fontId="3" fillId="0" borderId="23" xfId="5" applyBorder="1"/>
    <xf numFmtId="0" fontId="50" fillId="0" borderId="0" xfId="5" applyFont="1"/>
    <xf numFmtId="0" fontId="35" fillId="0" borderId="0" xfId="0" applyFont="1" applyFill="1" applyBorder="1" applyAlignment="1" applyProtection="1">
      <alignment horizontal="left" vertical="top"/>
      <protection locked="0"/>
    </xf>
    <xf numFmtId="0" fontId="18" fillId="7" borderId="0" xfId="0" applyFont="1" applyFill="1" applyAlignment="1" applyProtection="1">
      <alignment horizontal="left" vertical="center" wrapText="1" indent="6"/>
    </xf>
    <xf numFmtId="0" fontId="18" fillId="7" borderId="0" xfId="0" applyFont="1" applyFill="1" applyBorder="1" applyAlignment="1" applyProtection="1">
      <alignment horizontal="left" vertical="center" wrapText="1" indent="6"/>
    </xf>
    <xf numFmtId="0" fontId="2" fillId="7" borderId="0" xfId="0" applyFont="1" applyFill="1" applyAlignment="1">
      <alignment horizontal="left" vertical="top" wrapText="1" indent="6"/>
    </xf>
    <xf numFmtId="0" fontId="66" fillId="0" borderId="0" xfId="0" applyFont="1" applyFill="1" applyBorder="1" applyAlignment="1" applyProtection="1">
      <alignment horizontal="left" vertical="center" wrapText="1" indent="6"/>
    </xf>
    <xf numFmtId="0" fontId="65" fillId="0" borderId="0" xfId="0" applyFont="1" applyFill="1" applyBorder="1" applyAlignment="1" applyProtection="1">
      <alignment horizontal="left" vertical="center" wrapText="1"/>
      <protection locked="0"/>
    </xf>
    <xf numFmtId="0" fontId="57" fillId="7" borderId="0" xfId="0" applyFont="1" applyFill="1" applyAlignment="1" applyProtection="1">
      <alignment horizontal="left" vertical="center"/>
    </xf>
    <xf numFmtId="2" fontId="67" fillId="7" borderId="0" xfId="0" applyNumberFormat="1" applyFont="1" applyFill="1" applyAlignment="1" applyProtection="1">
      <alignment horizontal="left" vertical="center"/>
    </xf>
    <xf numFmtId="0" fontId="67" fillId="7" borderId="0" xfId="0" applyFont="1" applyFill="1" applyAlignment="1" applyProtection="1">
      <alignment horizontal="left" vertical="center"/>
    </xf>
    <xf numFmtId="0" fontId="68" fillId="7" borderId="0" xfId="0" applyFont="1" applyFill="1" applyAlignment="1" applyProtection="1">
      <alignment horizontal="left" vertical="center" wrapText="1"/>
    </xf>
    <xf numFmtId="0" fontId="28" fillId="7" borderId="0" xfId="0" applyFont="1" applyFill="1" applyAlignment="1" applyProtection="1">
      <alignment vertical="center" wrapText="1"/>
    </xf>
    <xf numFmtId="0" fontId="31" fillId="7" borderId="0" xfId="0" applyFont="1" applyFill="1" applyAlignment="1">
      <alignment horizontal="left" vertical="top"/>
    </xf>
    <xf numFmtId="0" fontId="28" fillId="7" borderId="0" xfId="0" applyFont="1" applyFill="1" applyAlignment="1">
      <alignment vertical="top" wrapText="1"/>
    </xf>
    <xf numFmtId="0" fontId="29" fillId="7" borderId="0" xfId="0" applyFont="1" applyFill="1" applyBorder="1" applyAlignment="1" applyProtection="1">
      <alignment vertical="center" wrapText="1"/>
    </xf>
    <xf numFmtId="0" fontId="29" fillId="7" borderId="0" xfId="0" applyFont="1" applyFill="1" applyAlignment="1" applyProtection="1">
      <alignment vertical="center" wrapText="1"/>
    </xf>
    <xf numFmtId="0" fontId="29" fillId="7" borderId="0" xfId="0" applyFont="1" applyFill="1" applyBorder="1" applyAlignment="1" applyProtection="1">
      <alignment horizontal="left" vertical="center" wrapText="1"/>
    </xf>
    <xf numFmtId="0" fontId="18" fillId="0" borderId="0" xfId="0" applyFont="1" applyFill="1" applyBorder="1" applyAlignment="1" applyProtection="1">
      <alignment horizontal="left" vertical="top" wrapText="1"/>
      <protection locked="0"/>
    </xf>
    <xf numFmtId="0" fontId="18" fillId="0" borderId="0" xfId="0" applyFont="1" applyFill="1" applyAlignment="1" applyProtection="1">
      <alignment horizontal="left" vertical="top"/>
      <protection locked="0"/>
    </xf>
    <xf numFmtId="0" fontId="30" fillId="0" borderId="0" xfId="0" applyFont="1" applyFill="1" applyAlignment="1" applyProtection="1">
      <alignment horizontal="left" vertical="center" wrapText="1"/>
      <protection locked="0"/>
    </xf>
    <xf numFmtId="0" fontId="29" fillId="0" borderId="0" xfId="0" applyFont="1" applyFill="1" applyBorder="1" applyAlignment="1" applyProtection="1">
      <alignment horizontal="left" vertical="center"/>
      <protection locked="0"/>
    </xf>
    <xf numFmtId="0" fontId="18" fillId="0" borderId="0" xfId="0" applyFont="1" applyFill="1" applyAlignment="1" applyProtection="1">
      <alignment horizontal="left" vertical="center"/>
      <protection locked="0"/>
    </xf>
    <xf numFmtId="0" fontId="36" fillId="0" borderId="0" xfId="0" applyFont="1" applyFill="1" applyAlignment="1">
      <alignment horizontal="center" vertical="top"/>
    </xf>
    <xf numFmtId="168" fontId="29" fillId="0" borderId="0" xfId="0" applyNumberFormat="1" applyFont="1" applyFill="1" applyAlignment="1" applyProtection="1">
      <alignment horizontal="center" vertical="top"/>
    </xf>
    <xf numFmtId="0" fontId="17" fillId="0" borderId="0" xfId="0" applyFont="1" applyFill="1" applyAlignment="1" applyProtection="1">
      <alignment horizontal="center" vertical="center"/>
    </xf>
    <xf numFmtId="168" fontId="29" fillId="0" borderId="0" xfId="0" applyNumberFormat="1" applyFont="1" applyFill="1" applyAlignment="1" applyProtection="1">
      <alignment horizontal="center" vertical="center"/>
    </xf>
    <xf numFmtId="0" fontId="47" fillId="0" borderId="0" xfId="0" applyFont="1" applyFill="1" applyAlignment="1" applyProtection="1">
      <alignment horizontal="center" vertical="center"/>
    </xf>
    <xf numFmtId="167" fontId="47" fillId="0" borderId="0" xfId="0" applyNumberFormat="1" applyFont="1" applyFill="1" applyAlignment="1" applyProtection="1">
      <alignment horizontal="center" vertical="center"/>
    </xf>
    <xf numFmtId="2" fontId="47" fillId="0" borderId="0" xfId="0" applyNumberFormat="1" applyFont="1" applyFill="1" applyAlignment="1" applyProtection="1">
      <alignment vertical="center"/>
    </xf>
    <xf numFmtId="0" fontId="28" fillId="7" borderId="0" xfId="0" applyFont="1" applyFill="1" applyBorder="1" applyAlignment="1" applyProtection="1">
      <alignment horizontal="left" vertical="center" wrapText="1"/>
    </xf>
    <xf numFmtId="0" fontId="34" fillId="7" borderId="0" xfId="0" applyFont="1" applyFill="1" applyAlignment="1" applyProtection="1">
      <alignment vertical="center" wrapText="1"/>
    </xf>
    <xf numFmtId="0" fontId="18" fillId="0" borderId="0" xfId="0" applyFont="1" applyAlignment="1" applyProtection="1">
      <alignment vertical="top"/>
    </xf>
    <xf numFmtId="0" fontId="31" fillId="7" borderId="0" xfId="0" applyFont="1" applyFill="1" applyBorder="1" applyAlignment="1" applyProtection="1">
      <alignment vertical="center" wrapText="1"/>
    </xf>
    <xf numFmtId="0" fontId="69" fillId="7" borderId="0" xfId="0" applyFont="1" applyFill="1" applyAlignment="1" applyProtection="1">
      <alignment horizontal="left" vertical="center" wrapText="1" indent="1"/>
    </xf>
    <xf numFmtId="0" fontId="46" fillId="0" borderId="0" xfId="0" applyFont="1" applyFill="1" applyBorder="1" applyAlignment="1" applyProtection="1">
      <alignment horizontal="center" vertical="center"/>
    </xf>
    <xf numFmtId="0" fontId="18" fillId="0" borderId="0" xfId="0" applyFont="1" applyFill="1" applyBorder="1" applyAlignment="1" applyProtection="1">
      <alignment vertical="center"/>
      <protection locked="0"/>
    </xf>
    <xf numFmtId="0" fontId="18" fillId="7" borderId="0" xfId="0" applyFont="1" applyFill="1" applyBorder="1" applyAlignment="1" applyProtection="1">
      <alignment vertical="top" wrapText="1"/>
      <protection locked="0"/>
    </xf>
    <xf numFmtId="0" fontId="1" fillId="7" borderId="0" xfId="0" applyFont="1" applyFill="1" applyAlignment="1">
      <alignment horizontal="left" vertical="top" indent="6"/>
    </xf>
    <xf numFmtId="0" fontId="18" fillId="7" borderId="0" xfId="0" applyFont="1" applyFill="1" applyAlignment="1" applyProtection="1">
      <alignment horizontal="left" vertical="top"/>
      <protection locked="0"/>
    </xf>
    <xf numFmtId="0" fontId="18" fillId="7" borderId="0" xfId="0" applyFont="1" applyFill="1" applyAlignment="1" applyProtection="1">
      <alignment vertical="top"/>
    </xf>
    <xf numFmtId="0" fontId="18" fillId="0" borderId="0" xfId="0" applyFont="1" applyAlignment="1" applyProtection="1">
      <alignment vertical="center"/>
      <protection locked="0"/>
    </xf>
    <xf numFmtId="0" fontId="29" fillId="0" borderId="0" xfId="0" applyFont="1"/>
    <xf numFmtId="0" fontId="71" fillId="16" borderId="2" xfId="0" applyFont="1" applyFill="1" applyBorder="1" applyAlignment="1">
      <alignment horizontal="left" vertical="top" wrapText="1"/>
    </xf>
    <xf numFmtId="0" fontId="71" fillId="16" borderId="2" xfId="0" applyFont="1" applyFill="1" applyBorder="1" applyAlignment="1">
      <alignment horizontal="left" vertical="top" indent="1"/>
    </xf>
    <xf numFmtId="168" fontId="70" fillId="0" borderId="2" xfId="0" applyNumberFormat="1" applyFont="1" applyBorder="1" applyAlignment="1">
      <alignment horizontal="center" vertical="top" wrapText="1"/>
    </xf>
    <xf numFmtId="0" fontId="70" fillId="0" borderId="2" xfId="0" applyFont="1" applyBorder="1" applyAlignment="1">
      <alignment horizontal="left" vertical="top" wrapText="1"/>
    </xf>
    <xf numFmtId="168" fontId="0" fillId="0" borderId="2" xfId="0" applyNumberFormat="1" applyBorder="1" applyAlignment="1">
      <alignment horizontal="center"/>
    </xf>
    <xf numFmtId="0" fontId="25" fillId="3" borderId="14" xfId="0" applyFont="1" applyFill="1" applyBorder="1" applyAlignment="1">
      <alignment horizontal="left" wrapText="1" indent="1"/>
    </xf>
    <xf numFmtId="0" fontId="25" fillId="3" borderId="0" xfId="0" applyFont="1" applyFill="1" applyBorder="1" applyAlignment="1">
      <alignment horizontal="left" wrapText="1" indent="1"/>
    </xf>
    <xf numFmtId="0" fontId="25" fillId="3" borderId="15" xfId="0" applyFont="1" applyFill="1" applyBorder="1" applyAlignment="1">
      <alignment horizontal="left" wrapText="1" indent="1"/>
    </xf>
    <xf numFmtId="167" fontId="25" fillId="0" borderId="17" xfId="0" applyNumberFormat="1" applyFont="1" applyFill="1" applyBorder="1" applyAlignment="1">
      <alignment horizontal="center" vertical="center"/>
    </xf>
    <xf numFmtId="167" fontId="25" fillId="12" borderId="17" xfId="0" applyNumberFormat="1" applyFont="1" applyFill="1" applyBorder="1" applyAlignment="1">
      <alignment horizontal="center" vertical="top"/>
    </xf>
    <xf numFmtId="0" fontId="46" fillId="11" borderId="2" xfId="0" applyFont="1" applyFill="1" applyBorder="1" applyAlignment="1" applyProtection="1">
      <alignment horizontal="center" vertical="center"/>
      <protection locked="0"/>
    </xf>
    <xf numFmtId="0" fontId="25" fillId="8" borderId="3" xfId="0" applyFont="1" applyFill="1" applyBorder="1" applyAlignment="1" applyProtection="1">
      <alignment horizontal="center" vertical="top"/>
      <protection locked="0"/>
    </xf>
    <xf numFmtId="0" fontId="25" fillId="8" borderId="37" xfId="0" applyFont="1" applyFill="1" applyBorder="1" applyAlignment="1" applyProtection="1">
      <alignment horizontal="center" vertical="top"/>
      <protection locked="0"/>
    </xf>
    <xf numFmtId="0" fontId="25" fillId="8" borderId="30" xfId="0" applyFont="1" applyFill="1" applyBorder="1" applyAlignment="1" applyProtection="1">
      <alignment horizontal="center" vertical="top"/>
      <protection locked="0"/>
    </xf>
    <xf numFmtId="167" fontId="25" fillId="0" borderId="26" xfId="0" applyNumberFormat="1" applyFont="1" applyFill="1" applyBorder="1" applyAlignment="1">
      <alignment horizontal="center" vertical="center"/>
    </xf>
    <xf numFmtId="2" fontId="25" fillId="8" borderId="2" xfId="0" applyNumberFormat="1" applyFont="1" applyFill="1" applyBorder="1" applyAlignment="1" applyProtection="1">
      <alignment horizontal="center" vertical="center"/>
      <protection locked="0"/>
    </xf>
    <xf numFmtId="0" fontId="25" fillId="8" borderId="3" xfId="0" applyFont="1" applyFill="1" applyBorder="1" applyAlignment="1" applyProtection="1">
      <alignment horizontal="center" vertical="center" wrapText="1"/>
      <protection locked="0"/>
    </xf>
    <xf numFmtId="0" fontId="25" fillId="8" borderId="30" xfId="0" applyFont="1" applyFill="1" applyBorder="1" applyAlignment="1" applyProtection="1">
      <alignment horizontal="center" vertical="center" wrapText="1"/>
      <protection locked="0"/>
    </xf>
    <xf numFmtId="0" fontId="25" fillId="8" borderId="37" xfId="0" applyFont="1" applyFill="1" applyBorder="1" applyAlignment="1" applyProtection="1">
      <alignment horizontal="center" vertical="center" wrapText="1"/>
      <protection locked="0"/>
    </xf>
    <xf numFmtId="2" fontId="25" fillId="8" borderId="3" xfId="0" applyNumberFormat="1" applyFont="1" applyFill="1" applyBorder="1" applyAlignment="1" applyProtection="1">
      <alignment horizontal="center" vertical="center"/>
      <protection locked="0"/>
    </xf>
    <xf numFmtId="2" fontId="25" fillId="8" borderId="30" xfId="0" applyNumberFormat="1" applyFont="1" applyFill="1" applyBorder="1" applyAlignment="1" applyProtection="1">
      <alignment horizontal="center" vertical="center"/>
      <protection locked="0"/>
    </xf>
    <xf numFmtId="0" fontId="25" fillId="0" borderId="0" xfId="0" applyFont="1" applyAlignment="1">
      <alignment vertical="top"/>
    </xf>
    <xf numFmtId="0" fontId="25" fillId="7" borderId="0" xfId="0" applyFont="1" applyFill="1" applyBorder="1" applyAlignment="1" applyProtection="1">
      <alignment horizontal="left" vertical="center" indent="1"/>
    </xf>
    <xf numFmtId="0" fontId="0" fillId="0" borderId="0" xfId="5" applyFont="1"/>
    <xf numFmtId="0" fontId="21" fillId="0" borderId="0" xfId="2" applyFont="1" applyAlignment="1">
      <alignment horizontal="center" vertical="center" wrapText="1"/>
    </xf>
    <xf numFmtId="0" fontId="20" fillId="0" borderId="16" xfId="2" applyFont="1" applyBorder="1" applyAlignment="1">
      <alignment horizontal="left" vertical="center" indent="1"/>
    </xf>
    <xf numFmtId="0" fontId="20" fillId="0" borderId="18" xfId="2" applyFont="1" applyBorder="1" applyAlignment="1">
      <alignment horizontal="left" vertical="center" indent="1"/>
    </xf>
    <xf numFmtId="0" fontId="20" fillId="0" borderId="17" xfId="2" applyFont="1" applyBorder="1" applyAlignment="1">
      <alignment horizontal="left" vertical="center" indent="1"/>
    </xf>
    <xf numFmtId="0" fontId="25" fillId="0" borderId="16" xfId="2" applyFont="1" applyBorder="1" applyAlignment="1">
      <alignment horizontal="left" indent="1"/>
    </xf>
    <xf numFmtId="0" fontId="25" fillId="0" borderId="17" xfId="2" applyFont="1" applyBorder="1" applyAlignment="1">
      <alignment horizontal="left" indent="1"/>
    </xf>
    <xf numFmtId="0" fontId="24" fillId="4" borderId="16" xfId="2" applyFont="1" applyFill="1" applyBorder="1" applyAlignment="1">
      <alignment horizontal="center"/>
    </xf>
    <xf numFmtId="0" fontId="24" fillId="4" borderId="18" xfId="2" applyFont="1" applyFill="1" applyBorder="1" applyAlignment="1">
      <alignment horizontal="center"/>
    </xf>
    <xf numFmtId="0" fontId="24" fillId="4" borderId="17" xfId="2" applyFont="1" applyFill="1" applyBorder="1" applyAlignment="1">
      <alignment horizontal="center"/>
    </xf>
    <xf numFmtId="0" fontId="0" fillId="0" borderId="16" xfId="2" applyFont="1" applyBorder="1" applyAlignment="1">
      <alignment horizontal="left" vertical="center" indent="1"/>
    </xf>
    <xf numFmtId="0" fontId="0" fillId="0" borderId="18" xfId="2" applyFont="1" applyBorder="1" applyAlignment="1">
      <alignment horizontal="left" vertical="center" indent="1"/>
    </xf>
    <xf numFmtId="0" fontId="0" fillId="0" borderId="17" xfId="2" applyFont="1" applyBorder="1" applyAlignment="1">
      <alignment horizontal="left" vertical="center" indent="1"/>
    </xf>
    <xf numFmtId="0" fontId="25" fillId="0" borderId="16" xfId="0" applyFont="1" applyBorder="1" applyAlignment="1">
      <alignment horizontal="left" vertical="center" indent="1"/>
    </xf>
    <xf numFmtId="0" fontId="25" fillId="0" borderId="17" xfId="0" applyFont="1" applyBorder="1" applyAlignment="1">
      <alignment horizontal="left" vertical="center" indent="1"/>
    </xf>
    <xf numFmtId="0" fontId="25" fillId="3" borderId="14" xfId="0" applyFont="1" applyFill="1" applyBorder="1" applyAlignment="1">
      <alignment horizontal="left" wrapText="1" indent="1"/>
    </xf>
    <xf numFmtId="0" fontId="25" fillId="3" borderId="0" xfId="0" applyFont="1" applyFill="1" applyBorder="1" applyAlignment="1">
      <alignment horizontal="left" wrapText="1" indent="1"/>
    </xf>
    <xf numFmtId="0" fontId="25" fillId="3" borderId="15" xfId="0" applyFont="1" applyFill="1" applyBorder="1" applyAlignment="1">
      <alignment horizontal="left" wrapText="1" indent="1"/>
    </xf>
    <xf numFmtId="0" fontId="25" fillId="3" borderId="14" xfId="0" applyFont="1" applyFill="1" applyBorder="1" applyAlignment="1">
      <alignment horizontal="left" wrapText="1" indent="3"/>
    </xf>
    <xf numFmtId="0" fontId="25" fillId="3" borderId="0" xfId="0" applyFont="1" applyFill="1" applyBorder="1" applyAlignment="1">
      <alignment horizontal="left" wrapText="1" indent="3"/>
    </xf>
    <xf numFmtId="0" fontId="25" fillId="3" borderId="15" xfId="0" applyFont="1" applyFill="1" applyBorder="1" applyAlignment="1">
      <alignment horizontal="left" wrapText="1" indent="3"/>
    </xf>
    <xf numFmtId="0" fontId="22" fillId="0" borderId="0" xfId="2" applyFont="1" applyAlignment="1">
      <alignment horizontal="center"/>
    </xf>
    <xf numFmtId="0" fontId="20" fillId="5" borderId="0" xfId="2" applyFill="1" applyAlignment="1">
      <alignment horizontal="center"/>
    </xf>
    <xf numFmtId="0" fontId="24" fillId="4" borderId="16" xfId="2" applyFont="1" applyFill="1" applyBorder="1" applyAlignment="1">
      <alignment horizontal="left" wrapText="1" indent="1"/>
    </xf>
    <xf numFmtId="0" fontId="24" fillId="4" borderId="18" xfId="2" applyFont="1" applyFill="1" applyBorder="1" applyAlignment="1">
      <alignment horizontal="left" wrapText="1" indent="1"/>
    </xf>
    <xf numFmtId="0" fontId="24" fillId="4" borderId="17" xfId="2" applyFont="1" applyFill="1" applyBorder="1" applyAlignment="1">
      <alignment horizontal="left" wrapText="1" indent="1"/>
    </xf>
    <xf numFmtId="0" fontId="20" fillId="0" borderId="16" xfId="2" applyBorder="1" applyAlignment="1">
      <alignment horizontal="left" vertical="top" wrapText="1" indent="1"/>
    </xf>
    <xf numFmtId="0" fontId="20" fillId="0" borderId="18" xfId="2" applyBorder="1" applyAlignment="1">
      <alignment horizontal="left" vertical="top" wrapText="1" indent="1"/>
    </xf>
    <xf numFmtId="0" fontId="20" fillId="0" borderId="17" xfId="2" applyBorder="1" applyAlignment="1">
      <alignment horizontal="left" vertical="top" wrapText="1" indent="1"/>
    </xf>
    <xf numFmtId="0" fontId="20" fillId="0" borderId="16" xfId="2" applyFill="1" applyBorder="1" applyAlignment="1">
      <alignment horizontal="left" vertical="top" wrapText="1" indent="1"/>
    </xf>
    <xf numFmtId="0" fontId="20" fillId="0" borderId="18" xfId="2" applyFill="1" applyBorder="1" applyAlignment="1">
      <alignment horizontal="left" vertical="top" wrapText="1" indent="1"/>
    </xf>
    <xf numFmtId="0" fontId="20" fillId="0" borderId="17" xfId="2" applyFill="1" applyBorder="1" applyAlignment="1">
      <alignment horizontal="left" vertical="top" wrapText="1" indent="1"/>
    </xf>
    <xf numFmtId="0" fontId="56" fillId="13" borderId="37" xfId="0" applyFont="1" applyFill="1" applyBorder="1" applyAlignment="1" applyProtection="1">
      <alignment horizontal="center" textRotation="90" wrapText="1"/>
    </xf>
    <xf numFmtId="0" fontId="56" fillId="13" borderId="37" xfId="0" applyFont="1" applyFill="1" applyBorder="1" applyAlignment="1" applyProtection="1">
      <alignment horizontal="center" textRotation="90"/>
    </xf>
    <xf numFmtId="0" fontId="56" fillId="13" borderId="30" xfId="0" applyFont="1" applyFill="1" applyBorder="1" applyAlignment="1" applyProtection="1">
      <alignment horizontal="center" textRotation="90"/>
    </xf>
    <xf numFmtId="2" fontId="40" fillId="7" borderId="0" xfId="0" applyNumberFormat="1" applyFont="1" applyFill="1" applyBorder="1" applyAlignment="1" applyProtection="1">
      <alignment horizontal="left" vertical="center" indent="1"/>
      <protection locked="0"/>
    </xf>
    <xf numFmtId="2" fontId="40" fillId="7" borderId="23" xfId="0" applyNumberFormat="1" applyFont="1" applyFill="1" applyBorder="1" applyAlignment="1" applyProtection="1">
      <alignment horizontal="left" vertical="center" indent="1"/>
      <protection locked="0"/>
    </xf>
    <xf numFmtId="0" fontId="17" fillId="6" borderId="18" xfId="0" applyFont="1" applyFill="1" applyBorder="1" applyAlignment="1" applyProtection="1">
      <alignment horizontal="center" vertical="center"/>
    </xf>
    <xf numFmtId="0" fontId="17" fillId="6" borderId="17" xfId="0" applyFont="1" applyFill="1" applyBorder="1" applyAlignment="1" applyProtection="1">
      <alignment horizontal="center" vertical="center"/>
    </xf>
    <xf numFmtId="0" fontId="17" fillId="4" borderId="7" xfId="0" applyFont="1" applyFill="1" applyBorder="1" applyAlignment="1" applyProtection="1">
      <alignment horizontal="center" vertical="center"/>
    </xf>
    <xf numFmtId="0" fontId="17" fillId="4" borderId="25" xfId="0" applyFont="1" applyFill="1" applyBorder="1" applyAlignment="1" applyProtection="1">
      <alignment horizontal="center" vertical="center"/>
    </xf>
    <xf numFmtId="0" fontId="17" fillId="4" borderId="26" xfId="0" applyFont="1" applyFill="1" applyBorder="1" applyAlignment="1" applyProtection="1">
      <alignment horizontal="center" vertical="center"/>
    </xf>
    <xf numFmtId="0" fontId="17" fillId="4" borderId="9" xfId="0" applyFont="1" applyFill="1" applyBorder="1" applyAlignment="1" applyProtection="1">
      <alignment horizontal="center" vertical="center"/>
    </xf>
    <xf numFmtId="0" fontId="17" fillId="4" borderId="23" xfId="0" applyFont="1" applyFill="1" applyBorder="1" applyAlignment="1" applyProtection="1">
      <alignment horizontal="center" vertical="center"/>
    </xf>
    <xf numFmtId="0" fontId="17" fillId="4" borderId="20" xfId="0" applyFont="1" applyFill="1" applyBorder="1" applyAlignment="1" applyProtection="1">
      <alignment horizontal="center" vertical="center"/>
    </xf>
    <xf numFmtId="0" fontId="25" fillId="7" borderId="8" xfId="0" applyFont="1" applyFill="1" applyBorder="1" applyAlignment="1">
      <alignment horizontal="left" vertical="top" wrapText="1" indent="1"/>
    </xf>
    <xf numFmtId="0" fontId="25" fillId="7" borderId="0" xfId="0" applyFont="1" applyFill="1" applyBorder="1" applyAlignment="1">
      <alignment horizontal="left" vertical="top" wrapText="1" indent="1"/>
    </xf>
    <xf numFmtId="0" fontId="25" fillId="7" borderId="19" xfId="0" applyFont="1" applyFill="1" applyBorder="1" applyAlignment="1">
      <alignment horizontal="left" vertical="top" wrapText="1" indent="1"/>
    </xf>
    <xf numFmtId="0" fontId="26" fillId="7" borderId="0" xfId="0" applyFont="1" applyFill="1" applyBorder="1" applyAlignment="1">
      <alignment horizontal="left" vertical="top" wrapText="1" indent="1"/>
    </xf>
    <xf numFmtId="0" fontId="26" fillId="7" borderId="19" xfId="0" applyFont="1" applyFill="1" applyBorder="1" applyAlignment="1">
      <alignment horizontal="left" vertical="top" wrapText="1" indent="1"/>
    </xf>
    <xf numFmtId="0" fontId="26" fillId="7" borderId="8" xfId="0" applyFont="1" applyFill="1" applyBorder="1" applyAlignment="1">
      <alignment horizontal="left" vertical="top" wrapText="1" indent="1"/>
    </xf>
    <xf numFmtId="0" fontId="25" fillId="7" borderId="8" xfId="0" applyFont="1" applyFill="1" applyBorder="1" applyAlignment="1">
      <alignment horizontal="left" vertical="top" wrapText="1" indent="2"/>
    </xf>
    <xf numFmtId="0" fontId="25" fillId="7" borderId="0" xfId="0" applyFont="1" applyFill="1" applyBorder="1" applyAlignment="1">
      <alignment horizontal="left" vertical="top" wrapText="1" indent="2"/>
    </xf>
    <xf numFmtId="0" fontId="25" fillId="7" borderId="19" xfId="0" applyFont="1" applyFill="1" applyBorder="1" applyAlignment="1">
      <alignment horizontal="left" vertical="top" wrapText="1" indent="2"/>
    </xf>
    <xf numFmtId="0" fontId="41" fillId="0" borderId="0" xfId="0" applyFont="1" applyFill="1" applyBorder="1" applyAlignment="1" applyProtection="1">
      <alignment horizontal="left" vertical="top" wrapText="1" indent="1"/>
    </xf>
    <xf numFmtId="0" fontId="18" fillId="7" borderId="0" xfId="0" applyFont="1" applyFill="1" applyAlignment="1" applyProtection="1">
      <alignment horizontal="left" vertical="top" wrapText="1"/>
      <protection locked="0"/>
    </xf>
    <xf numFmtId="0" fontId="18" fillId="7" borderId="0" xfId="0" applyFont="1" applyFill="1" applyBorder="1" applyAlignment="1" applyProtection="1">
      <alignment horizontal="left" vertical="top" wrapText="1"/>
      <protection locked="0"/>
    </xf>
    <xf numFmtId="0" fontId="18" fillId="7" borderId="0" xfId="0" applyFont="1" applyFill="1" applyAlignment="1" applyProtection="1">
      <alignment horizontal="left" vertical="top"/>
      <protection locked="0"/>
    </xf>
    <xf numFmtId="0" fontId="65" fillId="7" borderId="0" xfId="0" applyFont="1" applyFill="1" applyBorder="1" applyAlignment="1" applyProtection="1">
      <alignment horizontal="left" vertical="top" wrapText="1"/>
      <protection locked="0"/>
    </xf>
    <xf numFmtId="0" fontId="18" fillId="7" borderId="0" xfId="0" quotePrefix="1" applyFont="1" applyFill="1" applyBorder="1" applyAlignment="1" applyProtection="1">
      <alignment horizontal="left" vertical="top" wrapText="1"/>
      <protection locked="0"/>
    </xf>
  </cellXfs>
  <cellStyles count="6">
    <cellStyle name="Normal" xfId="0" builtinId="0"/>
    <cellStyle name="Normal 2" xfId="1" xr:uid="{00000000-0005-0000-0000-000002000000}"/>
    <cellStyle name="Normal 2 2" xfId="2" xr:uid="{00000000-0005-0000-0000-000003000000}"/>
    <cellStyle name="Normal 3" xfId="3" xr:uid="{00000000-0005-0000-0000-000004000000}"/>
    <cellStyle name="Normal 4" xfId="4" xr:uid="{00000000-0005-0000-0000-000005000000}"/>
    <cellStyle name="Normal 5" xfId="5" xr:uid="{00000000-0005-0000-0000-000006000000}"/>
  </cellStyles>
  <dxfs count="687">
    <dxf>
      <font>
        <b val="0"/>
        <i val="0"/>
        <strike val="0"/>
        <condense val="0"/>
        <extend val="0"/>
        <outline val="0"/>
        <shadow val="0"/>
        <u val="none"/>
        <vertAlign val="baseline"/>
        <sz val="10"/>
        <color auto="1"/>
        <name val="Calibri"/>
        <scheme val="minor"/>
      </font>
      <numFmt numFmtId="167" formatCode="0.00_);\(0.0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0_);\(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mbria"/>
        <scheme val="major"/>
      </font>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7" formatCode="0.00_);\(0.0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0_);\(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mbria"/>
        <scheme val="major"/>
      </font>
      <alignment horizontal="center"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b val="0"/>
        <i val="0"/>
        <strike val="0"/>
        <condense val="0"/>
        <extend val="0"/>
        <outline val="0"/>
        <shadow val="0"/>
        <u val="none"/>
        <vertAlign val="baseline"/>
        <sz val="10"/>
        <color auto="1"/>
        <name val="Calibri"/>
        <scheme val="minor"/>
      </font>
      <numFmt numFmtId="167" formatCode="0.00_);\(0.0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0_);\(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mbria"/>
        <scheme val="major"/>
      </font>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7" formatCode="0.00_);\(0.0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0_);\(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mbria"/>
        <scheme val="major"/>
      </font>
      <alignment horizontal="center"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167" formatCode="0.00_);\(0.0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0_);\(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mbria"/>
        <scheme val="major"/>
      </font>
      <alignment horizontal="center"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167" formatCode="0.00_);\(0.0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0_);\(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mbria"/>
        <scheme val="major"/>
      </font>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7" formatCode="0.00_);\(0.0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0_);\(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mbria"/>
        <scheme val="major"/>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167" formatCode="0.00_);\(0.0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0_);\(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mbria"/>
        <scheme val="major"/>
      </font>
      <alignment horizontal="center" vertical="center" textRotation="0" wrapText="0" indent="0" justifyLastLine="0" shrinkToFit="0" readingOrder="0"/>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167" formatCode="0.00_);\(0.0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0_);\(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mbria"/>
        <scheme val="major"/>
      </font>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7" formatCode="0.00_);\(0.0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0_);\(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mbria"/>
        <scheme val="major"/>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10"/>
        <color auto="1"/>
        <name val="Calibri"/>
        <scheme val="minor"/>
      </font>
      <numFmt numFmtId="167" formatCode="0.00_);\(0.0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168" formatCode="0_);\(0\)"/>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auto="1"/>
        <name val="Cambria"/>
        <scheme val="major"/>
      </font>
      <alignment horizontal="center" vertical="center" textRotation="0" wrapText="0" indent="0" justifyLastLine="0" shrinkToFit="0" readingOrder="0"/>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9C6500"/>
      </font>
      <fill>
        <patternFill>
          <bgColor rgb="FFFFEB9C"/>
        </patternFill>
      </fill>
    </dxf>
    <dxf>
      <font>
        <b/>
        <i val="0"/>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9C6500"/>
      </font>
      <fill>
        <patternFill>
          <bgColor rgb="FFFFEB9C"/>
        </patternFill>
      </fill>
    </dxf>
    <dxf>
      <font>
        <b/>
        <i val="0"/>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9C6500"/>
      </font>
      <fill>
        <patternFill>
          <bgColor rgb="FFFFEB9C"/>
        </patternFill>
      </fill>
    </dxf>
    <dxf>
      <font>
        <b/>
        <i val="0"/>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rgb="FF9C0006"/>
      </font>
      <fill>
        <patternFill>
          <bgColor rgb="FFFFC7CE"/>
        </patternFill>
      </fill>
    </dxf>
    <dxf>
      <font>
        <b/>
        <i val="0"/>
        <color rgb="FF9C6500"/>
      </font>
      <fill>
        <patternFill>
          <bgColor rgb="FFFFEB9C"/>
        </patternFill>
      </fill>
    </dxf>
    <dxf>
      <font>
        <b/>
        <i val="0"/>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9C6500"/>
      </font>
      <fill>
        <patternFill>
          <bgColor rgb="FFFFEB9C"/>
        </patternFill>
      </fill>
    </dxf>
    <dxf>
      <font>
        <b/>
        <i val="0"/>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9C6500"/>
      </font>
      <fill>
        <patternFill>
          <bgColor rgb="FFFFEB9C"/>
        </patternFill>
      </fill>
    </dxf>
    <dxf>
      <font>
        <b/>
        <i val="0"/>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9C6500"/>
      </font>
      <fill>
        <patternFill>
          <bgColor rgb="FFFFEB9C"/>
        </patternFill>
      </fill>
    </dxf>
    <dxf>
      <font>
        <b/>
        <i val="0"/>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9C6500"/>
      </font>
      <fill>
        <patternFill>
          <bgColor rgb="FFFFEB9C"/>
        </patternFill>
      </fill>
    </dxf>
    <dxf>
      <font>
        <b/>
        <i val="0"/>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9C6500"/>
      </font>
      <fill>
        <patternFill>
          <bgColor rgb="FFFFEB9C"/>
        </patternFill>
      </fill>
    </dxf>
    <dxf>
      <font>
        <b/>
        <i val="0"/>
        <color rgb="FF006100"/>
      </font>
      <fill>
        <patternFill>
          <bgColor rgb="FFC6EFCE"/>
        </patternFill>
      </fill>
    </dxf>
    <dxf>
      <font>
        <color rgb="FF9C0006"/>
      </font>
      <fill>
        <patternFill>
          <bgColor rgb="FFFFC7CE"/>
        </patternFill>
      </fill>
    </dxf>
    <dxf>
      <font>
        <b/>
        <i val="0"/>
        <color rgb="FF9C0006"/>
      </font>
      <fill>
        <patternFill>
          <bgColor rgb="FFFFC7CE"/>
        </patternFill>
      </fill>
    </dxf>
    <dxf>
      <font>
        <b/>
        <i val="0"/>
        <color rgb="FF9C6500"/>
      </font>
      <fill>
        <patternFill>
          <bgColor rgb="FFFFEB9C"/>
        </patternFill>
      </fill>
    </dxf>
    <dxf>
      <font>
        <b/>
        <i val="0"/>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Complexity_Pre_Charter!$I$97</c:f>
              <c:strCache>
                <c:ptCount val="1"/>
                <c:pt idx="0">
                  <c:v>VALUES</c:v>
                </c:pt>
              </c:strCache>
            </c:strRef>
          </c:tx>
          <c:spPr>
            <a:ln w="0" cap="rnd">
              <a:solidFill>
                <a:schemeClr val="accent1"/>
              </a:solidFill>
              <a:round/>
            </a:ln>
            <a:effectLst/>
          </c:spPr>
          <c:marker>
            <c:symbol val="diamond"/>
            <c:size val="5"/>
            <c:spPr>
              <a:solidFill>
                <a:schemeClr val="accent1"/>
              </a:solidFill>
              <a:ln w="63500" cap="rnd">
                <a:solidFill>
                  <a:schemeClr val="accent1"/>
                </a:solidFill>
                <a:miter lim="800000"/>
              </a:ln>
              <a:effectLst/>
            </c:spPr>
          </c:marker>
          <c:xVal>
            <c:numRef>
              <c:f>Complexity_Pre_Charter!$I$98:$I$100</c:f>
              <c:numCache>
                <c:formatCode>0_);\(0\)</c:formatCode>
                <c:ptCount val="3"/>
                <c:pt idx="0">
                  <c:v>1</c:v>
                </c:pt>
                <c:pt idx="1">
                  <c:v>0</c:v>
                </c:pt>
                <c:pt idx="2">
                  <c:v>4</c:v>
                </c:pt>
              </c:numCache>
            </c:numRef>
          </c:xVal>
          <c:yVal>
            <c:numRef>
              <c:f>Complexity_Pre_Charter!$K$98:$K$100</c:f>
              <c:numCache>
                <c:formatCode>0.00_);\(0.00\)</c:formatCode>
                <c:ptCount val="3"/>
                <c:pt idx="1">
                  <c:v>4</c:v>
                </c:pt>
              </c:numCache>
            </c:numRef>
          </c:yVal>
          <c:smooth val="0"/>
          <c:extLst>
            <c:ext xmlns:c16="http://schemas.microsoft.com/office/drawing/2014/chart" uri="{C3380CC4-5D6E-409C-BE32-E72D297353CC}">
              <c16:uniqueId val="{00000000-0340-495F-A105-3DE0E990F9A5}"/>
            </c:ext>
          </c:extLst>
        </c:ser>
        <c:dLbls>
          <c:showLegendKey val="0"/>
          <c:showVal val="0"/>
          <c:showCatName val="0"/>
          <c:showSerName val="0"/>
          <c:showPercent val="0"/>
          <c:showBubbleSize val="0"/>
        </c:dLbls>
        <c:axId val="-261935776"/>
        <c:axId val="-261935232"/>
      </c:scatterChart>
      <c:valAx>
        <c:axId val="-261935776"/>
        <c:scaling>
          <c:orientation val="minMax"/>
          <c:max val="4"/>
          <c:min val="1"/>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61935232"/>
        <c:crosses val="autoZero"/>
        <c:crossBetween val="midCat"/>
        <c:majorUnit val="1"/>
      </c:valAx>
      <c:valAx>
        <c:axId val="-261935232"/>
        <c:scaling>
          <c:orientation val="minMax"/>
          <c:max val="5"/>
        </c:scaling>
        <c:delete val="1"/>
        <c:axPos val="l"/>
        <c:numFmt formatCode="0.00_);\(0.00\)" sourceLinked="1"/>
        <c:majorTickMark val="out"/>
        <c:minorTickMark val="none"/>
        <c:tickLblPos val="nextTo"/>
        <c:crossAx val="-2619357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Risk_Planning_Gate!$I$127</c:f>
              <c:strCache>
                <c:ptCount val="1"/>
                <c:pt idx="0">
                  <c:v>VALUES</c:v>
                </c:pt>
              </c:strCache>
            </c:strRef>
          </c:tx>
          <c:spPr>
            <a:ln w="0" cap="rnd">
              <a:solidFill>
                <a:schemeClr val="accent1"/>
              </a:solidFill>
              <a:round/>
            </a:ln>
            <a:effectLst/>
          </c:spPr>
          <c:marker>
            <c:symbol val="triangle"/>
            <c:size val="5"/>
            <c:spPr>
              <a:solidFill>
                <a:schemeClr val="accent1"/>
              </a:solidFill>
              <a:ln w="63500" cap="rnd">
                <a:solidFill>
                  <a:schemeClr val="accent1"/>
                </a:solidFill>
                <a:miter lim="800000"/>
              </a:ln>
              <a:effectLst/>
            </c:spPr>
          </c:marker>
          <c:xVal>
            <c:numRef>
              <c:f>Risk_Planning_Gate!$I$128:$I$130</c:f>
              <c:numCache>
                <c:formatCode>0_);\(0\)</c:formatCode>
                <c:ptCount val="3"/>
                <c:pt idx="0">
                  <c:v>100</c:v>
                </c:pt>
                <c:pt idx="1">
                  <c:v>0</c:v>
                </c:pt>
                <c:pt idx="2">
                  <c:v>500</c:v>
                </c:pt>
              </c:numCache>
            </c:numRef>
          </c:xVal>
          <c:yVal>
            <c:numRef>
              <c:f>Risk_Planning_Gate!$K$128:$K$130</c:f>
              <c:numCache>
                <c:formatCode>0.00_);\(0.00\)</c:formatCode>
                <c:ptCount val="3"/>
                <c:pt idx="1">
                  <c:v>4</c:v>
                </c:pt>
              </c:numCache>
            </c:numRef>
          </c:yVal>
          <c:smooth val="0"/>
          <c:extLst>
            <c:ext xmlns:c16="http://schemas.microsoft.com/office/drawing/2014/chart" uri="{C3380CC4-5D6E-409C-BE32-E72D297353CC}">
              <c16:uniqueId val="{00000000-6A38-4581-B5B0-AE14DCBA94D6}"/>
            </c:ext>
          </c:extLst>
        </c:ser>
        <c:dLbls>
          <c:showLegendKey val="0"/>
          <c:showVal val="0"/>
          <c:showCatName val="0"/>
          <c:showSerName val="0"/>
          <c:showPercent val="0"/>
          <c:showBubbleSize val="0"/>
        </c:dLbls>
        <c:axId val="-261908576"/>
        <c:axId val="-261918912"/>
      </c:scatterChart>
      <c:valAx>
        <c:axId val="-261908576"/>
        <c:scaling>
          <c:orientation val="minMax"/>
          <c:max val="500"/>
          <c:min val="100"/>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61918912"/>
        <c:crosses val="autoZero"/>
        <c:crossBetween val="midCat"/>
        <c:majorUnit val="100"/>
      </c:valAx>
      <c:valAx>
        <c:axId val="-261918912"/>
        <c:scaling>
          <c:orientation val="minMax"/>
          <c:max val="5"/>
        </c:scaling>
        <c:delete val="1"/>
        <c:axPos val="l"/>
        <c:numFmt formatCode="0.00_);\(0.00\)" sourceLinked="1"/>
        <c:majorTickMark val="out"/>
        <c:minorTickMark val="none"/>
        <c:tickLblPos val="nextTo"/>
        <c:crossAx val="-26190857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Complexity_Planning_Gate!$I$113</c:f>
              <c:strCache>
                <c:ptCount val="1"/>
                <c:pt idx="0">
                  <c:v>VALUES</c:v>
                </c:pt>
              </c:strCache>
            </c:strRef>
          </c:tx>
          <c:spPr>
            <a:ln w="0" cap="rnd">
              <a:solidFill>
                <a:schemeClr val="accent1"/>
              </a:solidFill>
              <a:round/>
            </a:ln>
            <a:effectLst/>
          </c:spPr>
          <c:marker>
            <c:symbol val="triangle"/>
            <c:size val="5"/>
            <c:spPr>
              <a:solidFill>
                <a:schemeClr val="accent1"/>
              </a:solidFill>
              <a:ln w="63500" cap="rnd">
                <a:solidFill>
                  <a:schemeClr val="accent1"/>
                </a:solidFill>
                <a:miter lim="800000"/>
              </a:ln>
              <a:effectLst/>
            </c:spPr>
          </c:marker>
          <c:xVal>
            <c:numRef>
              <c:f>Complexity_Planning_Gate!$I$114:$I$116</c:f>
              <c:numCache>
                <c:formatCode>0_);\(0\)</c:formatCode>
                <c:ptCount val="3"/>
                <c:pt idx="0">
                  <c:v>100</c:v>
                </c:pt>
                <c:pt idx="1">
                  <c:v>0</c:v>
                </c:pt>
                <c:pt idx="2">
                  <c:v>500</c:v>
                </c:pt>
              </c:numCache>
            </c:numRef>
          </c:xVal>
          <c:yVal>
            <c:numRef>
              <c:f>Complexity_Planning_Gate!$K$114:$K$116</c:f>
              <c:numCache>
                <c:formatCode>0.00_);\(0.00\)</c:formatCode>
                <c:ptCount val="3"/>
                <c:pt idx="1">
                  <c:v>4</c:v>
                </c:pt>
              </c:numCache>
            </c:numRef>
          </c:yVal>
          <c:smooth val="0"/>
          <c:extLst>
            <c:ext xmlns:c16="http://schemas.microsoft.com/office/drawing/2014/chart" uri="{C3380CC4-5D6E-409C-BE32-E72D297353CC}">
              <c16:uniqueId val="{00000000-1194-4EAA-B456-3F85D0416DF5}"/>
            </c:ext>
          </c:extLst>
        </c:ser>
        <c:dLbls>
          <c:showLegendKey val="0"/>
          <c:showVal val="0"/>
          <c:showCatName val="0"/>
          <c:showSerName val="0"/>
          <c:showPercent val="0"/>
          <c:showBubbleSize val="0"/>
        </c:dLbls>
        <c:axId val="-261906944"/>
        <c:axId val="-261922176"/>
      </c:scatterChart>
      <c:valAx>
        <c:axId val="-261906944"/>
        <c:scaling>
          <c:orientation val="minMax"/>
          <c:max val="500"/>
          <c:min val="100"/>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61922176"/>
        <c:crosses val="autoZero"/>
        <c:crossBetween val="midCat"/>
        <c:majorUnit val="100"/>
      </c:valAx>
      <c:valAx>
        <c:axId val="-261922176"/>
        <c:scaling>
          <c:orientation val="minMax"/>
          <c:max val="5"/>
        </c:scaling>
        <c:delete val="1"/>
        <c:axPos val="l"/>
        <c:numFmt formatCode="0.00_);\(0.00\)" sourceLinked="1"/>
        <c:majorTickMark val="out"/>
        <c:minorTickMark val="none"/>
        <c:tickLblPos val="nextTo"/>
        <c:crossAx val="-2619069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'Risk_Event-Driven'!$I$61</c:f>
              <c:strCache>
                <c:ptCount val="1"/>
                <c:pt idx="0">
                  <c:v>VALUES</c:v>
                </c:pt>
              </c:strCache>
            </c:strRef>
          </c:tx>
          <c:spPr>
            <a:ln w="0" cap="rnd">
              <a:solidFill>
                <a:schemeClr val="accent1"/>
              </a:solidFill>
              <a:round/>
            </a:ln>
            <a:effectLst/>
          </c:spPr>
          <c:marker>
            <c:symbol val="triangle"/>
            <c:size val="5"/>
            <c:spPr>
              <a:solidFill>
                <a:schemeClr val="accent1"/>
              </a:solidFill>
              <a:ln w="63500" cap="rnd">
                <a:solidFill>
                  <a:schemeClr val="accent1"/>
                </a:solidFill>
                <a:miter lim="800000"/>
              </a:ln>
              <a:effectLst/>
            </c:spPr>
          </c:marker>
          <c:xVal>
            <c:numRef>
              <c:f>'Risk_Event-Driven'!$I$62:$I$64</c:f>
              <c:numCache>
                <c:formatCode>0_);\(0\)</c:formatCode>
                <c:ptCount val="3"/>
                <c:pt idx="0">
                  <c:v>100</c:v>
                </c:pt>
                <c:pt idx="1">
                  <c:v>0</c:v>
                </c:pt>
                <c:pt idx="2">
                  <c:v>500</c:v>
                </c:pt>
              </c:numCache>
            </c:numRef>
          </c:xVal>
          <c:yVal>
            <c:numRef>
              <c:f>'Risk_Event-Driven'!$K$62:$K$64</c:f>
              <c:numCache>
                <c:formatCode>0.00_);\(0.00\)</c:formatCode>
                <c:ptCount val="3"/>
                <c:pt idx="1">
                  <c:v>4</c:v>
                </c:pt>
              </c:numCache>
            </c:numRef>
          </c:yVal>
          <c:smooth val="0"/>
          <c:extLst>
            <c:ext xmlns:c16="http://schemas.microsoft.com/office/drawing/2014/chart" uri="{C3380CC4-5D6E-409C-BE32-E72D297353CC}">
              <c16:uniqueId val="{00000000-A3EB-404F-A1BA-EEDCD18E533F}"/>
            </c:ext>
          </c:extLst>
        </c:ser>
        <c:dLbls>
          <c:showLegendKey val="0"/>
          <c:showVal val="0"/>
          <c:showCatName val="0"/>
          <c:showSerName val="0"/>
          <c:showPercent val="0"/>
          <c:showBubbleSize val="0"/>
        </c:dLbls>
        <c:axId val="-862824400"/>
        <c:axId val="-862829840"/>
      </c:scatterChart>
      <c:valAx>
        <c:axId val="-862824400"/>
        <c:scaling>
          <c:orientation val="minMax"/>
          <c:max val="500"/>
          <c:min val="100"/>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862829840"/>
        <c:crosses val="autoZero"/>
        <c:crossBetween val="midCat"/>
        <c:majorUnit val="100"/>
      </c:valAx>
      <c:valAx>
        <c:axId val="-862829840"/>
        <c:scaling>
          <c:orientation val="minMax"/>
          <c:max val="5"/>
        </c:scaling>
        <c:delete val="1"/>
        <c:axPos val="l"/>
        <c:numFmt formatCode="0.00_);\(0.00\)" sourceLinked="1"/>
        <c:majorTickMark val="out"/>
        <c:minorTickMark val="none"/>
        <c:tickLblPos val="nextTo"/>
        <c:crossAx val="-8628244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Complexity_Initiation_Gate!$I$125</c:f>
              <c:strCache>
                <c:ptCount val="1"/>
                <c:pt idx="0">
                  <c:v>VALUES</c:v>
                </c:pt>
              </c:strCache>
            </c:strRef>
          </c:tx>
          <c:spPr>
            <a:ln w="0" cap="rnd">
              <a:solidFill>
                <a:schemeClr val="accent1"/>
              </a:solidFill>
              <a:round/>
            </a:ln>
            <a:effectLst/>
          </c:spPr>
          <c:marker>
            <c:symbol val="diamond"/>
            <c:size val="5"/>
            <c:spPr>
              <a:solidFill>
                <a:schemeClr val="accent1"/>
              </a:solidFill>
              <a:ln w="63500" cap="rnd">
                <a:solidFill>
                  <a:schemeClr val="accent1"/>
                </a:solidFill>
                <a:miter lim="800000"/>
              </a:ln>
              <a:effectLst/>
            </c:spPr>
          </c:marker>
          <c:xVal>
            <c:numRef>
              <c:f>Complexity_Initiation_Gate!$I$126:$I$128</c:f>
              <c:numCache>
                <c:formatCode>0_);\(0\)</c:formatCode>
                <c:ptCount val="3"/>
                <c:pt idx="0">
                  <c:v>1</c:v>
                </c:pt>
                <c:pt idx="1">
                  <c:v>0</c:v>
                </c:pt>
                <c:pt idx="2">
                  <c:v>4</c:v>
                </c:pt>
              </c:numCache>
            </c:numRef>
          </c:xVal>
          <c:yVal>
            <c:numRef>
              <c:f>Complexity_Initiation_Gate!$K$126:$K$128</c:f>
              <c:numCache>
                <c:formatCode>0.00_);\(0.00\)</c:formatCode>
                <c:ptCount val="3"/>
                <c:pt idx="1">
                  <c:v>4</c:v>
                </c:pt>
              </c:numCache>
            </c:numRef>
          </c:yVal>
          <c:smooth val="0"/>
          <c:extLst>
            <c:ext xmlns:c16="http://schemas.microsoft.com/office/drawing/2014/chart" uri="{C3380CC4-5D6E-409C-BE32-E72D297353CC}">
              <c16:uniqueId val="{00000000-B846-4A49-878C-8CC0966D2537}"/>
            </c:ext>
          </c:extLst>
        </c:ser>
        <c:dLbls>
          <c:showLegendKey val="0"/>
          <c:showVal val="0"/>
          <c:showCatName val="0"/>
          <c:showSerName val="0"/>
          <c:showPercent val="0"/>
          <c:showBubbleSize val="0"/>
        </c:dLbls>
        <c:axId val="-261933056"/>
        <c:axId val="-261929248"/>
      </c:scatterChart>
      <c:valAx>
        <c:axId val="-261933056"/>
        <c:scaling>
          <c:orientation val="minMax"/>
          <c:max val="4"/>
          <c:min val="1"/>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61929248"/>
        <c:crosses val="autoZero"/>
        <c:crossBetween val="midCat"/>
        <c:majorUnit val="1"/>
      </c:valAx>
      <c:valAx>
        <c:axId val="-261929248"/>
        <c:scaling>
          <c:orientation val="minMax"/>
          <c:max val="5"/>
        </c:scaling>
        <c:delete val="1"/>
        <c:axPos val="l"/>
        <c:numFmt formatCode="0.00_);\(0.00\)" sourceLinked="1"/>
        <c:majorTickMark val="out"/>
        <c:minorTickMark val="none"/>
        <c:tickLblPos val="nextTo"/>
        <c:crossAx val="-2619330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Complexity_Planning_Gate!$I$127</c:f>
              <c:strCache>
                <c:ptCount val="1"/>
                <c:pt idx="0">
                  <c:v>VALUES</c:v>
                </c:pt>
              </c:strCache>
            </c:strRef>
          </c:tx>
          <c:spPr>
            <a:ln w="0" cap="rnd">
              <a:solidFill>
                <a:schemeClr val="accent1"/>
              </a:solidFill>
              <a:round/>
            </a:ln>
            <a:effectLst/>
          </c:spPr>
          <c:marker>
            <c:symbol val="diamond"/>
            <c:size val="5"/>
            <c:spPr>
              <a:solidFill>
                <a:schemeClr val="accent1"/>
              </a:solidFill>
              <a:ln w="63500" cap="rnd">
                <a:solidFill>
                  <a:schemeClr val="accent1"/>
                </a:solidFill>
                <a:miter lim="800000"/>
              </a:ln>
              <a:effectLst/>
            </c:spPr>
          </c:marker>
          <c:xVal>
            <c:numRef>
              <c:f>Complexity_Planning_Gate!$I$128:$I$130</c:f>
              <c:numCache>
                <c:formatCode>0_);\(0\)</c:formatCode>
                <c:ptCount val="3"/>
                <c:pt idx="0">
                  <c:v>1</c:v>
                </c:pt>
                <c:pt idx="1">
                  <c:v>0</c:v>
                </c:pt>
                <c:pt idx="2">
                  <c:v>4</c:v>
                </c:pt>
              </c:numCache>
            </c:numRef>
          </c:xVal>
          <c:yVal>
            <c:numRef>
              <c:f>Complexity_Planning_Gate!$K$128:$K$130</c:f>
              <c:numCache>
                <c:formatCode>0.00_);\(0.00\)</c:formatCode>
                <c:ptCount val="3"/>
                <c:pt idx="1">
                  <c:v>4</c:v>
                </c:pt>
              </c:numCache>
            </c:numRef>
          </c:yVal>
          <c:smooth val="0"/>
          <c:extLst>
            <c:ext xmlns:c16="http://schemas.microsoft.com/office/drawing/2014/chart" uri="{C3380CC4-5D6E-409C-BE32-E72D297353CC}">
              <c16:uniqueId val="{00000000-E72C-4629-B1A3-582EB5C56A26}"/>
            </c:ext>
          </c:extLst>
        </c:ser>
        <c:dLbls>
          <c:showLegendKey val="0"/>
          <c:showVal val="0"/>
          <c:showCatName val="0"/>
          <c:showSerName val="0"/>
          <c:showPercent val="0"/>
          <c:showBubbleSize val="0"/>
        </c:dLbls>
        <c:axId val="-261931424"/>
        <c:axId val="-261930880"/>
      </c:scatterChart>
      <c:valAx>
        <c:axId val="-261931424"/>
        <c:scaling>
          <c:orientation val="minMax"/>
          <c:max val="4"/>
          <c:min val="1"/>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61930880"/>
        <c:crosses val="autoZero"/>
        <c:crossBetween val="midCat"/>
        <c:majorUnit val="1"/>
      </c:valAx>
      <c:valAx>
        <c:axId val="-261930880"/>
        <c:scaling>
          <c:orientation val="minMax"/>
          <c:max val="5"/>
        </c:scaling>
        <c:delete val="1"/>
        <c:axPos val="l"/>
        <c:numFmt formatCode="0.00_);\(0.00\)" sourceLinked="1"/>
        <c:majorTickMark val="out"/>
        <c:minorTickMark val="none"/>
        <c:tickLblPos val="nextTo"/>
        <c:crossAx val="-2619314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'Risk_Event-Driven'!$I$68</c:f>
              <c:strCache>
                <c:ptCount val="1"/>
                <c:pt idx="0">
                  <c:v>VALUES</c:v>
                </c:pt>
              </c:strCache>
            </c:strRef>
          </c:tx>
          <c:spPr>
            <a:ln w="0" cap="rnd">
              <a:solidFill>
                <a:schemeClr val="accent1"/>
              </a:solidFill>
              <a:round/>
            </a:ln>
            <a:effectLst/>
          </c:spPr>
          <c:marker>
            <c:symbol val="diamond"/>
            <c:size val="5"/>
            <c:spPr>
              <a:solidFill>
                <a:schemeClr val="accent1"/>
              </a:solidFill>
              <a:ln w="63500" cap="rnd">
                <a:solidFill>
                  <a:schemeClr val="accent1"/>
                </a:solidFill>
                <a:miter lim="800000"/>
              </a:ln>
              <a:effectLst/>
            </c:spPr>
          </c:marker>
          <c:xVal>
            <c:numRef>
              <c:f>'Risk_Event-Driven'!$I$69:$I$71</c:f>
              <c:numCache>
                <c:formatCode>0_);\(0\)</c:formatCode>
                <c:ptCount val="3"/>
                <c:pt idx="0">
                  <c:v>1</c:v>
                </c:pt>
                <c:pt idx="1">
                  <c:v>0</c:v>
                </c:pt>
                <c:pt idx="2">
                  <c:v>4</c:v>
                </c:pt>
              </c:numCache>
            </c:numRef>
          </c:xVal>
          <c:yVal>
            <c:numRef>
              <c:f>'Risk_Event-Driven'!$K$69:$K$71</c:f>
              <c:numCache>
                <c:formatCode>0.00_);\(0.00\)</c:formatCode>
                <c:ptCount val="3"/>
                <c:pt idx="1">
                  <c:v>4</c:v>
                </c:pt>
              </c:numCache>
            </c:numRef>
          </c:yVal>
          <c:smooth val="0"/>
          <c:extLst>
            <c:ext xmlns:c16="http://schemas.microsoft.com/office/drawing/2014/chart" uri="{C3380CC4-5D6E-409C-BE32-E72D297353CC}">
              <c16:uniqueId val="{00000000-5BE8-452C-AC7C-844B0C2294AE}"/>
            </c:ext>
          </c:extLst>
        </c:ser>
        <c:dLbls>
          <c:showLegendKey val="0"/>
          <c:showVal val="0"/>
          <c:showCatName val="0"/>
          <c:showSerName val="0"/>
          <c:showPercent val="0"/>
          <c:showBubbleSize val="0"/>
        </c:dLbls>
        <c:axId val="-261922720"/>
        <c:axId val="-261927072"/>
      </c:scatterChart>
      <c:valAx>
        <c:axId val="-261922720"/>
        <c:scaling>
          <c:orientation val="minMax"/>
          <c:max val="4"/>
          <c:min val="1"/>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61927072"/>
        <c:crosses val="autoZero"/>
        <c:crossBetween val="midCat"/>
        <c:majorUnit val="1"/>
      </c:valAx>
      <c:valAx>
        <c:axId val="-261927072"/>
        <c:scaling>
          <c:orientation val="minMax"/>
          <c:max val="5"/>
        </c:scaling>
        <c:delete val="1"/>
        <c:axPos val="l"/>
        <c:numFmt formatCode="0.00_);\(0.00\)" sourceLinked="1"/>
        <c:majorTickMark val="out"/>
        <c:minorTickMark val="none"/>
        <c:tickLblPos val="nextTo"/>
        <c:crossAx val="-2619227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'Risk_Event-Driven'!$I$68</c:f>
              <c:strCache>
                <c:ptCount val="1"/>
                <c:pt idx="0">
                  <c:v>VALUES</c:v>
                </c:pt>
              </c:strCache>
            </c:strRef>
          </c:tx>
          <c:spPr>
            <a:ln w="0" cap="rnd">
              <a:solidFill>
                <a:schemeClr val="accent1"/>
              </a:solidFill>
              <a:round/>
            </a:ln>
            <a:effectLst/>
          </c:spPr>
          <c:marker>
            <c:symbol val="diamond"/>
            <c:size val="5"/>
            <c:spPr>
              <a:solidFill>
                <a:schemeClr val="accent1"/>
              </a:solidFill>
              <a:ln w="63500" cap="rnd">
                <a:solidFill>
                  <a:schemeClr val="accent1"/>
                </a:solidFill>
                <a:miter lim="800000"/>
              </a:ln>
              <a:effectLst/>
            </c:spPr>
          </c:marker>
          <c:xVal>
            <c:numRef>
              <c:f>'Risk_Event-Driven'!$I$69:$I$71</c:f>
              <c:numCache>
                <c:formatCode>0_);\(0\)</c:formatCode>
                <c:ptCount val="3"/>
                <c:pt idx="0">
                  <c:v>1</c:v>
                </c:pt>
                <c:pt idx="1">
                  <c:v>0</c:v>
                </c:pt>
                <c:pt idx="2">
                  <c:v>4</c:v>
                </c:pt>
              </c:numCache>
            </c:numRef>
          </c:xVal>
          <c:yVal>
            <c:numRef>
              <c:f>'Risk_Event-Driven'!$K$69:$K$71</c:f>
              <c:numCache>
                <c:formatCode>0.00_);\(0.00\)</c:formatCode>
                <c:ptCount val="3"/>
                <c:pt idx="1">
                  <c:v>4</c:v>
                </c:pt>
              </c:numCache>
            </c:numRef>
          </c:yVal>
          <c:smooth val="0"/>
          <c:extLst>
            <c:ext xmlns:c16="http://schemas.microsoft.com/office/drawing/2014/chart" uri="{C3380CC4-5D6E-409C-BE32-E72D297353CC}">
              <c16:uniqueId val="{00000000-EDBC-4287-83CD-44C1F70E3175}"/>
            </c:ext>
          </c:extLst>
        </c:ser>
        <c:dLbls>
          <c:showLegendKey val="0"/>
          <c:showVal val="0"/>
          <c:showCatName val="0"/>
          <c:showSerName val="0"/>
          <c:showPercent val="0"/>
          <c:showBubbleSize val="0"/>
        </c:dLbls>
        <c:axId val="-261920000"/>
        <c:axId val="-261915104"/>
      </c:scatterChart>
      <c:valAx>
        <c:axId val="-261920000"/>
        <c:scaling>
          <c:orientation val="minMax"/>
          <c:max val="4"/>
          <c:min val="1"/>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61915104"/>
        <c:crosses val="autoZero"/>
        <c:crossBetween val="midCat"/>
        <c:majorUnit val="1"/>
      </c:valAx>
      <c:valAx>
        <c:axId val="-261915104"/>
        <c:scaling>
          <c:orientation val="minMax"/>
          <c:max val="5"/>
        </c:scaling>
        <c:delete val="1"/>
        <c:axPos val="l"/>
        <c:numFmt formatCode="0.00_);\(0.00\)" sourceLinked="1"/>
        <c:majorTickMark val="out"/>
        <c:minorTickMark val="none"/>
        <c:tickLblPos val="nextTo"/>
        <c:crossAx val="-26192000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Risk_Pre_Charter!$I$83</c:f>
              <c:strCache>
                <c:ptCount val="1"/>
                <c:pt idx="0">
                  <c:v>VALUES</c:v>
                </c:pt>
              </c:strCache>
            </c:strRef>
          </c:tx>
          <c:spPr>
            <a:ln w="0" cap="rnd">
              <a:solidFill>
                <a:schemeClr val="accent1"/>
              </a:solidFill>
              <a:round/>
            </a:ln>
            <a:effectLst/>
          </c:spPr>
          <c:marker>
            <c:symbol val="triangle"/>
            <c:size val="5"/>
            <c:spPr>
              <a:solidFill>
                <a:schemeClr val="accent1"/>
              </a:solidFill>
              <a:ln w="63500" cap="rnd">
                <a:solidFill>
                  <a:schemeClr val="accent1"/>
                </a:solidFill>
                <a:miter lim="800000"/>
              </a:ln>
              <a:effectLst/>
            </c:spPr>
          </c:marker>
          <c:xVal>
            <c:numRef>
              <c:f>Risk_Pre_Charter!$I$84:$I$86</c:f>
              <c:numCache>
                <c:formatCode>0_);\(0\)</c:formatCode>
                <c:ptCount val="3"/>
                <c:pt idx="0">
                  <c:v>100</c:v>
                </c:pt>
                <c:pt idx="1">
                  <c:v>0</c:v>
                </c:pt>
                <c:pt idx="2">
                  <c:v>500</c:v>
                </c:pt>
              </c:numCache>
            </c:numRef>
          </c:xVal>
          <c:yVal>
            <c:numRef>
              <c:f>Risk_Pre_Charter!$K$84:$K$86</c:f>
              <c:numCache>
                <c:formatCode>0.00_);\(0.00\)</c:formatCode>
                <c:ptCount val="3"/>
                <c:pt idx="1">
                  <c:v>4</c:v>
                </c:pt>
              </c:numCache>
            </c:numRef>
          </c:yVal>
          <c:smooth val="0"/>
          <c:extLst>
            <c:ext xmlns:c16="http://schemas.microsoft.com/office/drawing/2014/chart" uri="{C3380CC4-5D6E-409C-BE32-E72D297353CC}">
              <c16:uniqueId val="{00000000-EF70-4F8A-B3E5-11CB05574C01}"/>
            </c:ext>
          </c:extLst>
        </c:ser>
        <c:dLbls>
          <c:showLegendKey val="0"/>
          <c:showVal val="0"/>
          <c:showCatName val="0"/>
          <c:showSerName val="0"/>
          <c:showPercent val="0"/>
          <c:showBubbleSize val="0"/>
        </c:dLbls>
        <c:axId val="-261914016"/>
        <c:axId val="-261913472"/>
      </c:scatterChart>
      <c:valAx>
        <c:axId val="-261914016"/>
        <c:scaling>
          <c:orientation val="minMax"/>
          <c:max val="500"/>
          <c:min val="100"/>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61913472"/>
        <c:crosses val="autoZero"/>
        <c:crossBetween val="midCat"/>
      </c:valAx>
      <c:valAx>
        <c:axId val="-261913472"/>
        <c:scaling>
          <c:orientation val="minMax"/>
          <c:max val="5"/>
        </c:scaling>
        <c:delete val="1"/>
        <c:axPos val="l"/>
        <c:numFmt formatCode="0.00_);\(0.00\)" sourceLinked="1"/>
        <c:majorTickMark val="out"/>
        <c:minorTickMark val="none"/>
        <c:tickLblPos val="nextTo"/>
        <c:crossAx val="-26191401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Complexity_Pre_Charter!$I$87</c:f>
              <c:strCache>
                <c:ptCount val="1"/>
                <c:pt idx="0">
                  <c:v>VALUES</c:v>
                </c:pt>
              </c:strCache>
            </c:strRef>
          </c:tx>
          <c:spPr>
            <a:ln w="0" cap="rnd">
              <a:solidFill>
                <a:schemeClr val="accent1"/>
              </a:solidFill>
              <a:round/>
            </a:ln>
            <a:effectLst/>
          </c:spPr>
          <c:marker>
            <c:symbol val="triangle"/>
            <c:size val="5"/>
            <c:spPr>
              <a:solidFill>
                <a:schemeClr val="accent1"/>
              </a:solidFill>
              <a:ln w="63500" cap="rnd">
                <a:solidFill>
                  <a:schemeClr val="accent1"/>
                </a:solidFill>
                <a:miter lim="800000"/>
              </a:ln>
              <a:effectLst/>
            </c:spPr>
          </c:marker>
          <c:xVal>
            <c:numRef>
              <c:f>Complexity_Pre_Charter!$I$88:$I$90</c:f>
              <c:numCache>
                <c:formatCode>0_);\(0\)</c:formatCode>
                <c:ptCount val="3"/>
                <c:pt idx="0">
                  <c:v>100</c:v>
                </c:pt>
                <c:pt idx="1">
                  <c:v>0</c:v>
                </c:pt>
                <c:pt idx="2">
                  <c:v>500</c:v>
                </c:pt>
              </c:numCache>
            </c:numRef>
          </c:xVal>
          <c:yVal>
            <c:numRef>
              <c:f>Complexity_Pre_Charter!$K$88:$K$90</c:f>
              <c:numCache>
                <c:formatCode>0.00_);\(0.00\)</c:formatCode>
                <c:ptCount val="3"/>
                <c:pt idx="1">
                  <c:v>4</c:v>
                </c:pt>
              </c:numCache>
            </c:numRef>
          </c:yVal>
          <c:smooth val="0"/>
          <c:extLst>
            <c:ext xmlns:c16="http://schemas.microsoft.com/office/drawing/2014/chart" uri="{C3380CC4-5D6E-409C-BE32-E72D297353CC}">
              <c16:uniqueId val="{00000000-CC60-4629-A510-6A553B018BA2}"/>
            </c:ext>
          </c:extLst>
        </c:ser>
        <c:dLbls>
          <c:showLegendKey val="0"/>
          <c:showVal val="0"/>
          <c:showCatName val="0"/>
          <c:showSerName val="0"/>
          <c:showPercent val="0"/>
          <c:showBubbleSize val="0"/>
        </c:dLbls>
        <c:axId val="-261915648"/>
        <c:axId val="-261917824"/>
      </c:scatterChart>
      <c:valAx>
        <c:axId val="-261915648"/>
        <c:scaling>
          <c:orientation val="minMax"/>
          <c:max val="500"/>
          <c:min val="100"/>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61917824"/>
        <c:crosses val="autoZero"/>
        <c:crossBetween val="midCat"/>
      </c:valAx>
      <c:valAx>
        <c:axId val="-261917824"/>
        <c:scaling>
          <c:orientation val="minMax"/>
          <c:max val="5"/>
        </c:scaling>
        <c:delete val="1"/>
        <c:axPos val="l"/>
        <c:numFmt formatCode="0.00_);\(0.00\)" sourceLinked="1"/>
        <c:majorTickMark val="out"/>
        <c:minorTickMark val="none"/>
        <c:tickLblPos val="nextTo"/>
        <c:crossAx val="-26191564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Risk_Initiation_Gate!$I$132</c:f>
              <c:strCache>
                <c:ptCount val="1"/>
                <c:pt idx="0">
                  <c:v>VALUES</c:v>
                </c:pt>
              </c:strCache>
            </c:strRef>
          </c:tx>
          <c:spPr>
            <a:ln w="0" cap="rnd">
              <a:solidFill>
                <a:schemeClr val="accent1"/>
              </a:solidFill>
              <a:round/>
            </a:ln>
            <a:effectLst/>
          </c:spPr>
          <c:marker>
            <c:symbol val="triangle"/>
            <c:size val="5"/>
            <c:spPr>
              <a:solidFill>
                <a:schemeClr val="accent1"/>
              </a:solidFill>
              <a:ln w="63500" cap="rnd">
                <a:solidFill>
                  <a:schemeClr val="accent1"/>
                </a:solidFill>
                <a:miter lim="800000"/>
              </a:ln>
              <a:effectLst/>
            </c:spPr>
          </c:marker>
          <c:xVal>
            <c:numRef>
              <c:f>Risk_Initiation_Gate!$I$133:$I$135</c:f>
              <c:numCache>
                <c:formatCode>0_);\(0\)</c:formatCode>
                <c:ptCount val="3"/>
                <c:pt idx="0">
                  <c:v>100</c:v>
                </c:pt>
                <c:pt idx="1">
                  <c:v>0</c:v>
                </c:pt>
                <c:pt idx="2">
                  <c:v>500</c:v>
                </c:pt>
              </c:numCache>
            </c:numRef>
          </c:xVal>
          <c:yVal>
            <c:numRef>
              <c:f>Risk_Initiation_Gate!$K$133:$K$135</c:f>
              <c:numCache>
                <c:formatCode>0.00_);\(0.00\)</c:formatCode>
                <c:ptCount val="3"/>
                <c:pt idx="1">
                  <c:v>4</c:v>
                </c:pt>
              </c:numCache>
            </c:numRef>
          </c:yVal>
          <c:smooth val="0"/>
          <c:extLst>
            <c:ext xmlns:c16="http://schemas.microsoft.com/office/drawing/2014/chart" uri="{C3380CC4-5D6E-409C-BE32-E72D297353CC}">
              <c16:uniqueId val="{00000000-DBD0-4E66-8594-E41DABD95816}"/>
            </c:ext>
          </c:extLst>
        </c:ser>
        <c:dLbls>
          <c:showLegendKey val="0"/>
          <c:showVal val="0"/>
          <c:showCatName val="0"/>
          <c:showSerName val="0"/>
          <c:showPercent val="0"/>
          <c:showBubbleSize val="0"/>
        </c:dLbls>
        <c:axId val="-261911840"/>
        <c:axId val="-261911296"/>
      </c:scatterChart>
      <c:valAx>
        <c:axId val="-261911840"/>
        <c:scaling>
          <c:orientation val="minMax"/>
          <c:max val="500"/>
          <c:min val="100"/>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61911296"/>
        <c:crosses val="autoZero"/>
        <c:crossBetween val="midCat"/>
        <c:majorUnit val="100"/>
      </c:valAx>
      <c:valAx>
        <c:axId val="-261911296"/>
        <c:scaling>
          <c:orientation val="minMax"/>
          <c:max val="5"/>
        </c:scaling>
        <c:delete val="1"/>
        <c:axPos val="l"/>
        <c:numFmt formatCode="0.00_);\(0.00\)" sourceLinked="1"/>
        <c:majorTickMark val="out"/>
        <c:minorTickMark val="none"/>
        <c:tickLblPos val="nextTo"/>
        <c:crossAx val="-2619118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Complexity_Initiation_Gate!$I$112</c:f>
              <c:strCache>
                <c:ptCount val="1"/>
                <c:pt idx="0">
                  <c:v>VALUES</c:v>
                </c:pt>
              </c:strCache>
            </c:strRef>
          </c:tx>
          <c:spPr>
            <a:ln w="0" cap="rnd">
              <a:solidFill>
                <a:schemeClr val="accent1"/>
              </a:solidFill>
              <a:round/>
            </a:ln>
            <a:effectLst/>
          </c:spPr>
          <c:marker>
            <c:symbol val="triangle"/>
            <c:size val="5"/>
            <c:spPr>
              <a:solidFill>
                <a:schemeClr val="accent1"/>
              </a:solidFill>
              <a:ln w="63500" cap="rnd">
                <a:solidFill>
                  <a:schemeClr val="accent1"/>
                </a:solidFill>
                <a:miter lim="800000"/>
              </a:ln>
              <a:effectLst/>
            </c:spPr>
          </c:marker>
          <c:xVal>
            <c:numRef>
              <c:f>Complexity_Initiation_Gate!$I$113:$I$115</c:f>
              <c:numCache>
                <c:formatCode>0_);\(0\)</c:formatCode>
                <c:ptCount val="3"/>
                <c:pt idx="0">
                  <c:v>100</c:v>
                </c:pt>
                <c:pt idx="1">
                  <c:v>0</c:v>
                </c:pt>
                <c:pt idx="2">
                  <c:v>500</c:v>
                </c:pt>
              </c:numCache>
            </c:numRef>
          </c:xVal>
          <c:yVal>
            <c:numRef>
              <c:f>Complexity_Initiation_Gate!$K$113:$K$115</c:f>
              <c:numCache>
                <c:formatCode>0.00_);\(0.00\)</c:formatCode>
                <c:ptCount val="3"/>
                <c:pt idx="1">
                  <c:v>4</c:v>
                </c:pt>
              </c:numCache>
            </c:numRef>
          </c:yVal>
          <c:smooth val="0"/>
          <c:extLst>
            <c:ext xmlns:c16="http://schemas.microsoft.com/office/drawing/2014/chart" uri="{C3380CC4-5D6E-409C-BE32-E72D297353CC}">
              <c16:uniqueId val="{00000000-9521-4774-B618-FE5DA9971641}"/>
            </c:ext>
          </c:extLst>
        </c:ser>
        <c:dLbls>
          <c:showLegendKey val="0"/>
          <c:showVal val="0"/>
          <c:showCatName val="0"/>
          <c:showSerName val="0"/>
          <c:showPercent val="0"/>
          <c:showBubbleSize val="0"/>
        </c:dLbls>
        <c:axId val="-261910752"/>
        <c:axId val="-261916736"/>
      </c:scatterChart>
      <c:valAx>
        <c:axId val="-261910752"/>
        <c:scaling>
          <c:orientation val="minMax"/>
          <c:max val="500"/>
          <c:min val="100"/>
        </c:scaling>
        <c:delete val="0"/>
        <c:axPos val="b"/>
        <c:numFmt formatCode="0_);\(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261916736"/>
        <c:crosses val="autoZero"/>
        <c:crossBetween val="midCat"/>
        <c:majorUnit val="100"/>
        <c:minorUnit val="75"/>
      </c:valAx>
      <c:valAx>
        <c:axId val="-261916736"/>
        <c:scaling>
          <c:orientation val="minMax"/>
          <c:max val="5"/>
        </c:scaling>
        <c:delete val="1"/>
        <c:axPos val="l"/>
        <c:numFmt formatCode="0.00_);\(0.00\)" sourceLinked="1"/>
        <c:majorTickMark val="out"/>
        <c:minorTickMark val="none"/>
        <c:tickLblPos val="nextTo"/>
        <c:crossAx val="-2619107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76200</xdr:colOff>
      <xdr:row>0</xdr:row>
      <xdr:rowOff>57150</xdr:rowOff>
    </xdr:from>
    <xdr:to>
      <xdr:col>8</xdr:col>
      <xdr:colOff>523875</xdr:colOff>
      <xdr:row>6</xdr:row>
      <xdr:rowOff>64969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0200" y="57150"/>
          <a:ext cx="2886075" cy="16842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1122588</xdr:colOff>
      <xdr:row>85</xdr:row>
      <xdr:rowOff>97972</xdr:rowOff>
    </xdr:from>
    <xdr:to>
      <xdr:col>0</xdr:col>
      <xdr:colOff>5361213</xdr:colOff>
      <xdr:row>87</xdr:row>
      <xdr:rowOff>164647</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1123950</xdr:colOff>
      <xdr:row>82</xdr:row>
      <xdr:rowOff>163390</xdr:rowOff>
    </xdr:from>
    <xdr:to>
      <xdr:col>0</xdr:col>
      <xdr:colOff>2606188</xdr:colOff>
      <xdr:row>85</xdr:row>
      <xdr:rowOff>75466</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123950" y="16955965"/>
          <a:ext cx="1482238" cy="483576"/>
        </a:xfrm>
        <a:prstGeom prst="rect">
          <a:avLst/>
        </a:prstGeom>
        <a:solidFill>
          <a:srgbClr val="00B05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00B050"/>
              </a:solidFill>
            </a:rPr>
            <a:t>LOW RISK</a:t>
          </a:r>
        </a:p>
      </xdr:txBody>
    </xdr:sp>
    <xdr:clientData/>
  </xdr:twoCellAnchor>
  <xdr:twoCellAnchor>
    <xdr:from>
      <xdr:col>0</xdr:col>
      <xdr:colOff>3873746</xdr:colOff>
      <xdr:row>82</xdr:row>
      <xdr:rowOff>161925</xdr:rowOff>
    </xdr:from>
    <xdr:to>
      <xdr:col>0</xdr:col>
      <xdr:colOff>5359978</xdr:colOff>
      <xdr:row>85</xdr:row>
      <xdr:rowOff>76200</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873746" y="16954500"/>
          <a:ext cx="1486232" cy="485775"/>
        </a:xfrm>
        <a:prstGeom prst="rect">
          <a:avLst/>
        </a:prstGeom>
        <a:solidFill>
          <a:srgbClr val="FF00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HIGH RISK</a:t>
          </a:r>
        </a:p>
      </xdr:txBody>
    </xdr:sp>
    <xdr:clientData/>
  </xdr:twoCellAnchor>
  <xdr:twoCellAnchor>
    <xdr:from>
      <xdr:col>0</xdr:col>
      <xdr:colOff>2613514</xdr:colOff>
      <xdr:row>82</xdr:row>
      <xdr:rowOff>165587</xdr:rowOff>
    </xdr:from>
    <xdr:to>
      <xdr:col>0</xdr:col>
      <xdr:colOff>3866418</xdr:colOff>
      <xdr:row>85</xdr:row>
      <xdr:rowOff>76650</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2613514" y="16958162"/>
          <a:ext cx="1252904" cy="482563"/>
        </a:xfrm>
        <a:prstGeom prst="rect">
          <a:avLst/>
        </a:prstGeom>
        <a:solidFill>
          <a:srgbClr val="FFFF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C000"/>
              </a:solidFill>
            </a:rPr>
            <a:t>MEDIUM RISK</a:t>
          </a:r>
        </a:p>
      </xdr:txBody>
    </xdr:sp>
    <xdr:clientData/>
  </xdr:twoCellAnchor>
  <xdr:twoCellAnchor>
    <xdr:from>
      <xdr:col>5</xdr:col>
      <xdr:colOff>485775</xdr:colOff>
      <xdr:row>1</xdr:row>
      <xdr:rowOff>345929</xdr:rowOff>
    </xdr:from>
    <xdr:to>
      <xdr:col>5</xdr:col>
      <xdr:colOff>874132</xdr:colOff>
      <xdr:row>6</xdr:row>
      <xdr:rowOff>150816</xdr:rowOff>
    </xdr:to>
    <xdr:cxnSp macro="">
      <xdr:nvCxnSpPr>
        <xdr:cNvPr id="7" name="Elbow Connector 6">
          <a:extLst>
            <a:ext uri="{FF2B5EF4-FFF2-40B4-BE49-F238E27FC236}">
              <a16:creationId xmlns:a16="http://schemas.microsoft.com/office/drawing/2014/main" id="{00000000-0008-0000-0A00-000007000000}"/>
            </a:ext>
          </a:extLst>
        </xdr:cNvPr>
        <xdr:cNvCxnSpPr/>
      </xdr:nvCxnSpPr>
      <xdr:spPr>
        <a:xfrm rot="5400000">
          <a:off x="9111885" y="1273394"/>
          <a:ext cx="1995637" cy="388357"/>
        </a:xfrm>
        <a:prstGeom prst="bentConnector3">
          <a:avLst>
            <a:gd name="adj1" fmla="val 56364"/>
          </a:avLst>
        </a:prstGeom>
        <a:ln>
          <a:solidFill>
            <a:schemeClr val="accent6">
              <a:lumMod val="75000"/>
            </a:schemeClr>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835194</xdr:colOff>
      <xdr:row>1</xdr:row>
      <xdr:rowOff>266700</xdr:rowOff>
    </xdr:from>
    <xdr:to>
      <xdr:col>5</xdr:col>
      <xdr:colOff>906634</xdr:colOff>
      <xdr:row>1</xdr:row>
      <xdr:rowOff>337681</xdr:rowOff>
    </xdr:to>
    <xdr:sp macro="" textlink="">
      <xdr:nvSpPr>
        <xdr:cNvPr id="8" name="Oval 7">
          <a:extLst>
            <a:ext uri="{FF2B5EF4-FFF2-40B4-BE49-F238E27FC236}">
              <a16:creationId xmlns:a16="http://schemas.microsoft.com/office/drawing/2014/main" id="{00000000-0008-0000-0A00-000008000000}"/>
            </a:ext>
          </a:extLst>
        </xdr:cNvPr>
        <xdr:cNvSpPr/>
      </xdr:nvSpPr>
      <xdr:spPr>
        <a:xfrm>
          <a:off x="10264944" y="390525"/>
          <a:ext cx="71440" cy="70981"/>
        </a:xfrm>
        <a:prstGeom prst="ellipse">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2</xdr:row>
          <xdr:rowOff>142875</xdr:rowOff>
        </xdr:from>
        <xdr:to>
          <xdr:col>5</xdr:col>
          <xdr:colOff>933450</xdr:colOff>
          <xdr:row>42</xdr:row>
          <xdr:rowOff>9525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xdr:colOff>
      <xdr:row>8</xdr:row>
      <xdr:rowOff>0</xdr:rowOff>
    </xdr:from>
    <xdr:to>
      <xdr:col>12</xdr:col>
      <xdr:colOff>0</xdr:colOff>
      <xdr:row>11</xdr:row>
      <xdr:rowOff>180975</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16</xdr:row>
      <xdr:rowOff>0</xdr:rowOff>
    </xdr:from>
    <xdr:to>
      <xdr:col>11</xdr:col>
      <xdr:colOff>600074</xdr:colOff>
      <xdr:row>19</xdr:row>
      <xdr:rowOff>180975</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13</xdr:col>
      <xdr:colOff>9525</xdr:colOff>
      <xdr:row>9</xdr:row>
      <xdr:rowOff>5447</xdr:rowOff>
    </xdr:from>
    <xdr:ext cx="3167743" cy="4061728"/>
    <xdr:sp macro="" textlink="">
      <xdr:nvSpPr>
        <xdr:cNvPr id="2" name="Rectangle 1">
          <a:extLst>
            <a:ext uri="{FF2B5EF4-FFF2-40B4-BE49-F238E27FC236}">
              <a16:creationId xmlns:a16="http://schemas.microsoft.com/office/drawing/2014/main" id="{00000000-0008-0000-0300-000002000000}"/>
            </a:ext>
          </a:extLst>
        </xdr:cNvPr>
        <xdr:cNvSpPr/>
      </xdr:nvSpPr>
      <xdr:spPr>
        <a:xfrm>
          <a:off x="7800975" y="1462772"/>
          <a:ext cx="3167743" cy="4061728"/>
        </a:xfrm>
        <a:prstGeom prst="rect">
          <a:avLst/>
        </a:prstGeom>
        <a:solidFill>
          <a:schemeClr val="bg1">
            <a:lumMod val="85000"/>
            <a:alpha val="25000"/>
          </a:schemeClr>
        </a:solidFill>
        <a:ln w="6350">
          <a:solidFill>
            <a:schemeClr val="bg1">
              <a:lumMod val="50000"/>
            </a:schemeClr>
          </a:solidFill>
        </a:ln>
      </xdr:spPr>
      <xdr:style>
        <a:lnRef idx="2">
          <a:schemeClr val="accent1">
            <a:shade val="50000"/>
          </a:schemeClr>
        </a:lnRef>
        <a:fillRef idx="1001">
          <a:schemeClr val="lt2"/>
        </a:fillRef>
        <a:effectRef idx="0">
          <a:schemeClr val="accent1"/>
        </a:effectRef>
        <a:fontRef idx="minor">
          <a:schemeClr val="lt1"/>
        </a:fontRef>
      </xdr:style>
      <xdr:txBody>
        <a:bodyPr vertOverflow="clip" horzOverflow="clip" lIns="91440" rtlCol="0" anchor="t">
          <a:noAutofit/>
        </a:bodyPr>
        <a:lstStyle/>
        <a:p>
          <a:pPr algn="l"/>
          <a:r>
            <a:rPr lang="en-US" sz="1100" b="1">
              <a:solidFill>
                <a:srgbClr val="002060"/>
              </a:solidFill>
            </a:rPr>
            <a:t>1)  Activate an Assessment:</a:t>
          </a:r>
          <a:endParaRPr lang="en-US" sz="1100" b="1" baseline="0">
            <a:solidFill>
              <a:srgbClr val="002060"/>
            </a:solidFill>
          </a:endParaRPr>
        </a:p>
        <a:p>
          <a:pPr algn="l"/>
          <a:endParaRPr lang="en-US" sz="1100" b="1" baseline="0">
            <a:solidFill>
              <a:srgbClr val="002060"/>
            </a:solidFill>
          </a:endParaRPr>
        </a:p>
        <a:p>
          <a:pPr algn="l"/>
          <a:r>
            <a:rPr lang="en-US" sz="1100" b="1" baseline="0">
              <a:solidFill>
                <a:srgbClr val="002060"/>
              </a:solidFill>
            </a:rPr>
            <a:t>•  </a:t>
          </a:r>
          <a:r>
            <a:rPr lang="en-US" sz="1100" b="1">
              <a:solidFill>
                <a:srgbClr val="002060"/>
              </a:solidFill>
            </a:rPr>
            <a:t>Select</a:t>
          </a:r>
          <a:r>
            <a:rPr lang="en-US" sz="1100" b="1" baseline="0">
              <a:solidFill>
                <a:srgbClr val="002060"/>
              </a:solidFill>
            </a:rPr>
            <a:t> "Yes" or "No" from the "Activate Assessment" drop-down list.   </a:t>
          </a:r>
        </a:p>
        <a:p>
          <a:pPr algn="l"/>
          <a:r>
            <a:rPr lang="en-US" sz="1100" b="0" baseline="0">
              <a:solidFill>
                <a:srgbClr val="002060"/>
              </a:solidFill>
            </a:rPr>
            <a:t>        •  "Yes" activates the assessment.</a:t>
          </a:r>
        </a:p>
        <a:p>
          <a:pPr marL="0" marR="0" indent="0" algn="l" defTabSz="914400" eaLnBrk="1" fontAlgn="auto" latinLnBrk="0" hangingPunct="1">
            <a:lnSpc>
              <a:spcPct val="100000"/>
            </a:lnSpc>
            <a:spcBef>
              <a:spcPts val="0"/>
            </a:spcBef>
            <a:spcAft>
              <a:spcPts val="0"/>
            </a:spcAft>
            <a:buClrTx/>
            <a:buSzTx/>
            <a:buFontTx/>
            <a:buNone/>
            <a:tabLst/>
            <a:defRPr/>
          </a:pPr>
          <a:r>
            <a:rPr lang="en-US" sz="1100" b="0" baseline="0">
              <a:solidFill>
                <a:srgbClr val="002060"/>
              </a:solidFill>
            </a:rPr>
            <a:t>        •  "No</a:t>
          </a:r>
          <a:r>
            <a:rPr lang="en-US" sz="1100" b="0" baseline="0">
              <a:solidFill>
                <a:srgbClr val="002060"/>
              </a:solidFill>
              <a:effectLst/>
              <a:latin typeface="+mn-lt"/>
              <a:ea typeface="+mn-ea"/>
              <a:cs typeface="+mn-cs"/>
            </a:rPr>
            <a:t>" deactivates the assessment.</a:t>
          </a:r>
        </a:p>
        <a:p>
          <a:pPr marL="0" marR="0" indent="0" algn="l" defTabSz="914400" eaLnBrk="1" fontAlgn="auto" latinLnBrk="0" hangingPunct="1">
            <a:lnSpc>
              <a:spcPct val="100000"/>
            </a:lnSpc>
            <a:spcBef>
              <a:spcPts val="0"/>
            </a:spcBef>
            <a:spcAft>
              <a:spcPts val="0"/>
            </a:spcAft>
            <a:buClrTx/>
            <a:buSzTx/>
            <a:buFontTx/>
            <a:buNone/>
            <a:tabLst/>
            <a:defRPr/>
          </a:pPr>
          <a:endParaRPr lang="en-US" sz="800" b="1" baseline="0">
            <a:solidFill>
              <a:srgbClr val="00206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rgbClr val="002060"/>
              </a:solidFill>
              <a:effectLst/>
              <a:latin typeface="+mn-lt"/>
              <a:ea typeface="+mn-ea"/>
              <a:cs typeface="+mn-cs"/>
            </a:rPr>
            <a:t>NOTES:  </a:t>
          </a:r>
        </a:p>
        <a:p>
          <a:pPr marL="0" marR="0" indent="0" algn="l" defTabSz="914400" eaLnBrk="1" fontAlgn="auto" latinLnBrk="0" hangingPunct="1">
            <a:lnSpc>
              <a:spcPct val="100000"/>
            </a:lnSpc>
            <a:spcBef>
              <a:spcPts val="0"/>
            </a:spcBef>
            <a:spcAft>
              <a:spcPts val="0"/>
            </a:spcAft>
            <a:buClrTx/>
            <a:buSzTx/>
            <a:buFontTx/>
            <a:buNone/>
            <a:tabLst/>
            <a:defRPr/>
          </a:pPr>
          <a:r>
            <a:rPr lang="en-US" sz="1100" b="0" baseline="0">
              <a:solidFill>
                <a:srgbClr val="002060"/>
              </a:solidFill>
              <a:effectLst/>
              <a:latin typeface="+mn-lt"/>
              <a:ea typeface="+mn-ea"/>
              <a:cs typeface="+mn-cs"/>
            </a:rPr>
            <a:t>•  Make sure that the current assessment is activated and assessments for all previous project phases are activated.  Start with the Pre-Charter Assessment and proceed toward the current project phase.  </a:t>
          </a:r>
          <a:r>
            <a:rPr lang="en-US" sz="1100" b="1" baseline="0">
              <a:solidFill>
                <a:srgbClr val="002060"/>
              </a:solidFill>
              <a:effectLst/>
              <a:latin typeface="+mn-lt"/>
              <a:ea typeface="+mn-ea"/>
              <a:cs typeface="+mn-cs"/>
            </a:rPr>
            <a:t>Do not activate assessments for future project phases.</a:t>
          </a:r>
        </a:p>
        <a:p>
          <a:pPr marL="0" marR="0" indent="0" algn="l" defTabSz="914400" eaLnBrk="1" fontAlgn="auto" latinLnBrk="0" hangingPunct="1">
            <a:lnSpc>
              <a:spcPct val="100000"/>
            </a:lnSpc>
            <a:spcBef>
              <a:spcPts val="0"/>
            </a:spcBef>
            <a:spcAft>
              <a:spcPts val="0"/>
            </a:spcAft>
            <a:buClrTx/>
            <a:buSzTx/>
            <a:buFontTx/>
            <a:buNone/>
            <a:tabLst/>
            <a:defRPr/>
          </a:pPr>
          <a:endParaRPr lang="en-US" sz="800" b="0" baseline="0">
            <a:solidFill>
              <a:srgbClr val="00206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100" b="0" baseline="0">
              <a:solidFill>
                <a:srgbClr val="002060"/>
              </a:solidFill>
              <a:effectLst/>
              <a:latin typeface="+mn-lt"/>
              <a:ea typeface="+mn-ea"/>
              <a:cs typeface="+mn-cs"/>
            </a:rPr>
            <a:t>•  Questions in activated assessments that are left blank will default to their highest possible score, which will count toward the overall (cumulative) score and corresponding project category.  </a:t>
          </a:r>
        </a:p>
        <a:p>
          <a:pPr marL="0" marR="0" indent="0" algn="l" defTabSz="914400" eaLnBrk="1" fontAlgn="auto" latinLnBrk="0" hangingPunct="1">
            <a:lnSpc>
              <a:spcPct val="100000"/>
            </a:lnSpc>
            <a:spcBef>
              <a:spcPts val="0"/>
            </a:spcBef>
            <a:spcAft>
              <a:spcPts val="0"/>
            </a:spcAft>
            <a:buClrTx/>
            <a:buSzTx/>
            <a:buFontTx/>
            <a:buNone/>
            <a:tabLst/>
            <a:defRPr/>
          </a:pPr>
          <a:endParaRPr lang="en-US" sz="800" b="0" baseline="0">
            <a:solidFill>
              <a:srgbClr val="00206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100" b="0" baseline="0">
              <a:solidFill>
                <a:srgbClr val="002060"/>
              </a:solidFill>
              <a:effectLst/>
              <a:latin typeface="+mn-lt"/>
              <a:ea typeface="+mn-ea"/>
              <a:cs typeface="+mn-cs"/>
            </a:rPr>
            <a:t>•  Questions in deactivated assessments will not be scored and will not count toward the overall (cumulative) score and corresponding project category.</a:t>
          </a:r>
          <a:endParaRPr lang="en-US" b="0">
            <a:solidFill>
              <a:srgbClr val="002060"/>
            </a:solidFill>
            <a:effectLst/>
          </a:endParaRPr>
        </a:p>
        <a:p>
          <a:pPr algn="l"/>
          <a:endParaRPr lang="en-US" sz="1100" b="1">
            <a:solidFill>
              <a:srgbClr val="002060"/>
            </a:solidFill>
          </a:endParaRPr>
        </a:p>
      </xdr:txBody>
    </xdr:sp>
    <xdr:clientData/>
  </xdr:oneCellAnchor>
  <xdr:twoCellAnchor>
    <xdr:from>
      <xdr:col>7</xdr:col>
      <xdr:colOff>0</xdr:colOff>
      <xdr:row>24</xdr:row>
      <xdr:rowOff>0</xdr:rowOff>
    </xdr:from>
    <xdr:to>
      <xdr:col>11</xdr:col>
      <xdr:colOff>600074</xdr:colOff>
      <xdr:row>27</xdr:row>
      <xdr:rowOff>180975</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32</xdr:row>
      <xdr:rowOff>1</xdr:rowOff>
    </xdr:from>
    <xdr:to>
      <xdr:col>11</xdr:col>
      <xdr:colOff>447674</xdr:colOff>
      <xdr:row>36</xdr:row>
      <xdr:rowOff>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39</xdr:row>
      <xdr:rowOff>1</xdr:rowOff>
    </xdr:from>
    <xdr:to>
      <xdr:col>11</xdr:col>
      <xdr:colOff>447674</xdr:colOff>
      <xdr:row>43</xdr:row>
      <xdr:rowOff>0</xdr:rowOff>
    </xdr:to>
    <xdr:graphicFrame macro="">
      <xdr:nvGraphicFramePr>
        <xdr:cNvPr id="12" name="Chart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2</xdr:colOff>
      <xdr:row>6</xdr:row>
      <xdr:rowOff>2710</xdr:rowOff>
    </xdr:from>
    <xdr:to>
      <xdr:col>19</xdr:col>
      <xdr:colOff>1</xdr:colOff>
      <xdr:row>7</xdr:row>
      <xdr:rowOff>190499</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7796895" y="887174"/>
          <a:ext cx="3184070" cy="378289"/>
        </a:xfrm>
        <a:prstGeom prst="rect">
          <a:avLst/>
        </a:prstGeom>
        <a:solidFill>
          <a:schemeClr val="bg1">
            <a:lumMod val="65000"/>
            <a:alpha val="25000"/>
          </a:schemeClr>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002060"/>
              </a:solidFill>
            </a:rPr>
            <a:t>INSTRUCTIONS</a:t>
          </a:r>
        </a:p>
      </xdr:txBody>
    </xdr:sp>
    <xdr:clientData/>
  </xdr:twoCellAnchor>
  <xdr:twoCellAnchor>
    <xdr:from>
      <xdr:col>13</xdr:col>
      <xdr:colOff>5445</xdr:colOff>
      <xdr:row>32</xdr:row>
      <xdr:rowOff>7205</xdr:rowOff>
    </xdr:from>
    <xdr:to>
      <xdr:col>19</xdr:col>
      <xdr:colOff>7328</xdr:colOff>
      <xdr:row>44</xdr:row>
      <xdr:rowOff>9525</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8530320" y="6036530"/>
          <a:ext cx="3173708" cy="2288320"/>
        </a:xfrm>
        <a:prstGeom prst="rect">
          <a:avLst/>
        </a:prstGeom>
        <a:solidFill>
          <a:schemeClr val="bg1">
            <a:lumMod val="85000"/>
            <a:alpha val="25000"/>
          </a:schemeClr>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solidFill>
                <a:srgbClr val="002060"/>
              </a:solidFill>
            </a:rPr>
            <a:t>2)  Once an assessment is activated, answer its</a:t>
          </a:r>
          <a:r>
            <a:rPr lang="en-US" sz="1100" b="1" baseline="0">
              <a:solidFill>
                <a:srgbClr val="002060"/>
              </a:solidFill>
            </a:rPr>
            <a:t> questions by selecting one response for each question from the drop-down list in the box located directly to the right of each question.</a:t>
          </a:r>
        </a:p>
        <a:p>
          <a:pPr algn="l"/>
          <a:endParaRPr lang="en-US" sz="1100" b="1" baseline="0">
            <a:solidFill>
              <a:srgbClr val="002060"/>
            </a:solidFill>
          </a:endParaRPr>
        </a:p>
        <a:p>
          <a:pPr algn="l"/>
          <a:r>
            <a:rPr lang="en-US" sz="1100" b="1" baseline="0">
              <a:solidFill>
                <a:srgbClr val="002060"/>
              </a:solidFill>
            </a:rPr>
            <a:t>NOTES:</a:t>
          </a:r>
        </a:p>
        <a:p>
          <a:pPr algn="l"/>
          <a:r>
            <a:rPr lang="en-US" sz="1100" b="0" baseline="0">
              <a:solidFill>
                <a:srgbClr val="002060"/>
              </a:solidFill>
            </a:rPr>
            <a:t>•  </a:t>
          </a:r>
          <a:r>
            <a:rPr lang="en-US" sz="1100" b="1" baseline="0">
              <a:solidFill>
                <a:srgbClr val="002060"/>
              </a:solidFill>
            </a:rPr>
            <a:t>Do not leave any questions blank.  </a:t>
          </a:r>
          <a:r>
            <a:rPr lang="en-US" sz="1100" b="0" baseline="0">
              <a:solidFill>
                <a:srgbClr val="002060"/>
              </a:solidFill>
            </a:rPr>
            <a:t>Questions left blank will default to their highest possible score.  </a:t>
          </a:r>
        </a:p>
        <a:p>
          <a:pPr algn="l"/>
          <a:endParaRPr lang="en-US" sz="800" b="0" baseline="0">
            <a:solidFill>
              <a:srgbClr val="002060"/>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n-US" sz="1100" b="0" baseline="0">
              <a:solidFill>
                <a:srgbClr val="002060"/>
              </a:solidFill>
              <a:effectLst/>
              <a:latin typeface="+mn-lt"/>
              <a:ea typeface="+mn-ea"/>
              <a:cs typeface="+mn-cs"/>
            </a:rPr>
            <a:t>•  If a question is not applicable, select "</a:t>
          </a:r>
          <a:r>
            <a:rPr lang="en-US" sz="1100" b="1" baseline="0">
              <a:solidFill>
                <a:srgbClr val="002060"/>
              </a:solidFill>
              <a:effectLst/>
              <a:latin typeface="+mn-lt"/>
              <a:ea typeface="+mn-ea"/>
              <a:cs typeface="+mn-cs"/>
            </a:rPr>
            <a:t>NA</a:t>
          </a:r>
          <a:r>
            <a:rPr lang="en-US" sz="1100" b="0" baseline="0">
              <a:solidFill>
                <a:srgbClr val="002060"/>
              </a:solidFill>
              <a:effectLst/>
              <a:latin typeface="+mn-lt"/>
              <a:ea typeface="+mn-ea"/>
              <a:cs typeface="+mn-cs"/>
            </a:rPr>
            <a:t>" from the drop-down list.  The "</a:t>
          </a:r>
          <a:r>
            <a:rPr lang="en-US" sz="1100" b="1" baseline="0">
              <a:solidFill>
                <a:srgbClr val="002060"/>
              </a:solidFill>
              <a:effectLst/>
              <a:latin typeface="+mn-lt"/>
              <a:ea typeface="+mn-ea"/>
              <a:cs typeface="+mn-cs"/>
            </a:rPr>
            <a:t>NA</a:t>
          </a:r>
          <a:r>
            <a:rPr lang="en-US" sz="1100" b="0" baseline="0">
              <a:solidFill>
                <a:srgbClr val="002060"/>
              </a:solidFill>
              <a:effectLst/>
              <a:latin typeface="+mn-lt"/>
              <a:ea typeface="+mn-ea"/>
              <a:cs typeface="+mn-cs"/>
            </a:rPr>
            <a:t>" response option is available for all questions.</a:t>
          </a:r>
          <a:endParaRPr lang="en-US">
            <a:solidFill>
              <a:srgbClr val="002060"/>
            </a:solidFill>
            <a:effectLst/>
          </a:endParaRPr>
        </a:p>
      </xdr:txBody>
    </xdr:sp>
    <xdr:clientData/>
  </xdr:twoCellAnchor>
  <xdr:twoCellAnchor>
    <xdr:from>
      <xdr:col>13</xdr:col>
      <xdr:colOff>1980</xdr:colOff>
      <xdr:row>45</xdr:row>
      <xdr:rowOff>189250</xdr:rowOff>
    </xdr:from>
    <xdr:to>
      <xdr:col>19</xdr:col>
      <xdr:colOff>6804</xdr:colOff>
      <xdr:row>50</xdr:row>
      <xdr:rowOff>1162050</xdr:rowOff>
    </xdr:to>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8526855" y="8695075"/>
          <a:ext cx="3176649" cy="1820525"/>
        </a:xfrm>
        <a:prstGeom prst="rect">
          <a:avLst/>
        </a:prstGeom>
        <a:solidFill>
          <a:schemeClr val="bg1">
            <a:lumMod val="85000"/>
            <a:alpha val="25000"/>
          </a:schemeClr>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solidFill>
                <a:srgbClr val="002060"/>
              </a:solidFill>
            </a:rPr>
            <a:t>3)  Assessment scores and their corresponding Project Risk &amp; Complexity Category are automatically calculated and tabulated in the "Summary"</a:t>
          </a:r>
          <a:r>
            <a:rPr lang="en-US" sz="1100" b="1" baseline="0">
              <a:solidFill>
                <a:srgbClr val="002060"/>
              </a:solidFill>
            </a:rPr>
            <a:t> tab.</a:t>
          </a:r>
        </a:p>
        <a:p>
          <a:pPr algn="l"/>
          <a:endParaRPr lang="en-US" sz="800" b="1" baseline="0">
            <a:solidFill>
              <a:srgbClr val="002060"/>
            </a:solidFill>
          </a:endParaRPr>
        </a:p>
        <a:p>
          <a:pPr algn="l"/>
          <a:r>
            <a:rPr lang="en-US" sz="1100" b="1" baseline="0">
              <a:solidFill>
                <a:srgbClr val="002060"/>
              </a:solidFill>
            </a:rPr>
            <a:t>NOTES:</a:t>
          </a:r>
        </a:p>
        <a:p>
          <a:pPr algn="l"/>
          <a:r>
            <a:rPr lang="en-US" sz="1100" b="0" baseline="0">
              <a:solidFill>
                <a:srgbClr val="002060"/>
              </a:solidFill>
            </a:rPr>
            <a:t>•  Upon proceeding to the next project phase, or when performing an Event-Driven Risk &amp; Complexity Assessment, </a:t>
          </a:r>
          <a:r>
            <a:rPr lang="en-US" sz="1100" b="0" baseline="0">
              <a:solidFill>
                <a:srgbClr val="002060"/>
              </a:solidFill>
              <a:effectLst/>
              <a:latin typeface="+mn-lt"/>
              <a:ea typeface="+mn-ea"/>
              <a:cs typeface="+mn-cs"/>
            </a:rPr>
            <a:t>make sure that the assessments from all previous project phases are activated.  </a:t>
          </a:r>
          <a:endParaRPr lang="en-US" b="0">
            <a:solidFill>
              <a:srgbClr val="002060"/>
            </a:solidFill>
            <a:effectLst/>
          </a:endParaRPr>
        </a:p>
      </xdr:txBody>
    </xdr:sp>
    <xdr:clientData/>
  </xdr:twoCellAnchor>
  <xdr:twoCellAnchor editAs="oneCell">
    <xdr:from>
      <xdr:col>0</xdr:col>
      <xdr:colOff>142875</xdr:colOff>
      <xdr:row>50</xdr:row>
      <xdr:rowOff>371475</xdr:rowOff>
    </xdr:from>
    <xdr:to>
      <xdr:col>7</xdr:col>
      <xdr:colOff>284397</xdr:colOff>
      <xdr:row>50</xdr:row>
      <xdr:rowOff>1706615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42875" y="9344025"/>
          <a:ext cx="6370872" cy="13351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1027340</xdr:colOff>
      <xdr:row>89</xdr:row>
      <xdr:rowOff>172933</xdr:rowOff>
    </xdr:from>
    <xdr:to>
      <xdr:col>0</xdr:col>
      <xdr:colOff>5265964</xdr:colOff>
      <xdr:row>93</xdr:row>
      <xdr:rowOff>163408</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1028700</xdr:colOff>
      <xdr:row>87</xdr:row>
      <xdr:rowOff>56016</xdr:rowOff>
    </xdr:from>
    <xdr:to>
      <xdr:col>0</xdr:col>
      <xdr:colOff>2510938</xdr:colOff>
      <xdr:row>89</xdr:row>
      <xdr:rowOff>158592</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028700" y="18182091"/>
          <a:ext cx="1482238" cy="483576"/>
        </a:xfrm>
        <a:prstGeom prst="rect">
          <a:avLst/>
        </a:prstGeom>
        <a:solidFill>
          <a:srgbClr val="00B05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00B050"/>
              </a:solidFill>
            </a:rPr>
            <a:t>LOW RISK</a:t>
          </a:r>
        </a:p>
      </xdr:txBody>
    </xdr:sp>
    <xdr:clientData/>
  </xdr:twoCellAnchor>
  <xdr:twoCellAnchor>
    <xdr:from>
      <xdr:col>0</xdr:col>
      <xdr:colOff>3778496</xdr:colOff>
      <xdr:row>87</xdr:row>
      <xdr:rowOff>54551</xdr:rowOff>
    </xdr:from>
    <xdr:to>
      <xdr:col>0</xdr:col>
      <xdr:colOff>5264728</xdr:colOff>
      <xdr:row>89</xdr:row>
      <xdr:rowOff>159326</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3778496" y="18180626"/>
          <a:ext cx="1486232" cy="485775"/>
        </a:xfrm>
        <a:prstGeom prst="rect">
          <a:avLst/>
        </a:prstGeom>
        <a:solidFill>
          <a:srgbClr val="FF00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HIGH RISK</a:t>
          </a:r>
        </a:p>
      </xdr:txBody>
    </xdr:sp>
    <xdr:clientData/>
  </xdr:twoCellAnchor>
  <xdr:twoCellAnchor>
    <xdr:from>
      <xdr:col>0</xdr:col>
      <xdr:colOff>2518264</xdr:colOff>
      <xdr:row>87</xdr:row>
      <xdr:rowOff>58213</xdr:rowOff>
    </xdr:from>
    <xdr:to>
      <xdr:col>0</xdr:col>
      <xdr:colOff>3771168</xdr:colOff>
      <xdr:row>89</xdr:row>
      <xdr:rowOff>159776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2518264" y="18184288"/>
          <a:ext cx="1252904" cy="482563"/>
        </a:xfrm>
        <a:prstGeom prst="rect">
          <a:avLst/>
        </a:prstGeom>
        <a:solidFill>
          <a:srgbClr val="FFFF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C000"/>
              </a:solidFill>
            </a:rPr>
            <a:t>MEDIUM RISK</a:t>
          </a:r>
        </a:p>
      </xdr:txBody>
    </xdr:sp>
    <xdr:clientData/>
  </xdr:twoCellAnchor>
  <xdr:twoCellAnchor>
    <xdr:from>
      <xdr:col>5</xdr:col>
      <xdr:colOff>520212</xdr:colOff>
      <xdr:row>1</xdr:row>
      <xdr:rowOff>335668</xdr:rowOff>
    </xdr:from>
    <xdr:to>
      <xdr:col>5</xdr:col>
      <xdr:colOff>913319</xdr:colOff>
      <xdr:row>6</xdr:row>
      <xdr:rowOff>131887</xdr:rowOff>
    </xdr:to>
    <xdr:cxnSp macro="">
      <xdr:nvCxnSpPr>
        <xdr:cNvPr id="9" name="Elbow Connector 8">
          <a:extLst>
            <a:ext uri="{FF2B5EF4-FFF2-40B4-BE49-F238E27FC236}">
              <a16:creationId xmlns:a16="http://schemas.microsoft.com/office/drawing/2014/main" id="{00000000-0008-0000-0400-000009000000}"/>
            </a:ext>
          </a:extLst>
        </xdr:cNvPr>
        <xdr:cNvCxnSpPr/>
      </xdr:nvCxnSpPr>
      <xdr:spPr>
        <a:xfrm rot="5400000">
          <a:off x="9350858" y="1066657"/>
          <a:ext cx="1605969" cy="393107"/>
        </a:xfrm>
        <a:prstGeom prst="bentConnector3">
          <a:avLst>
            <a:gd name="adj1" fmla="val 67200"/>
          </a:avLst>
        </a:prstGeom>
        <a:ln>
          <a:solidFill>
            <a:schemeClr val="accent6">
              <a:lumMod val="75000"/>
            </a:schemeClr>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874388</xdr:colOff>
      <xdr:row>1</xdr:row>
      <xdr:rowOff>256440</xdr:rowOff>
    </xdr:from>
    <xdr:to>
      <xdr:col>5</xdr:col>
      <xdr:colOff>945828</xdr:colOff>
      <xdr:row>1</xdr:row>
      <xdr:rowOff>327421</xdr:rowOff>
    </xdr:to>
    <xdr:sp macro="" textlink="">
      <xdr:nvSpPr>
        <xdr:cNvPr id="23" name="Oval 22">
          <a:extLst>
            <a:ext uri="{FF2B5EF4-FFF2-40B4-BE49-F238E27FC236}">
              <a16:creationId xmlns:a16="http://schemas.microsoft.com/office/drawing/2014/main" id="{00000000-0008-0000-0400-000017000000}"/>
            </a:ext>
          </a:extLst>
        </xdr:cNvPr>
        <xdr:cNvSpPr/>
      </xdr:nvSpPr>
      <xdr:spPr>
        <a:xfrm>
          <a:off x="10311465" y="380998"/>
          <a:ext cx="71440" cy="70981"/>
        </a:xfrm>
        <a:prstGeom prst="ellipse">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1255938</xdr:colOff>
      <xdr:row>95</xdr:row>
      <xdr:rowOff>161925</xdr:rowOff>
    </xdr:from>
    <xdr:to>
      <xdr:col>0</xdr:col>
      <xdr:colOff>5490482</xdr:colOff>
      <xdr:row>99</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1257300</xdr:colOff>
      <xdr:row>93</xdr:row>
      <xdr:rowOff>39565</xdr:rowOff>
    </xdr:from>
    <xdr:to>
      <xdr:col>0</xdr:col>
      <xdr:colOff>2739538</xdr:colOff>
      <xdr:row>95</xdr:row>
      <xdr:rowOff>142141</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257300" y="20261140"/>
          <a:ext cx="1482238" cy="483576"/>
        </a:xfrm>
        <a:prstGeom prst="rect">
          <a:avLst/>
        </a:prstGeom>
        <a:solidFill>
          <a:srgbClr val="00B05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00B050"/>
              </a:solidFill>
            </a:rPr>
            <a:t>LOW COMPLEXITY</a:t>
          </a:r>
        </a:p>
      </xdr:txBody>
    </xdr:sp>
    <xdr:clientData/>
  </xdr:twoCellAnchor>
  <xdr:twoCellAnchor>
    <xdr:from>
      <xdr:col>0</xdr:col>
      <xdr:colOff>4007096</xdr:colOff>
      <xdr:row>93</xdr:row>
      <xdr:rowOff>38100</xdr:rowOff>
    </xdr:from>
    <xdr:to>
      <xdr:col>0</xdr:col>
      <xdr:colOff>5493328</xdr:colOff>
      <xdr:row>95</xdr:row>
      <xdr:rowOff>142875</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4007096" y="20259675"/>
          <a:ext cx="1486232" cy="485775"/>
        </a:xfrm>
        <a:prstGeom prst="rect">
          <a:avLst/>
        </a:prstGeom>
        <a:solidFill>
          <a:srgbClr val="FF00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HIGH COMPLEXITY</a:t>
          </a:r>
        </a:p>
      </xdr:txBody>
    </xdr:sp>
    <xdr:clientData/>
  </xdr:twoCellAnchor>
  <xdr:twoCellAnchor>
    <xdr:from>
      <xdr:col>0</xdr:col>
      <xdr:colOff>2746864</xdr:colOff>
      <xdr:row>93</xdr:row>
      <xdr:rowOff>41762</xdr:rowOff>
    </xdr:from>
    <xdr:to>
      <xdr:col>0</xdr:col>
      <xdr:colOff>3999768</xdr:colOff>
      <xdr:row>95</xdr:row>
      <xdr:rowOff>143325</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2746864" y="20263337"/>
          <a:ext cx="1252904" cy="482563"/>
        </a:xfrm>
        <a:prstGeom prst="rect">
          <a:avLst/>
        </a:prstGeom>
        <a:solidFill>
          <a:srgbClr val="FFFF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C000"/>
              </a:solidFill>
            </a:rPr>
            <a:t>MEDIUM COMPLEXITY</a:t>
          </a:r>
        </a:p>
      </xdr:txBody>
    </xdr:sp>
    <xdr:clientData/>
  </xdr:twoCellAnchor>
  <xdr:twoCellAnchor>
    <xdr:from>
      <xdr:col>5</xdr:col>
      <xdr:colOff>523875</xdr:colOff>
      <xdr:row>1</xdr:row>
      <xdr:rowOff>336403</xdr:rowOff>
    </xdr:from>
    <xdr:to>
      <xdr:col>5</xdr:col>
      <xdr:colOff>916985</xdr:colOff>
      <xdr:row>7</xdr:row>
      <xdr:rowOff>485775</xdr:rowOff>
    </xdr:to>
    <xdr:cxnSp macro="">
      <xdr:nvCxnSpPr>
        <xdr:cNvPr id="7" name="Elbow Connector 6">
          <a:extLst>
            <a:ext uri="{FF2B5EF4-FFF2-40B4-BE49-F238E27FC236}">
              <a16:creationId xmlns:a16="http://schemas.microsoft.com/office/drawing/2014/main" id="{00000000-0008-0000-0500-000007000000}"/>
            </a:ext>
          </a:extLst>
        </xdr:cNvPr>
        <xdr:cNvCxnSpPr/>
      </xdr:nvCxnSpPr>
      <xdr:spPr>
        <a:xfrm rot="5400000">
          <a:off x="9075369" y="1338484"/>
          <a:ext cx="2149622" cy="393110"/>
        </a:xfrm>
        <a:prstGeom prst="bentConnector3">
          <a:avLst>
            <a:gd name="adj1" fmla="val 50000"/>
          </a:avLst>
        </a:prstGeom>
        <a:ln>
          <a:solidFill>
            <a:schemeClr val="accent6">
              <a:lumMod val="75000"/>
            </a:schemeClr>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878051</xdr:colOff>
      <xdr:row>1</xdr:row>
      <xdr:rowOff>257175</xdr:rowOff>
    </xdr:from>
    <xdr:to>
      <xdr:col>5</xdr:col>
      <xdr:colOff>949491</xdr:colOff>
      <xdr:row>1</xdr:row>
      <xdr:rowOff>328156</xdr:rowOff>
    </xdr:to>
    <xdr:sp macro="" textlink="">
      <xdr:nvSpPr>
        <xdr:cNvPr id="8" name="Oval 7">
          <a:extLst>
            <a:ext uri="{FF2B5EF4-FFF2-40B4-BE49-F238E27FC236}">
              <a16:creationId xmlns:a16="http://schemas.microsoft.com/office/drawing/2014/main" id="{00000000-0008-0000-0500-000008000000}"/>
            </a:ext>
          </a:extLst>
        </xdr:cNvPr>
        <xdr:cNvSpPr/>
      </xdr:nvSpPr>
      <xdr:spPr>
        <a:xfrm>
          <a:off x="9974426" y="381000"/>
          <a:ext cx="71440" cy="70981"/>
        </a:xfrm>
        <a:prstGeom prst="ellipse">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1068161</xdr:colOff>
      <xdr:row>143</xdr:row>
      <xdr:rowOff>159204</xdr:rowOff>
    </xdr:from>
    <xdr:to>
      <xdr:col>0</xdr:col>
      <xdr:colOff>5299982</xdr:colOff>
      <xdr:row>147</xdr:row>
      <xdr:rowOff>149679</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1066800</xdr:colOff>
      <xdr:row>141</xdr:row>
      <xdr:rowOff>30040</xdr:rowOff>
    </xdr:from>
    <xdr:to>
      <xdr:col>0</xdr:col>
      <xdr:colOff>2549038</xdr:colOff>
      <xdr:row>143</xdr:row>
      <xdr:rowOff>132616</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066800" y="30729115"/>
          <a:ext cx="1482238" cy="483576"/>
        </a:xfrm>
        <a:prstGeom prst="rect">
          <a:avLst/>
        </a:prstGeom>
        <a:solidFill>
          <a:srgbClr val="00B05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00B050"/>
              </a:solidFill>
            </a:rPr>
            <a:t>LOW RISK</a:t>
          </a:r>
        </a:p>
      </xdr:txBody>
    </xdr:sp>
    <xdr:clientData/>
  </xdr:twoCellAnchor>
  <xdr:twoCellAnchor>
    <xdr:from>
      <xdr:col>0</xdr:col>
      <xdr:colOff>3816596</xdr:colOff>
      <xdr:row>141</xdr:row>
      <xdr:rowOff>28575</xdr:rowOff>
    </xdr:from>
    <xdr:to>
      <xdr:col>0</xdr:col>
      <xdr:colOff>5302828</xdr:colOff>
      <xdr:row>143</xdr:row>
      <xdr:rowOff>133350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3816596" y="30727650"/>
          <a:ext cx="1486232" cy="485775"/>
        </a:xfrm>
        <a:prstGeom prst="rect">
          <a:avLst/>
        </a:prstGeom>
        <a:solidFill>
          <a:srgbClr val="FF00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HIGH RISK</a:t>
          </a:r>
        </a:p>
      </xdr:txBody>
    </xdr:sp>
    <xdr:clientData/>
  </xdr:twoCellAnchor>
  <xdr:twoCellAnchor>
    <xdr:from>
      <xdr:col>0</xdr:col>
      <xdr:colOff>2556364</xdr:colOff>
      <xdr:row>141</xdr:row>
      <xdr:rowOff>32237</xdr:rowOff>
    </xdr:from>
    <xdr:to>
      <xdr:col>0</xdr:col>
      <xdr:colOff>3809268</xdr:colOff>
      <xdr:row>143</xdr:row>
      <xdr:rowOff>133800</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2556364" y="30731312"/>
          <a:ext cx="1252904" cy="482563"/>
        </a:xfrm>
        <a:prstGeom prst="rect">
          <a:avLst/>
        </a:prstGeom>
        <a:solidFill>
          <a:srgbClr val="FFFF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C000"/>
              </a:solidFill>
            </a:rPr>
            <a:t>MEDIUM</a:t>
          </a:r>
          <a:r>
            <a:rPr lang="en-US" sz="1100" b="1" baseline="0">
              <a:solidFill>
                <a:srgbClr val="FFC000"/>
              </a:solidFill>
            </a:rPr>
            <a:t> RISK</a:t>
          </a:r>
          <a:endParaRPr lang="en-US" sz="1100" b="1">
            <a:solidFill>
              <a:srgbClr val="FFC000"/>
            </a:solidFill>
          </a:endParaRPr>
        </a:p>
      </xdr:txBody>
    </xdr:sp>
    <xdr:clientData/>
  </xdr:twoCellAnchor>
  <xdr:twoCellAnchor>
    <xdr:from>
      <xdr:col>5</xdr:col>
      <xdr:colOff>495300</xdr:colOff>
      <xdr:row>1</xdr:row>
      <xdr:rowOff>336405</xdr:rowOff>
    </xdr:from>
    <xdr:to>
      <xdr:col>5</xdr:col>
      <xdr:colOff>869362</xdr:colOff>
      <xdr:row>6</xdr:row>
      <xdr:rowOff>133353</xdr:rowOff>
    </xdr:to>
    <xdr:cxnSp macro="">
      <xdr:nvCxnSpPr>
        <xdr:cNvPr id="7" name="Elbow Connector 6">
          <a:extLst>
            <a:ext uri="{FF2B5EF4-FFF2-40B4-BE49-F238E27FC236}">
              <a16:creationId xmlns:a16="http://schemas.microsoft.com/office/drawing/2014/main" id="{00000000-0008-0000-0600-000007000000}"/>
            </a:ext>
          </a:extLst>
        </xdr:cNvPr>
        <xdr:cNvCxnSpPr/>
      </xdr:nvCxnSpPr>
      <xdr:spPr>
        <a:xfrm rot="5400000">
          <a:off x="9546857" y="1171798"/>
          <a:ext cx="1797198" cy="374062"/>
        </a:xfrm>
        <a:prstGeom prst="bentConnector3">
          <a:avLst>
            <a:gd name="adj1" fmla="val 50000"/>
          </a:avLst>
        </a:prstGeom>
        <a:ln>
          <a:solidFill>
            <a:schemeClr val="accent6">
              <a:lumMod val="75000"/>
            </a:schemeClr>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830426</xdr:colOff>
      <xdr:row>1</xdr:row>
      <xdr:rowOff>257175</xdr:rowOff>
    </xdr:from>
    <xdr:to>
      <xdr:col>5</xdr:col>
      <xdr:colOff>901866</xdr:colOff>
      <xdr:row>1</xdr:row>
      <xdr:rowOff>328156</xdr:rowOff>
    </xdr:to>
    <xdr:sp macro="" textlink="">
      <xdr:nvSpPr>
        <xdr:cNvPr id="8" name="Oval 7">
          <a:extLst>
            <a:ext uri="{FF2B5EF4-FFF2-40B4-BE49-F238E27FC236}">
              <a16:creationId xmlns:a16="http://schemas.microsoft.com/office/drawing/2014/main" id="{00000000-0008-0000-0600-000008000000}"/>
            </a:ext>
          </a:extLst>
        </xdr:cNvPr>
        <xdr:cNvSpPr/>
      </xdr:nvSpPr>
      <xdr:spPr>
        <a:xfrm>
          <a:off x="10593551" y="381000"/>
          <a:ext cx="71440" cy="70981"/>
        </a:xfrm>
        <a:prstGeom prst="ellipse">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1084385</xdr:colOff>
      <xdr:row>123</xdr:row>
      <xdr:rowOff>165588</xdr:rowOff>
    </xdr:from>
    <xdr:to>
      <xdr:col>0</xdr:col>
      <xdr:colOff>5312019</xdr:colOff>
      <xdr:row>127</xdr:row>
      <xdr:rowOff>156063</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1085850</xdr:colOff>
      <xdr:row>121</xdr:row>
      <xdr:rowOff>39565</xdr:rowOff>
    </xdr:from>
    <xdr:to>
      <xdr:col>0</xdr:col>
      <xdr:colOff>2568088</xdr:colOff>
      <xdr:row>123</xdr:row>
      <xdr:rowOff>142141</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085850" y="26166640"/>
          <a:ext cx="1482238" cy="483576"/>
        </a:xfrm>
        <a:prstGeom prst="rect">
          <a:avLst/>
        </a:prstGeom>
        <a:solidFill>
          <a:srgbClr val="00B05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00B050"/>
              </a:solidFill>
            </a:rPr>
            <a:t>LOW COMPLEXITY</a:t>
          </a:r>
        </a:p>
      </xdr:txBody>
    </xdr:sp>
    <xdr:clientData/>
  </xdr:twoCellAnchor>
  <xdr:twoCellAnchor>
    <xdr:from>
      <xdr:col>0</xdr:col>
      <xdr:colOff>3835646</xdr:colOff>
      <xdr:row>121</xdr:row>
      <xdr:rowOff>38100</xdr:rowOff>
    </xdr:from>
    <xdr:to>
      <xdr:col>0</xdr:col>
      <xdr:colOff>5321878</xdr:colOff>
      <xdr:row>123</xdr:row>
      <xdr:rowOff>142875</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3835646" y="26165175"/>
          <a:ext cx="1486232" cy="485775"/>
        </a:xfrm>
        <a:prstGeom prst="rect">
          <a:avLst/>
        </a:prstGeom>
        <a:solidFill>
          <a:srgbClr val="FF00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HIGH COMPLEXITY</a:t>
          </a:r>
        </a:p>
      </xdr:txBody>
    </xdr:sp>
    <xdr:clientData/>
  </xdr:twoCellAnchor>
  <xdr:twoCellAnchor>
    <xdr:from>
      <xdr:col>0</xdr:col>
      <xdr:colOff>2575414</xdr:colOff>
      <xdr:row>121</xdr:row>
      <xdr:rowOff>41762</xdr:rowOff>
    </xdr:from>
    <xdr:to>
      <xdr:col>0</xdr:col>
      <xdr:colOff>3828318</xdr:colOff>
      <xdr:row>123</xdr:row>
      <xdr:rowOff>143325</xdr:rowOff>
    </xdr:to>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2575414" y="26168837"/>
          <a:ext cx="1252904" cy="482563"/>
        </a:xfrm>
        <a:prstGeom prst="rect">
          <a:avLst/>
        </a:prstGeom>
        <a:solidFill>
          <a:srgbClr val="FFFF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C000"/>
              </a:solidFill>
            </a:rPr>
            <a:t>MEDIUM</a:t>
          </a:r>
          <a:r>
            <a:rPr lang="en-US" sz="1100" b="1" baseline="0">
              <a:solidFill>
                <a:srgbClr val="FFC000"/>
              </a:solidFill>
            </a:rPr>
            <a:t> COMPLEXITY</a:t>
          </a:r>
          <a:endParaRPr lang="en-US" sz="1100" b="1">
            <a:solidFill>
              <a:srgbClr val="FFC000"/>
            </a:solidFill>
          </a:endParaRPr>
        </a:p>
      </xdr:txBody>
    </xdr:sp>
    <xdr:clientData/>
  </xdr:twoCellAnchor>
  <xdr:twoCellAnchor>
    <xdr:from>
      <xdr:col>5</xdr:col>
      <xdr:colOff>492126</xdr:colOff>
      <xdr:row>1</xdr:row>
      <xdr:rowOff>336404</xdr:rowOff>
    </xdr:from>
    <xdr:to>
      <xdr:col>5</xdr:col>
      <xdr:colOff>878888</xdr:colOff>
      <xdr:row>6</xdr:row>
      <xdr:rowOff>158749</xdr:rowOff>
    </xdr:to>
    <xdr:cxnSp macro="">
      <xdr:nvCxnSpPr>
        <xdr:cNvPr id="7" name="Elbow Connector 6">
          <a:extLst>
            <a:ext uri="{FF2B5EF4-FFF2-40B4-BE49-F238E27FC236}">
              <a16:creationId xmlns:a16="http://schemas.microsoft.com/office/drawing/2014/main" id="{00000000-0008-0000-0700-000007000000}"/>
            </a:ext>
          </a:extLst>
        </xdr:cNvPr>
        <xdr:cNvCxnSpPr/>
      </xdr:nvCxnSpPr>
      <xdr:spPr>
        <a:xfrm rot="5400000">
          <a:off x="9203959" y="1181321"/>
          <a:ext cx="1822595" cy="386762"/>
        </a:xfrm>
        <a:prstGeom prst="bentConnector3">
          <a:avLst>
            <a:gd name="adj1" fmla="val 50000"/>
          </a:avLst>
        </a:prstGeom>
        <a:ln>
          <a:solidFill>
            <a:schemeClr val="accent6">
              <a:lumMod val="75000"/>
            </a:schemeClr>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839951</xdr:colOff>
      <xdr:row>1</xdr:row>
      <xdr:rowOff>257175</xdr:rowOff>
    </xdr:from>
    <xdr:to>
      <xdr:col>5</xdr:col>
      <xdr:colOff>911391</xdr:colOff>
      <xdr:row>1</xdr:row>
      <xdr:rowOff>328156</xdr:rowOff>
    </xdr:to>
    <xdr:sp macro="" textlink="">
      <xdr:nvSpPr>
        <xdr:cNvPr id="8" name="Oval 7">
          <a:extLst>
            <a:ext uri="{FF2B5EF4-FFF2-40B4-BE49-F238E27FC236}">
              <a16:creationId xmlns:a16="http://schemas.microsoft.com/office/drawing/2014/main" id="{00000000-0008-0000-0700-000008000000}"/>
            </a:ext>
          </a:extLst>
        </xdr:cNvPr>
        <xdr:cNvSpPr/>
      </xdr:nvSpPr>
      <xdr:spPr>
        <a:xfrm>
          <a:off x="10269701" y="381000"/>
          <a:ext cx="71440" cy="70981"/>
        </a:xfrm>
        <a:prstGeom prst="ellipse">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1104900</xdr:colOff>
      <xdr:row>139</xdr:row>
      <xdr:rowOff>158832</xdr:rowOff>
    </xdr:from>
    <xdr:to>
      <xdr:col>0</xdr:col>
      <xdr:colOff>5334000</xdr:colOff>
      <xdr:row>143</xdr:row>
      <xdr:rowOff>149307</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1106508</xdr:colOff>
      <xdr:row>137</xdr:row>
      <xdr:rowOff>37833</xdr:rowOff>
    </xdr:from>
    <xdr:to>
      <xdr:col>0</xdr:col>
      <xdr:colOff>2588746</xdr:colOff>
      <xdr:row>139</xdr:row>
      <xdr:rowOff>140409</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106508" y="24450408"/>
          <a:ext cx="1482238" cy="483576"/>
        </a:xfrm>
        <a:prstGeom prst="rect">
          <a:avLst/>
        </a:prstGeom>
        <a:solidFill>
          <a:srgbClr val="00B05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00B050"/>
              </a:solidFill>
            </a:rPr>
            <a:t>LOW RISK</a:t>
          </a:r>
        </a:p>
      </xdr:txBody>
    </xdr:sp>
    <xdr:clientData/>
  </xdr:twoCellAnchor>
  <xdr:twoCellAnchor>
    <xdr:from>
      <xdr:col>0</xdr:col>
      <xdr:colOff>3856304</xdr:colOff>
      <xdr:row>137</xdr:row>
      <xdr:rowOff>36368</xdr:rowOff>
    </xdr:from>
    <xdr:to>
      <xdr:col>0</xdr:col>
      <xdr:colOff>5342536</xdr:colOff>
      <xdr:row>139</xdr:row>
      <xdr:rowOff>141143</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856304" y="24448943"/>
          <a:ext cx="1486232" cy="485775"/>
        </a:xfrm>
        <a:prstGeom prst="rect">
          <a:avLst/>
        </a:prstGeom>
        <a:solidFill>
          <a:srgbClr val="FF00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HIGH RISK</a:t>
          </a:r>
        </a:p>
      </xdr:txBody>
    </xdr:sp>
    <xdr:clientData/>
  </xdr:twoCellAnchor>
  <xdr:twoCellAnchor>
    <xdr:from>
      <xdr:col>0</xdr:col>
      <xdr:colOff>2596072</xdr:colOff>
      <xdr:row>137</xdr:row>
      <xdr:rowOff>40030</xdr:rowOff>
    </xdr:from>
    <xdr:to>
      <xdr:col>0</xdr:col>
      <xdr:colOff>3848976</xdr:colOff>
      <xdr:row>139</xdr:row>
      <xdr:rowOff>141593</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2596072" y="24452605"/>
          <a:ext cx="1252904" cy="482563"/>
        </a:xfrm>
        <a:prstGeom prst="rect">
          <a:avLst/>
        </a:prstGeom>
        <a:solidFill>
          <a:srgbClr val="FFFF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C000"/>
              </a:solidFill>
            </a:rPr>
            <a:t>MEDIUM RISK</a:t>
          </a:r>
        </a:p>
      </xdr:txBody>
    </xdr:sp>
    <xdr:clientData/>
  </xdr:twoCellAnchor>
  <xdr:twoCellAnchor>
    <xdr:from>
      <xdr:col>5</xdr:col>
      <xdr:colOff>492126</xdr:colOff>
      <xdr:row>1</xdr:row>
      <xdr:rowOff>337991</xdr:rowOff>
    </xdr:from>
    <xdr:to>
      <xdr:col>5</xdr:col>
      <xdr:colOff>880483</xdr:colOff>
      <xdr:row>7</xdr:row>
      <xdr:rowOff>142878</xdr:rowOff>
    </xdr:to>
    <xdr:cxnSp macro="">
      <xdr:nvCxnSpPr>
        <xdr:cNvPr id="7" name="Elbow Connector 6">
          <a:extLst>
            <a:ext uri="{FF2B5EF4-FFF2-40B4-BE49-F238E27FC236}">
              <a16:creationId xmlns:a16="http://schemas.microsoft.com/office/drawing/2014/main" id="{00000000-0008-0000-0800-000007000000}"/>
            </a:ext>
          </a:extLst>
        </xdr:cNvPr>
        <xdr:cNvCxnSpPr/>
      </xdr:nvCxnSpPr>
      <xdr:spPr>
        <a:xfrm rot="5400000">
          <a:off x="9118236" y="1268631"/>
          <a:ext cx="1995637" cy="388357"/>
        </a:xfrm>
        <a:prstGeom prst="bentConnector3">
          <a:avLst>
            <a:gd name="adj1" fmla="val 54296"/>
          </a:avLst>
        </a:prstGeom>
        <a:ln>
          <a:solidFill>
            <a:schemeClr val="accent6">
              <a:lumMod val="75000"/>
            </a:schemeClr>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841545</xdr:colOff>
      <xdr:row>1</xdr:row>
      <xdr:rowOff>258762</xdr:rowOff>
    </xdr:from>
    <xdr:to>
      <xdr:col>5</xdr:col>
      <xdr:colOff>912985</xdr:colOff>
      <xdr:row>1</xdr:row>
      <xdr:rowOff>329743</xdr:rowOff>
    </xdr:to>
    <xdr:sp macro="" textlink="">
      <xdr:nvSpPr>
        <xdr:cNvPr id="8" name="Oval 7">
          <a:extLst>
            <a:ext uri="{FF2B5EF4-FFF2-40B4-BE49-F238E27FC236}">
              <a16:creationId xmlns:a16="http://schemas.microsoft.com/office/drawing/2014/main" id="{00000000-0008-0000-0800-000008000000}"/>
            </a:ext>
          </a:extLst>
        </xdr:cNvPr>
        <xdr:cNvSpPr/>
      </xdr:nvSpPr>
      <xdr:spPr>
        <a:xfrm>
          <a:off x="10271295" y="385762"/>
          <a:ext cx="71440" cy="70981"/>
        </a:xfrm>
        <a:prstGeom prst="ellipse">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1142999</xdr:colOff>
      <xdr:row>125</xdr:row>
      <xdr:rowOff>159204</xdr:rowOff>
    </xdr:from>
    <xdr:to>
      <xdr:col>0</xdr:col>
      <xdr:colOff>5381625</xdr:colOff>
      <xdr:row>129</xdr:row>
      <xdr:rowOff>149679</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1143000</xdr:colOff>
      <xdr:row>123</xdr:row>
      <xdr:rowOff>30040</xdr:rowOff>
    </xdr:from>
    <xdr:to>
      <xdr:col>0</xdr:col>
      <xdr:colOff>2625238</xdr:colOff>
      <xdr:row>125</xdr:row>
      <xdr:rowOff>132616</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143000" y="26347615"/>
          <a:ext cx="1482238" cy="483576"/>
        </a:xfrm>
        <a:prstGeom prst="rect">
          <a:avLst/>
        </a:prstGeom>
        <a:solidFill>
          <a:srgbClr val="00B05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00B050"/>
              </a:solidFill>
            </a:rPr>
            <a:t>LOW COMPLEXITY</a:t>
          </a:r>
        </a:p>
      </xdr:txBody>
    </xdr:sp>
    <xdr:clientData/>
  </xdr:twoCellAnchor>
  <xdr:twoCellAnchor>
    <xdr:from>
      <xdr:col>0</xdr:col>
      <xdr:colOff>3892796</xdr:colOff>
      <xdr:row>123</xdr:row>
      <xdr:rowOff>28575</xdr:rowOff>
    </xdr:from>
    <xdr:to>
      <xdr:col>0</xdr:col>
      <xdr:colOff>5379028</xdr:colOff>
      <xdr:row>125</xdr:row>
      <xdr:rowOff>133350</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92796" y="26346150"/>
          <a:ext cx="1486232" cy="485775"/>
        </a:xfrm>
        <a:prstGeom prst="rect">
          <a:avLst/>
        </a:prstGeom>
        <a:solidFill>
          <a:srgbClr val="FF00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0000"/>
              </a:solidFill>
            </a:rPr>
            <a:t>HIGH COMPLEXITY</a:t>
          </a:r>
        </a:p>
      </xdr:txBody>
    </xdr:sp>
    <xdr:clientData/>
  </xdr:twoCellAnchor>
  <xdr:twoCellAnchor>
    <xdr:from>
      <xdr:col>0</xdr:col>
      <xdr:colOff>2632564</xdr:colOff>
      <xdr:row>123</xdr:row>
      <xdr:rowOff>32237</xdr:rowOff>
    </xdr:from>
    <xdr:to>
      <xdr:col>0</xdr:col>
      <xdr:colOff>3885468</xdr:colOff>
      <xdr:row>125</xdr:row>
      <xdr:rowOff>133800</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2632564" y="26349812"/>
          <a:ext cx="1252904" cy="482563"/>
        </a:xfrm>
        <a:prstGeom prst="rect">
          <a:avLst/>
        </a:prstGeom>
        <a:solidFill>
          <a:srgbClr val="FFFF00">
            <a:alpha val="50000"/>
          </a:srgb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rgbClr val="FFC000"/>
              </a:solidFill>
            </a:rPr>
            <a:t>MEDIUM COMPLEXITY</a:t>
          </a:r>
        </a:p>
      </xdr:txBody>
    </xdr:sp>
    <xdr:clientData/>
  </xdr:twoCellAnchor>
  <xdr:twoCellAnchor>
    <xdr:from>
      <xdr:col>5</xdr:col>
      <xdr:colOff>485775</xdr:colOff>
      <xdr:row>1</xdr:row>
      <xdr:rowOff>336404</xdr:rowOff>
    </xdr:from>
    <xdr:to>
      <xdr:col>5</xdr:col>
      <xdr:colOff>874132</xdr:colOff>
      <xdr:row>7</xdr:row>
      <xdr:rowOff>141291</xdr:rowOff>
    </xdr:to>
    <xdr:cxnSp macro="">
      <xdr:nvCxnSpPr>
        <xdr:cNvPr id="7" name="Elbow Connector 6">
          <a:extLst>
            <a:ext uri="{FF2B5EF4-FFF2-40B4-BE49-F238E27FC236}">
              <a16:creationId xmlns:a16="http://schemas.microsoft.com/office/drawing/2014/main" id="{00000000-0008-0000-0900-000007000000}"/>
            </a:ext>
          </a:extLst>
        </xdr:cNvPr>
        <xdr:cNvCxnSpPr/>
      </xdr:nvCxnSpPr>
      <xdr:spPr>
        <a:xfrm rot="5400000">
          <a:off x="9111885" y="1263869"/>
          <a:ext cx="1995637" cy="388357"/>
        </a:xfrm>
        <a:prstGeom prst="bentConnector3">
          <a:avLst>
            <a:gd name="adj1" fmla="val 56364"/>
          </a:avLst>
        </a:prstGeom>
        <a:ln>
          <a:solidFill>
            <a:schemeClr val="accent6">
              <a:lumMod val="75000"/>
            </a:schemeClr>
          </a:solidFill>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835194</xdr:colOff>
      <xdr:row>1</xdr:row>
      <xdr:rowOff>257175</xdr:rowOff>
    </xdr:from>
    <xdr:to>
      <xdr:col>5</xdr:col>
      <xdr:colOff>906634</xdr:colOff>
      <xdr:row>1</xdr:row>
      <xdr:rowOff>328156</xdr:rowOff>
    </xdr:to>
    <xdr:sp macro="" textlink="">
      <xdr:nvSpPr>
        <xdr:cNvPr id="8" name="Oval 7">
          <a:extLst>
            <a:ext uri="{FF2B5EF4-FFF2-40B4-BE49-F238E27FC236}">
              <a16:creationId xmlns:a16="http://schemas.microsoft.com/office/drawing/2014/main" id="{00000000-0008-0000-0900-000008000000}"/>
            </a:ext>
          </a:extLst>
        </xdr:cNvPr>
        <xdr:cNvSpPr/>
      </xdr:nvSpPr>
      <xdr:spPr>
        <a:xfrm>
          <a:off x="10264944" y="381000"/>
          <a:ext cx="71440" cy="70981"/>
        </a:xfrm>
        <a:prstGeom prst="ellipse">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st.myflorida.com/Users/avello-michael/Documents/PMO%20-%20General/IT%20DB%20Development/20120226_Master_IP_List_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README"/>
      <sheetName val="Sites"/>
      <sheetName val="Contacts"/>
      <sheetName val="205.176"/>
      <sheetName val="160.131"/>
      <sheetName val="VoIP 10.11 &amp; 10.22"/>
      <sheetName val="Av 10.14"/>
      <sheetName val="Av 207.156.62 &amp; 160.131.251"/>
      <sheetName val="Hosts"/>
      <sheetName val="DeviceTypes"/>
      <sheetName val="Dropdown"/>
      <sheetName val="Hosts - Copy"/>
      <sheetName val="L_Answer Select"/>
    </sheetNames>
    <sheetDataSet>
      <sheetData sheetId="0" refreshError="1"/>
      <sheetData sheetId="1" refreshError="1"/>
      <sheetData sheetId="2">
        <row r="1">
          <cell r="A1" t="str">
            <v>Site Name*</v>
          </cell>
        </row>
        <row r="2">
          <cell r="A2" t="str">
            <v>401 Main</v>
          </cell>
        </row>
        <row r="3">
          <cell r="A3" t="str">
            <v>APD Tallahassee Area 2</v>
          </cell>
        </row>
        <row r="4">
          <cell r="A4" t="str">
            <v>APD Panama City</v>
          </cell>
        </row>
        <row r="5">
          <cell r="A5" t="str">
            <v>Arcadia</v>
          </cell>
        </row>
        <row r="6">
          <cell r="A6" t="str">
            <v>Bartow</v>
          </cell>
        </row>
        <row r="7">
          <cell r="A7" t="str">
            <v>Beach Blvd</v>
          </cell>
        </row>
        <row r="8">
          <cell r="A8" t="str">
            <v xml:space="preserve">Belle Glade </v>
          </cell>
        </row>
        <row r="9">
          <cell r="A9" t="str">
            <v>Big Bend Community Based Care</v>
          </cell>
        </row>
        <row r="10">
          <cell r="A10" t="str">
            <v>Bonifay</v>
          </cell>
        </row>
        <row r="11">
          <cell r="A11" t="str">
            <v>Bradenton</v>
          </cell>
        </row>
        <row r="12">
          <cell r="A12" t="str">
            <v>Brooksville</v>
          </cell>
        </row>
        <row r="13">
          <cell r="A13" t="str">
            <v>Broward County Sherrifs Office</v>
          </cell>
        </row>
        <row r="14">
          <cell r="A14" t="str">
            <v>Bunnell</v>
          </cell>
        </row>
        <row r="15">
          <cell r="A15" t="str">
            <v>CACB</v>
          </cell>
        </row>
        <row r="16">
          <cell r="A16" t="str">
            <v>Central Service Center</v>
          </cell>
        </row>
        <row r="17">
          <cell r="A17" t="str">
            <v>Crestview</v>
          </cell>
        </row>
        <row r="18">
          <cell r="A18" t="str">
            <v>Chiefland</v>
          </cell>
        </row>
        <row r="19">
          <cell r="A19" t="str">
            <v>Chipley</v>
          </cell>
        </row>
        <row r="20">
          <cell r="A20" t="str">
            <v>Closed Records</v>
          </cell>
        </row>
        <row r="21">
          <cell r="A21" t="str">
            <v>Cocoa</v>
          </cell>
        </row>
        <row r="22">
          <cell r="A22" t="str">
            <v xml:space="preserve">Commonwealth Center </v>
          </cell>
        </row>
        <row r="23">
          <cell r="A23" t="str">
            <v>Cottages</v>
          </cell>
        </row>
        <row r="24">
          <cell r="A24" t="str">
            <v>Crawfordville</v>
          </cell>
        </row>
        <row r="25">
          <cell r="A25" t="str">
            <v>Curtis Peterson</v>
          </cell>
        </row>
        <row r="26">
          <cell r="A26" t="str">
            <v>Daytona Beach</v>
          </cell>
        </row>
        <row r="27">
          <cell r="A27" t="str">
            <v>Defuniak Springs</v>
          </cell>
        </row>
        <row r="28">
          <cell r="A28" t="str">
            <v>Deland</v>
          </cell>
        </row>
        <row r="29">
          <cell r="A29" t="str">
            <v>Delray  Beach</v>
          </cell>
        </row>
        <row r="30">
          <cell r="A30" t="str">
            <v>Developmental Services</v>
          </cell>
        </row>
        <row r="31">
          <cell r="A31" t="str">
            <v>District 1 HQ</v>
          </cell>
        </row>
        <row r="32">
          <cell r="A32" t="str">
            <v>Emerald Coast</v>
          </cell>
        </row>
        <row r="33">
          <cell r="A33" t="str">
            <v>ESS 1490</v>
          </cell>
        </row>
        <row r="34">
          <cell r="A34" t="str">
            <v>ESS Caleb</v>
          </cell>
        </row>
        <row r="35">
          <cell r="A35" t="str">
            <v>ESS Coconut Grove</v>
          </cell>
        </row>
        <row r="36">
          <cell r="A36" t="str">
            <v>ESS Florida City</v>
          </cell>
        </row>
        <row r="37">
          <cell r="A37" t="str">
            <v xml:space="preserve">ESS Florida Hospital </v>
          </cell>
        </row>
        <row r="38">
          <cell r="A38" t="str">
            <v>ESS Hialeah</v>
          </cell>
        </row>
        <row r="39">
          <cell r="A39" t="str">
            <v>ESS Jackson Memorial</v>
          </cell>
        </row>
        <row r="40">
          <cell r="A40" t="str">
            <v>ESS Marianna</v>
          </cell>
        </row>
        <row r="41">
          <cell r="A41" t="str">
            <v>ESS Miami Beach</v>
          </cell>
        </row>
        <row r="42">
          <cell r="A42" t="str">
            <v>ESS St Augustine</v>
          </cell>
        </row>
        <row r="43">
          <cell r="A43" t="str">
            <v>ESS Uplaza</v>
          </cell>
        </row>
        <row r="44">
          <cell r="A44" t="str">
            <v>ESS West Dade</v>
          </cell>
        </row>
        <row r="45">
          <cell r="A45" t="str">
            <v>FCCC DCF</v>
          </cell>
        </row>
        <row r="46">
          <cell r="A46" t="str">
            <v>Florida Bar Annex</v>
          </cell>
        </row>
        <row r="47">
          <cell r="A47" t="str">
            <v>Florida State Hospital</v>
          </cell>
        </row>
        <row r="48">
          <cell r="A48" t="str">
            <v>Fort Lauderdale - Gore</v>
          </cell>
        </row>
        <row r="49">
          <cell r="A49" t="str">
            <v>Fort Lauderdale - Sony</v>
          </cell>
        </row>
        <row r="50">
          <cell r="A50" t="str">
            <v>Fort Myers</v>
          </cell>
        </row>
        <row r="51">
          <cell r="A51" t="str">
            <v>Fort Walton Beach</v>
          </cell>
        </row>
        <row r="52">
          <cell r="A52" t="str">
            <v>FS St Augustine</v>
          </cell>
        </row>
        <row r="53">
          <cell r="A53" t="str">
            <v>FSP JJC</v>
          </cell>
        </row>
        <row r="54">
          <cell r="A54" t="str">
            <v>Ft Pierce Service Center</v>
          </cell>
        </row>
        <row r="55">
          <cell r="A55" t="str">
            <v>Gainesville - 16th Ave</v>
          </cell>
        </row>
        <row r="56">
          <cell r="A56" t="str">
            <v>Gainesville - 31st Ave</v>
          </cell>
        </row>
        <row r="57">
          <cell r="A57" t="str">
            <v>Gainesville - Tachachale</v>
          </cell>
        </row>
        <row r="58">
          <cell r="A58" t="str">
            <v>GOPC Downtown Service Center</v>
          </cell>
        </row>
        <row r="59">
          <cell r="A59" t="str">
            <v>Gulf Coast  Kids House</v>
          </cell>
        </row>
        <row r="60">
          <cell r="A60" t="str">
            <v>Gulf Coast CAC</v>
          </cell>
        </row>
        <row r="61">
          <cell r="A61" t="str">
            <v>Hotline</v>
          </cell>
        </row>
        <row r="62">
          <cell r="A62" t="str">
            <v>Hurston Service Center</v>
          </cell>
        </row>
        <row r="63">
          <cell r="A63" t="str">
            <v>Immokalee</v>
          </cell>
        </row>
        <row r="64">
          <cell r="A64" t="str">
            <v>Inverness</v>
          </cell>
        </row>
        <row r="65">
          <cell r="A65" t="str">
            <v>Jacksonville - Davis Street</v>
          </cell>
        </row>
        <row r="66">
          <cell r="A66" t="str">
            <v>Jacksonville - District 4 HQ</v>
          </cell>
        </row>
        <row r="67">
          <cell r="A67" t="str">
            <v>Jacksonville - Gateway</v>
          </cell>
        </row>
        <row r="68">
          <cell r="A68" t="str">
            <v>Jacksonville - Hodges</v>
          </cell>
        </row>
        <row r="69">
          <cell r="A69" t="str">
            <v>Jacksonville - Westside</v>
          </cell>
        </row>
        <row r="70">
          <cell r="A70" t="str">
            <v xml:space="preserve">Jacksonville - Woodcock </v>
          </cell>
        </row>
        <row r="71">
          <cell r="A71" t="str">
            <v>Key West</v>
          </cell>
        </row>
        <row r="72">
          <cell r="A72" t="str">
            <v>Kissimmee ESS</v>
          </cell>
        </row>
        <row r="73">
          <cell r="A73" t="str">
            <v>Kissimmee CLS</v>
          </cell>
        </row>
        <row r="74">
          <cell r="A74" t="str">
            <v>LaBelle</v>
          </cell>
        </row>
        <row r="75">
          <cell r="A75" t="str">
            <v>Lake City</v>
          </cell>
        </row>
        <row r="76">
          <cell r="A76" t="str">
            <v>Lake Wales</v>
          </cell>
        </row>
        <row r="77">
          <cell r="A77" t="str">
            <v>Lake Worth</v>
          </cell>
        </row>
        <row r="78">
          <cell r="A78" t="str">
            <v>Lakeland</v>
          </cell>
        </row>
        <row r="79">
          <cell r="A79" t="str">
            <v>Largo</v>
          </cell>
        </row>
        <row r="80">
          <cell r="A80" t="str">
            <v>Leon Human Services</v>
          </cell>
        </row>
        <row r="81">
          <cell r="A81" t="str">
            <v>Live Oak</v>
          </cell>
        </row>
        <row r="82">
          <cell r="A82" t="str">
            <v>Madison</v>
          </cell>
        </row>
        <row r="83">
          <cell r="A83" t="str">
            <v>Marathon Key</v>
          </cell>
        </row>
        <row r="84">
          <cell r="A84" t="str">
            <v>Marianna</v>
          </cell>
        </row>
        <row r="85">
          <cell r="A85" t="str">
            <v>Marianna APD</v>
          </cell>
        </row>
        <row r="86">
          <cell r="A86" t="str">
            <v xml:space="preserve">Mary Esther </v>
          </cell>
        </row>
        <row r="87">
          <cell r="A87" t="str">
            <v>Miami HQ SC</v>
          </cell>
        </row>
        <row r="88">
          <cell r="A88" t="str">
            <v>Milton</v>
          </cell>
        </row>
        <row r="89">
          <cell r="A89" t="str">
            <v>Monticello</v>
          </cell>
        </row>
        <row r="90">
          <cell r="A90" t="str">
            <v>N E Florida State Hospital</v>
          </cell>
        </row>
        <row r="91">
          <cell r="A91" t="str">
            <v>N E Florida State Hospital 2</v>
          </cell>
        </row>
        <row r="92">
          <cell r="A92" t="str">
            <v>Naples Horseshoe</v>
          </cell>
        </row>
        <row r="93">
          <cell r="A93" t="str">
            <v>Naples Service Center</v>
          </cell>
        </row>
        <row r="94">
          <cell r="A94" t="str">
            <v>Navarre</v>
          </cell>
        </row>
        <row r="95">
          <cell r="A95" t="str">
            <v>North Florida Evaluation Treatment Center</v>
          </cell>
        </row>
        <row r="96">
          <cell r="A96" t="str">
            <v>Northside Service Center</v>
          </cell>
        </row>
        <row r="97">
          <cell r="A97" t="str">
            <v xml:space="preserve">NSRC    </v>
          </cell>
        </row>
        <row r="98">
          <cell r="A98" t="str">
            <v>NSRC DMZ</v>
          </cell>
        </row>
        <row r="99">
          <cell r="A99" t="str">
            <v>Ocala</v>
          </cell>
        </row>
        <row r="100">
          <cell r="A100" t="str">
            <v>Okeechobee</v>
          </cell>
        </row>
        <row r="101">
          <cell r="A101" t="str">
            <v>Opa Locka</v>
          </cell>
        </row>
        <row r="102">
          <cell r="A102" t="str">
            <v>Open Records Warehouse</v>
          </cell>
        </row>
        <row r="103">
          <cell r="A103" t="str">
            <v>Orange Park</v>
          </cell>
        </row>
        <row r="104">
          <cell r="A104" t="str">
            <v>Orlando FS</v>
          </cell>
        </row>
        <row r="105">
          <cell r="A105" t="str">
            <v>Palatka</v>
          </cell>
        </row>
        <row r="106">
          <cell r="A106" t="str">
            <v>Palm Bay</v>
          </cell>
        </row>
        <row r="107">
          <cell r="A107" t="str">
            <v>Palm Beach Sherrifs Office</v>
          </cell>
        </row>
        <row r="108">
          <cell r="A108" t="str">
            <v>Panama City Beach</v>
          </cell>
        </row>
        <row r="109">
          <cell r="A109" t="str">
            <v>Panama City Sub2</v>
          </cell>
        </row>
        <row r="110">
          <cell r="A110" t="str">
            <v>Pensacola Service Center</v>
          </cell>
        </row>
        <row r="111">
          <cell r="A111" t="str">
            <v>Phillips Road Annex</v>
          </cell>
        </row>
        <row r="112">
          <cell r="A112" t="str">
            <v>Plant City</v>
          </cell>
        </row>
        <row r="113">
          <cell r="A113" t="str">
            <v>Plantation Key</v>
          </cell>
        </row>
        <row r="114">
          <cell r="A114" t="str">
            <v>Port Charlotte</v>
          </cell>
        </row>
        <row r="115">
          <cell r="A115" t="str">
            <v>Port Ritchey - West Pasco</v>
          </cell>
        </row>
        <row r="116">
          <cell r="A116" t="str">
            <v>Port St Joe</v>
          </cell>
        </row>
        <row r="117">
          <cell r="A117" t="str">
            <v>Quail Roost</v>
          </cell>
        </row>
        <row r="118">
          <cell r="A118" t="str">
            <v>Quail Roost B</v>
          </cell>
        </row>
        <row r="119">
          <cell r="A119" t="str">
            <v>Quincy</v>
          </cell>
        </row>
        <row r="120">
          <cell r="A120" t="str">
            <v>Rockledge</v>
          </cell>
        </row>
        <row r="121">
          <cell r="A121" t="str">
            <v>Ruskin</v>
          </cell>
        </row>
        <row r="122">
          <cell r="A122" t="str">
            <v>Sandford CLS</v>
          </cell>
        </row>
        <row r="123">
          <cell r="A123" t="str">
            <v>Sandford ESS</v>
          </cell>
        </row>
        <row r="124">
          <cell r="A124" t="str">
            <v>Santa Rosa Kids House</v>
          </cell>
        </row>
        <row r="125">
          <cell r="A125" t="str">
            <v>Sarasota</v>
          </cell>
        </row>
        <row r="126">
          <cell r="A126" t="str">
            <v xml:space="preserve">Sebring </v>
          </cell>
        </row>
        <row r="127">
          <cell r="A127" t="str">
            <v>Sebring CAC</v>
          </cell>
        </row>
        <row r="128">
          <cell r="A128" t="str">
            <v>Sebring St Petersburg</v>
          </cell>
        </row>
        <row r="129">
          <cell r="A129" t="str">
            <v>Seminole County Sheriff</v>
          </cell>
        </row>
        <row r="130">
          <cell r="A130" t="str">
            <v>Starke</v>
          </cell>
        </row>
        <row r="131">
          <cell r="A131" t="str">
            <v>Stuart</v>
          </cell>
        </row>
        <row r="132">
          <cell r="A132" t="str">
            <v>Sugar Creek Plaza</v>
          </cell>
        </row>
        <row r="133">
          <cell r="A133" t="str">
            <v>Suncoast Region HQ - Tampa</v>
          </cell>
        </row>
        <row r="134">
          <cell r="A134" t="str">
            <v>Sunland Service Center</v>
          </cell>
        </row>
        <row r="135">
          <cell r="A135" t="str">
            <v>Tachachale</v>
          </cell>
        </row>
        <row r="136">
          <cell r="A136" t="str">
            <v>Tavares</v>
          </cell>
        </row>
        <row r="137">
          <cell r="A137" t="str">
            <v>Venice</v>
          </cell>
        </row>
        <row r="138">
          <cell r="A138" t="str">
            <v>Vero Beach</v>
          </cell>
        </row>
        <row r="139">
          <cell r="A139" t="str">
            <v>Wauchula</v>
          </cell>
        </row>
        <row r="140">
          <cell r="A140" t="str">
            <v>West Palm Service Center</v>
          </cell>
        </row>
        <row r="141">
          <cell r="A141" t="str">
            <v>Westside ESS</v>
          </cell>
        </row>
        <row r="142">
          <cell r="A142" t="str">
            <v xml:space="preserve">Westside FS </v>
          </cell>
        </row>
        <row r="143">
          <cell r="A143" t="str">
            <v>Wildwood</v>
          </cell>
        </row>
        <row r="144">
          <cell r="A144" t="str">
            <v>Winewood</v>
          </cell>
        </row>
        <row r="145">
          <cell r="A145" t="str">
            <v>Wright Plaza</v>
          </cell>
        </row>
        <row r="146">
          <cell r="A146" t="str">
            <v>Yulee</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2469" displayName="Table2469" ref="I83:K86" totalsRowShown="0" headerRowDxfId="548" dataDxfId="547" headerRowCellStyle="Normal 4" dataCellStyle="Normal 4">
  <autoFilter ref="I83:K86" xr:uid="{00000000-0009-0000-0100-000008000000}"/>
  <tableColumns count="3">
    <tableColumn id="1" xr3:uid="{00000000-0010-0000-0000-000001000000}" name="VALUES" dataDxfId="546" dataCellStyle="Normal 4"/>
    <tableColumn id="2" xr3:uid="{00000000-0010-0000-0000-000002000000}" name="DESC." dataDxfId="545" dataCellStyle="Normal 4"/>
    <tableColumn id="3" xr3:uid="{00000000-0010-0000-0000-000003000000}" name="POSITION" dataDxfId="544" dataCellStyle="Normal 4"/>
  </tableColumns>
  <tableStyleInfo name="TableStyleLight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Table2463567819" displayName="Table2463567819" ref="I61:K64" totalsRowShown="0" headerRowDxfId="9" dataDxfId="8" headerRowCellStyle="Normal 4" dataCellStyle="Normal 4">
  <autoFilter ref="I61:K64" xr:uid="{00000000-0009-0000-0100-000012000000}"/>
  <tableColumns count="3">
    <tableColumn id="1" xr3:uid="{00000000-0010-0000-0900-000001000000}" name="VALUES" dataDxfId="7" dataCellStyle="Normal 4"/>
    <tableColumn id="2" xr3:uid="{00000000-0010-0000-0900-000002000000}" name="DESC." dataDxfId="6" dataCellStyle="Normal 4"/>
    <tableColumn id="3" xr3:uid="{00000000-0010-0000-0900-000003000000}" name="POSITION" dataDxfId="5" dataCellStyle="Normal 4"/>
  </tableColumns>
  <tableStyleInfo name="TableStyleLight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24631011121314185" displayName="Table24631011121314185" ref="I68:K71" totalsRowShown="0" headerRowDxfId="4" dataDxfId="3" headerRowCellStyle="Normal 4" dataCellStyle="Normal 4">
  <autoFilter ref="I68:K71" xr:uid="{00000000-0009-0000-0100-000004000000}"/>
  <tableColumns count="3">
    <tableColumn id="1" xr3:uid="{00000000-0010-0000-0A00-000001000000}" name="VALUES" dataDxfId="2" dataCellStyle="Normal 4"/>
    <tableColumn id="2" xr3:uid="{00000000-0010-0000-0A00-000002000000}" name="DESC." dataDxfId="1" dataCellStyle="Normal 4"/>
    <tableColumn id="3" xr3:uid="{00000000-0010-0000-0A00-000003000000}" name="POSITION" dataDxfId="0" dataCellStyle="Normal 4"/>
  </tableColumns>
  <tableStyleInfo name="TableStyleLight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Table246310" displayName="Table246310" ref="I87:K90" totalsRowShown="0" headerRowDxfId="473" dataDxfId="472" headerRowCellStyle="Normal 4" dataCellStyle="Normal 4">
  <autoFilter ref="I87:K90" xr:uid="{00000000-0009-0000-0100-000009000000}"/>
  <tableColumns count="3">
    <tableColumn id="1" xr3:uid="{00000000-0010-0000-0100-000001000000}" name="VALUES" dataDxfId="471" dataCellStyle="Normal 4"/>
    <tableColumn id="2" xr3:uid="{00000000-0010-0000-0100-000002000000}" name="DESC." dataDxfId="470" dataCellStyle="Normal 4"/>
    <tableColumn id="3" xr3:uid="{00000000-0010-0000-0100-000003000000}" name="POSITION" dataDxfId="469" dataCellStyle="Normal 4"/>
  </tableColumns>
  <tableStyleInfo name="TableStyleLight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2000000}" name="Table246310111521" displayName="Table246310111521" ref="I97:K100" totalsRowShown="0" headerRowDxfId="468" dataDxfId="467" headerRowCellStyle="Normal 4" dataCellStyle="Normal 4">
  <autoFilter ref="I97:K100" xr:uid="{00000000-0009-0000-0100-000014000000}"/>
  <tableColumns count="3">
    <tableColumn id="1" xr3:uid="{00000000-0010-0000-0200-000001000000}" name="VALUES" dataDxfId="466" dataCellStyle="Normal 4"/>
    <tableColumn id="2" xr3:uid="{00000000-0010-0000-0200-000002000000}" name="DESC." dataDxfId="465" dataCellStyle="Normal 4"/>
    <tableColumn id="3" xr3:uid="{00000000-0010-0000-0200-000003000000}" name="POSITION" dataDxfId="464" dataCellStyle="Normal 4"/>
  </tableColumns>
  <tableStyleInfo name="TableStyleLight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2463411" displayName="Table2463411" ref="I132:K135" totalsRowShown="0" headerRowDxfId="369" dataDxfId="368" headerRowCellStyle="Normal 4" dataCellStyle="Normal 4">
  <autoFilter ref="I132:K135" xr:uid="{00000000-0009-0000-0100-00000A000000}"/>
  <tableColumns count="3">
    <tableColumn id="1" xr3:uid="{00000000-0010-0000-0300-000001000000}" name="VALUES" dataDxfId="367" dataCellStyle="Normal 4"/>
    <tableColumn id="2" xr3:uid="{00000000-0010-0000-0300-000002000000}" name="DESC." dataDxfId="366" dataCellStyle="Normal 4"/>
    <tableColumn id="3" xr3:uid="{00000000-0010-0000-0300-000003000000}" name="POSITION" dataDxfId="365" dataCellStyle="Normal 4"/>
  </tableColumns>
  <tableStyleInfo name="TableStyleLight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2463512" displayName="Table2463512" ref="I112:K115" totalsRowShown="0" headerRowDxfId="280" dataDxfId="279" headerRowCellStyle="Normal 4" dataCellStyle="Normal 4">
  <autoFilter ref="I112:K115" xr:uid="{00000000-0009-0000-0100-00000B000000}"/>
  <tableColumns count="3">
    <tableColumn id="1" xr3:uid="{00000000-0010-0000-0400-000001000000}" name="VALUES" dataDxfId="278" dataCellStyle="Normal 4"/>
    <tableColumn id="2" xr3:uid="{00000000-0010-0000-0400-000002000000}" name="DESC." dataDxfId="277" dataCellStyle="Normal 4"/>
    <tableColumn id="3" xr3:uid="{00000000-0010-0000-0400-000003000000}" name="POSITION" dataDxfId="276" dataCellStyle="Normal 4"/>
  </tableColumns>
  <tableStyleInfo name="TableStyleLight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2463101112162" displayName="Table2463101112162" ref="I125:K128" totalsRowShown="0" headerRowDxfId="275" dataDxfId="274" headerRowCellStyle="Normal 4" dataCellStyle="Normal 4">
  <autoFilter ref="I125:K128" xr:uid="{00000000-0009-0000-0100-000001000000}"/>
  <tableColumns count="3">
    <tableColumn id="1" xr3:uid="{00000000-0010-0000-0500-000001000000}" name="VALUES" dataDxfId="273" dataCellStyle="Normal 4"/>
    <tableColumn id="2" xr3:uid="{00000000-0010-0000-0500-000002000000}" name="DESC." dataDxfId="272" dataCellStyle="Normal 4"/>
    <tableColumn id="3" xr3:uid="{00000000-0010-0000-0500-000003000000}" name="POSITION" dataDxfId="271" dataCellStyle="Normal 4"/>
  </tableColumns>
  <tableStyleInfo name="TableStyleLight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24635613" displayName="Table24635613" ref="I127:K130" totalsRowShown="0" headerRowDxfId="176" dataDxfId="175" headerRowCellStyle="Normal 4" dataCellStyle="Normal 4">
  <autoFilter ref="I127:K130" xr:uid="{00000000-0009-0000-0100-00000C000000}"/>
  <tableColumns count="3">
    <tableColumn id="1" xr3:uid="{00000000-0010-0000-0600-000001000000}" name="VALUES" dataDxfId="174" dataCellStyle="Normal 4"/>
    <tableColumn id="2" xr3:uid="{00000000-0010-0000-0600-000002000000}" name="DESC." dataDxfId="173" dataCellStyle="Normal 4"/>
    <tableColumn id="3" xr3:uid="{00000000-0010-0000-0600-000003000000}" name="POSITION" dataDxfId="172" dataCellStyle="Normal 4"/>
  </tableColumns>
  <tableStyleInfo name="TableStyleLight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Table246356714" displayName="Table246356714" ref="I113:K116" totalsRowShown="0" headerRowDxfId="87" dataDxfId="86" headerRowCellStyle="Normal 4" dataCellStyle="Normal 4">
  <autoFilter ref="I113:K116" xr:uid="{00000000-0009-0000-0100-00000D000000}"/>
  <tableColumns count="3">
    <tableColumn id="1" xr3:uid="{00000000-0010-0000-0700-000001000000}" name="VALUES" dataDxfId="85" dataCellStyle="Normal 4"/>
    <tableColumn id="2" xr3:uid="{00000000-0010-0000-0700-000002000000}" name="DESC." dataDxfId="84" dataCellStyle="Normal 4"/>
    <tableColumn id="3" xr3:uid="{00000000-0010-0000-0700-000003000000}" name="POSITION" dataDxfId="83" dataCellStyle="Normal 4"/>
  </tableColumns>
  <tableStyleInfo name="TableStyleLight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le246310111213173" displayName="Table246310111213173" ref="I127:K130" totalsRowShown="0" headerRowDxfId="82" dataDxfId="81" headerRowCellStyle="Normal 4" dataCellStyle="Normal 4">
  <autoFilter ref="I127:K130" xr:uid="{00000000-0009-0000-0100-000002000000}"/>
  <tableColumns count="3">
    <tableColumn id="1" xr3:uid="{00000000-0010-0000-0800-000001000000}" name="VALUES" dataDxfId="80" dataCellStyle="Normal 4"/>
    <tableColumn id="2" xr3:uid="{00000000-0010-0000-0800-000002000000}" name="DESC." dataDxfId="79" dataCellStyle="Normal 4"/>
    <tableColumn id="3" xr3:uid="{00000000-0010-0000-0800-000003000000}" name="POSITION" dataDxfId="78" dataCellStyle="Normal 4"/>
  </tableColumns>
  <tableStyleInfo name="TableStyleLight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7"/>
  <sheetViews>
    <sheetView showGridLines="0" topLeftCell="A19" workbookViewId="0">
      <selection activeCell="D44" sqref="D44:I44"/>
    </sheetView>
  </sheetViews>
  <sheetFormatPr defaultRowHeight="12.75" x14ac:dyDescent="0.2"/>
  <cols>
    <col min="1" max="1" width="3.7109375" customWidth="1"/>
    <col min="3" max="3" width="16.7109375" customWidth="1"/>
    <col min="4" max="4" width="50.42578125" bestFit="1" customWidth="1"/>
    <col min="13" max="13" width="11.85546875" customWidth="1"/>
  </cols>
  <sheetData>
    <row r="1" spans="1:14" s="5" customFormat="1" ht="15.75" x14ac:dyDescent="0.25">
      <c r="B1" s="630" t="s">
        <v>665</v>
      </c>
      <c r="C1" s="630"/>
      <c r="D1" s="630"/>
      <c r="E1" s="2"/>
      <c r="F1" s="2"/>
      <c r="G1" s="2"/>
      <c r="H1" s="2"/>
      <c r="I1" s="2"/>
      <c r="J1" s="2"/>
    </row>
    <row r="2" spans="1:14" s="5" customFormat="1" ht="41.25" customHeight="1" x14ac:dyDescent="0.25">
      <c r="B2" s="630"/>
      <c r="C2" s="630"/>
      <c r="D2" s="630"/>
    </row>
    <row r="3" spans="1:14" s="6" customFormat="1" ht="18.75" x14ac:dyDescent="0.3">
      <c r="B3" s="650" t="s">
        <v>33</v>
      </c>
      <c r="C3" s="650"/>
      <c r="D3" s="650"/>
    </row>
    <row r="4" spans="1:14" s="6" customFormat="1" ht="18.75" x14ac:dyDescent="0.3">
      <c r="B4" s="7"/>
      <c r="C4" s="8"/>
      <c r="D4" s="8"/>
    </row>
    <row r="5" spans="1:14" s="6" customFormat="1" ht="18.75" x14ac:dyDescent="0.3">
      <c r="B5" s="7"/>
      <c r="C5" s="8"/>
      <c r="D5" s="8"/>
    </row>
    <row r="6" spans="1:14" s="6" customFormat="1" ht="18.75" x14ac:dyDescent="0.3">
      <c r="B6" s="7"/>
      <c r="C6" s="8"/>
      <c r="D6" s="8"/>
    </row>
    <row r="7" spans="1:14" ht="13.5" thickBot="1" x14ac:dyDescent="0.25"/>
    <row r="8" spans="1:14" ht="6" customHeight="1" x14ac:dyDescent="0.3">
      <c r="A8" s="22"/>
      <c r="B8" s="263" t="s">
        <v>3</v>
      </c>
      <c r="C8" s="86"/>
      <c r="D8" s="86"/>
      <c r="E8" s="86"/>
      <c r="F8" s="86"/>
      <c r="G8" s="86"/>
      <c r="H8" s="86"/>
      <c r="I8" s="86"/>
      <c r="J8" s="17"/>
      <c r="K8" s="3"/>
      <c r="L8" s="3"/>
      <c r="M8" s="3"/>
    </row>
    <row r="9" spans="1:14" ht="21" x14ac:dyDescent="0.35">
      <c r="A9" s="15"/>
      <c r="B9" s="264" t="s">
        <v>157</v>
      </c>
      <c r="C9" s="87"/>
      <c r="D9" s="87"/>
      <c r="E9" s="87"/>
      <c r="F9" s="87"/>
      <c r="G9" s="87"/>
      <c r="H9" s="87"/>
      <c r="I9" s="87"/>
      <c r="J9" s="17"/>
      <c r="K9" s="3"/>
      <c r="L9" s="3"/>
      <c r="M9" s="3"/>
    </row>
    <row r="10" spans="1:14" ht="15" customHeight="1" x14ac:dyDescent="0.35">
      <c r="A10" s="15"/>
      <c r="B10" s="264"/>
      <c r="C10" s="87"/>
      <c r="D10" s="87"/>
      <c r="E10" s="87"/>
      <c r="F10" s="87"/>
      <c r="G10" s="87"/>
      <c r="H10" s="87"/>
      <c r="I10" s="87"/>
      <c r="J10" s="17"/>
      <c r="K10" s="3"/>
      <c r="L10" s="3"/>
      <c r="M10" s="3"/>
    </row>
    <row r="11" spans="1:14" ht="88.5" customHeight="1" x14ac:dyDescent="0.25">
      <c r="A11" s="15"/>
      <c r="B11" s="644" t="s">
        <v>153</v>
      </c>
      <c r="C11" s="645"/>
      <c r="D11" s="645"/>
      <c r="E11" s="645"/>
      <c r="F11" s="645"/>
      <c r="G11" s="645"/>
      <c r="H11" s="645"/>
      <c r="I11" s="646"/>
      <c r="J11" s="17"/>
      <c r="K11" s="3"/>
      <c r="L11" s="3"/>
      <c r="M11" s="3"/>
    </row>
    <row r="12" spans="1:14" ht="13.5" thickBot="1" x14ac:dyDescent="0.25">
      <c r="A12" s="15"/>
      <c r="B12" s="88"/>
      <c r="C12" s="89"/>
      <c r="D12" s="89"/>
      <c r="E12" s="89"/>
      <c r="F12" s="89"/>
      <c r="G12" s="89"/>
      <c r="H12" s="89"/>
      <c r="I12" s="89"/>
      <c r="J12" s="17"/>
      <c r="K12" s="3"/>
      <c r="L12" s="3"/>
      <c r="M12" s="3"/>
    </row>
    <row r="13" spans="1:14" ht="13.5" thickBot="1" x14ac:dyDescent="0.25">
      <c r="A13" s="1"/>
      <c r="B13" s="90"/>
      <c r="C13" s="90"/>
      <c r="D13" s="90"/>
      <c r="E13" s="90"/>
      <c r="F13" s="90"/>
      <c r="G13" s="90"/>
      <c r="H13" s="90"/>
      <c r="I13" s="90"/>
    </row>
    <row r="14" spans="1:14" ht="15" x14ac:dyDescent="0.25">
      <c r="A14" s="19"/>
      <c r="B14" s="91"/>
      <c r="C14" s="92"/>
      <c r="D14" s="92"/>
      <c r="E14" s="92"/>
      <c r="F14" s="92"/>
      <c r="G14" s="92"/>
      <c r="H14" s="92"/>
      <c r="I14" s="92"/>
      <c r="J14" s="18"/>
      <c r="K14" s="16"/>
      <c r="L14" s="16"/>
      <c r="M14" s="16"/>
      <c r="N14" s="4"/>
    </row>
    <row r="15" spans="1:14" ht="15" x14ac:dyDescent="0.25">
      <c r="A15" s="19"/>
      <c r="B15" s="644" t="s">
        <v>674</v>
      </c>
      <c r="C15" s="645"/>
      <c r="D15" s="645"/>
      <c r="E15" s="645"/>
      <c r="F15" s="645"/>
      <c r="G15" s="645"/>
      <c r="H15" s="645"/>
      <c r="I15" s="646"/>
      <c r="J15" s="18"/>
      <c r="K15" s="16"/>
      <c r="L15" s="16"/>
      <c r="M15" s="16"/>
      <c r="N15" s="4"/>
    </row>
    <row r="16" spans="1:14" ht="15" x14ac:dyDescent="0.25">
      <c r="A16" s="19"/>
      <c r="B16" s="644" t="s">
        <v>675</v>
      </c>
      <c r="C16" s="645"/>
      <c r="D16" s="645"/>
      <c r="E16" s="645"/>
      <c r="F16" s="645"/>
      <c r="G16" s="645"/>
      <c r="H16" s="645"/>
      <c r="I16" s="646"/>
      <c r="J16" s="18"/>
      <c r="K16" s="16"/>
      <c r="L16" s="16"/>
      <c r="M16" s="16"/>
      <c r="N16" s="4"/>
    </row>
    <row r="17" spans="1:14" ht="15" x14ac:dyDescent="0.25">
      <c r="A17" s="19"/>
      <c r="B17" s="644" t="s">
        <v>668</v>
      </c>
      <c r="C17" s="645"/>
      <c r="D17" s="645"/>
      <c r="E17" s="645"/>
      <c r="F17" s="645"/>
      <c r="G17" s="645"/>
      <c r="H17" s="645"/>
      <c r="I17" s="646"/>
      <c r="J17" s="18"/>
      <c r="K17" s="16"/>
      <c r="L17" s="16"/>
      <c r="M17" s="16"/>
      <c r="N17" s="4"/>
    </row>
    <row r="18" spans="1:14" ht="15" x14ac:dyDescent="0.25">
      <c r="A18" s="19"/>
      <c r="B18" s="611"/>
      <c r="C18" s="612"/>
      <c r="D18" s="612"/>
      <c r="E18" s="612"/>
      <c r="F18" s="612"/>
      <c r="G18" s="612"/>
      <c r="H18" s="612"/>
      <c r="I18" s="613"/>
      <c r="J18" s="18"/>
      <c r="K18" s="16"/>
      <c r="L18" s="16"/>
      <c r="M18" s="16"/>
      <c r="N18" s="4"/>
    </row>
    <row r="19" spans="1:14" ht="15" x14ac:dyDescent="0.25">
      <c r="A19" s="15"/>
      <c r="B19" s="644" t="s">
        <v>154</v>
      </c>
      <c r="C19" s="645"/>
      <c r="D19" s="645"/>
      <c r="E19" s="645"/>
      <c r="F19" s="645"/>
      <c r="G19" s="645"/>
      <c r="H19" s="645"/>
      <c r="I19" s="646"/>
      <c r="J19" s="17"/>
      <c r="K19" s="3"/>
      <c r="L19" s="3"/>
      <c r="M19" s="3"/>
    </row>
    <row r="20" spans="1:14" ht="33" customHeight="1" x14ac:dyDescent="0.25">
      <c r="A20" s="20"/>
      <c r="B20" s="647" t="s">
        <v>155</v>
      </c>
      <c r="C20" s="648"/>
      <c r="D20" s="648"/>
      <c r="E20" s="648"/>
      <c r="F20" s="648"/>
      <c r="G20" s="648"/>
      <c r="H20" s="648"/>
      <c r="I20" s="649"/>
      <c r="J20" s="18"/>
      <c r="K20" s="16"/>
      <c r="L20" s="16"/>
      <c r="M20" s="16"/>
      <c r="N20" s="4"/>
    </row>
    <row r="21" spans="1:14" ht="15" x14ac:dyDescent="0.25">
      <c r="A21" s="20"/>
      <c r="B21" s="93"/>
      <c r="C21" s="94"/>
      <c r="D21" s="94"/>
      <c r="E21" s="94"/>
      <c r="F21" s="94"/>
      <c r="G21" s="94"/>
      <c r="H21" s="94"/>
      <c r="I21" s="94"/>
      <c r="J21" s="18"/>
      <c r="K21" s="16"/>
      <c r="L21" s="16"/>
      <c r="M21" s="16"/>
      <c r="N21" s="4"/>
    </row>
    <row r="22" spans="1:14" ht="15" x14ac:dyDescent="0.25">
      <c r="A22" s="15"/>
      <c r="B22" s="644" t="s">
        <v>156</v>
      </c>
      <c r="C22" s="645"/>
      <c r="D22" s="645"/>
      <c r="E22" s="645"/>
      <c r="F22" s="645"/>
      <c r="G22" s="645"/>
      <c r="H22" s="645"/>
      <c r="I22" s="646"/>
      <c r="J22" s="17"/>
      <c r="K22" s="3"/>
      <c r="L22" s="3"/>
      <c r="M22" s="3"/>
    </row>
    <row r="23" spans="1:14" ht="15.75" thickBot="1" x14ac:dyDescent="0.3">
      <c r="A23" s="21"/>
      <c r="B23" s="95"/>
      <c r="C23" s="96"/>
      <c r="D23" s="96"/>
      <c r="E23" s="96"/>
      <c r="F23" s="96"/>
      <c r="G23" s="96"/>
      <c r="H23" s="96"/>
      <c r="I23" s="96"/>
      <c r="J23" s="18"/>
      <c r="K23" s="16"/>
      <c r="L23" s="16"/>
      <c r="M23" s="16"/>
      <c r="N23" s="4"/>
    </row>
    <row r="24" spans="1:14" ht="14.25" x14ac:dyDescent="0.2">
      <c r="A24" s="4"/>
      <c r="B24" s="4"/>
      <c r="C24" s="4"/>
      <c r="D24" s="4"/>
      <c r="E24" s="4"/>
      <c r="F24" s="4"/>
      <c r="G24" s="4"/>
      <c r="H24" s="4"/>
      <c r="I24" s="4"/>
      <c r="J24" s="4"/>
      <c r="K24" s="4"/>
      <c r="L24" s="4"/>
      <c r="M24" s="4"/>
      <c r="N24" s="4"/>
    </row>
    <row r="25" spans="1:14" ht="14.25" x14ac:dyDescent="0.2">
      <c r="A25" s="4"/>
      <c r="B25" s="4"/>
      <c r="C25" s="4"/>
      <c r="D25" s="4"/>
      <c r="E25" s="4"/>
      <c r="F25" s="4"/>
      <c r="G25" s="4"/>
      <c r="H25" s="4"/>
      <c r="I25" s="4"/>
      <c r="J25" s="4"/>
      <c r="K25" s="4"/>
      <c r="L25" s="4"/>
      <c r="M25" s="4"/>
      <c r="N25" s="4"/>
    </row>
    <row r="26" spans="1:14" s="6" customFormat="1" ht="15.75" x14ac:dyDescent="0.25">
      <c r="B26" s="9" t="s">
        <v>27</v>
      </c>
      <c r="C26" s="9"/>
    </row>
    <row r="27" spans="1:14" s="6" customFormat="1" ht="15.75" x14ac:dyDescent="0.25">
      <c r="B27" s="636" t="s">
        <v>28</v>
      </c>
      <c r="C27" s="638"/>
      <c r="D27" s="636" t="s">
        <v>29</v>
      </c>
      <c r="E27" s="637"/>
      <c r="F27" s="637"/>
      <c r="G27" s="637"/>
      <c r="H27" s="637"/>
      <c r="I27" s="638"/>
    </row>
    <row r="28" spans="1:14" s="6" customFormat="1" ht="15.75" x14ac:dyDescent="0.25">
      <c r="B28" s="642" t="s">
        <v>219</v>
      </c>
      <c r="C28" s="643"/>
      <c r="D28" s="631" t="s">
        <v>220</v>
      </c>
      <c r="E28" s="632"/>
      <c r="F28" s="632"/>
      <c r="G28" s="632"/>
      <c r="H28" s="632"/>
      <c r="I28" s="633"/>
    </row>
    <row r="29" spans="1:14" s="6" customFormat="1" ht="15.75" x14ac:dyDescent="0.25">
      <c r="B29" s="642" t="s">
        <v>100</v>
      </c>
      <c r="C29" s="643"/>
      <c r="D29" s="631" t="s">
        <v>110</v>
      </c>
      <c r="E29" s="632"/>
      <c r="F29" s="632"/>
      <c r="G29" s="632"/>
      <c r="H29" s="632"/>
      <c r="I29" s="633"/>
    </row>
    <row r="30" spans="1:14" s="6" customFormat="1" ht="15.75" x14ac:dyDescent="0.25">
      <c r="B30" s="642" t="s">
        <v>101</v>
      </c>
      <c r="C30" s="643"/>
      <c r="D30" s="631" t="s">
        <v>111</v>
      </c>
      <c r="E30" s="632"/>
      <c r="F30" s="632"/>
      <c r="G30" s="632"/>
      <c r="H30" s="632"/>
      <c r="I30" s="633"/>
    </row>
    <row r="31" spans="1:14" s="6" customFormat="1" ht="15.75" x14ac:dyDescent="0.25">
      <c r="B31" s="642" t="s">
        <v>102</v>
      </c>
      <c r="C31" s="643"/>
      <c r="D31" s="631" t="s">
        <v>112</v>
      </c>
      <c r="E31" s="632"/>
      <c r="F31" s="632"/>
      <c r="G31" s="632"/>
      <c r="H31" s="632"/>
      <c r="I31" s="633"/>
    </row>
    <row r="32" spans="1:14" s="6" customFormat="1" ht="15.75" x14ac:dyDescent="0.25">
      <c r="B32" s="642" t="s">
        <v>103</v>
      </c>
      <c r="C32" s="643"/>
      <c r="D32" s="631" t="s">
        <v>113</v>
      </c>
      <c r="E32" s="632"/>
      <c r="F32" s="632"/>
      <c r="G32" s="632"/>
      <c r="H32" s="632"/>
      <c r="I32" s="633"/>
    </row>
    <row r="33" spans="2:9" s="6" customFormat="1" ht="15.75" x14ac:dyDescent="0.25">
      <c r="B33" s="642" t="s">
        <v>104</v>
      </c>
      <c r="C33" s="643"/>
      <c r="D33" s="631" t="s">
        <v>114</v>
      </c>
      <c r="E33" s="632"/>
      <c r="F33" s="632"/>
      <c r="G33" s="632"/>
      <c r="H33" s="632"/>
      <c r="I33" s="633"/>
    </row>
    <row r="34" spans="2:9" s="6" customFormat="1" ht="15.75" x14ac:dyDescent="0.25">
      <c r="B34" s="642" t="s">
        <v>105</v>
      </c>
      <c r="C34" s="643"/>
      <c r="D34" s="631" t="s">
        <v>115</v>
      </c>
      <c r="E34" s="632"/>
      <c r="F34" s="632"/>
      <c r="G34" s="632"/>
      <c r="H34" s="632"/>
      <c r="I34" s="633"/>
    </row>
    <row r="35" spans="2:9" s="6" customFormat="1" ht="15.75" x14ac:dyDescent="0.25">
      <c r="B35" s="642" t="s">
        <v>106</v>
      </c>
      <c r="C35" s="643"/>
      <c r="D35" s="631" t="s">
        <v>116</v>
      </c>
      <c r="E35" s="632"/>
      <c r="F35" s="632"/>
      <c r="G35" s="632"/>
      <c r="H35" s="632"/>
      <c r="I35" s="633"/>
    </row>
    <row r="36" spans="2:9" s="6" customFormat="1" ht="15.75" x14ac:dyDescent="0.25">
      <c r="B36" s="84" t="s">
        <v>107</v>
      </c>
      <c r="C36" s="85"/>
      <c r="D36" s="81" t="s">
        <v>117</v>
      </c>
      <c r="E36" s="82"/>
      <c r="F36" s="82"/>
      <c r="G36" s="82"/>
      <c r="H36" s="82"/>
      <c r="I36" s="83"/>
    </row>
    <row r="37" spans="2:9" s="6" customFormat="1" ht="15.75" x14ac:dyDescent="0.25">
      <c r="B37" s="634"/>
      <c r="C37" s="635"/>
      <c r="D37" s="639"/>
      <c r="E37" s="640"/>
      <c r="F37" s="640"/>
      <c r="G37" s="640"/>
      <c r="H37" s="640"/>
      <c r="I37" s="641"/>
    </row>
    <row r="38" spans="2:9" s="5" customFormat="1" ht="6" customHeight="1" x14ac:dyDescent="0.25">
      <c r="B38" s="10"/>
      <c r="C38" s="10"/>
      <c r="D38" s="651"/>
      <c r="E38" s="651"/>
      <c r="F38" s="651"/>
      <c r="G38" s="651"/>
      <c r="H38" s="651"/>
      <c r="I38" s="651"/>
    </row>
    <row r="39" spans="2:9" s="6" customFormat="1" ht="15.75" x14ac:dyDescent="0.25"/>
    <row r="40" spans="2:9" s="5" customFormat="1" ht="15.75" x14ac:dyDescent="0.25"/>
    <row r="41" spans="2:9" s="5" customFormat="1" ht="15.75" x14ac:dyDescent="0.25">
      <c r="B41" s="9" t="s">
        <v>30</v>
      </c>
    </row>
    <row r="42" spans="2:9" s="11" customFormat="1" ht="15.75" x14ac:dyDescent="0.25">
      <c r="B42" s="12" t="s">
        <v>31</v>
      </c>
      <c r="C42" s="12" t="s">
        <v>32</v>
      </c>
      <c r="D42" s="652" t="s">
        <v>34</v>
      </c>
      <c r="E42" s="653"/>
      <c r="F42" s="653"/>
      <c r="G42" s="653"/>
      <c r="H42" s="653"/>
      <c r="I42" s="654"/>
    </row>
    <row r="43" spans="2:9" s="5" customFormat="1" ht="15.75" customHeight="1" x14ac:dyDescent="0.25">
      <c r="B43" s="134">
        <v>1</v>
      </c>
      <c r="C43" s="135">
        <v>43656</v>
      </c>
      <c r="D43" s="658" t="s">
        <v>676</v>
      </c>
      <c r="E43" s="659"/>
      <c r="F43" s="659"/>
      <c r="G43" s="659"/>
      <c r="H43" s="659"/>
      <c r="I43" s="660"/>
    </row>
    <row r="44" spans="2:9" s="5" customFormat="1" ht="15.75" customHeight="1" x14ac:dyDescent="0.25">
      <c r="B44" s="13">
        <v>1.1000000000000001</v>
      </c>
      <c r="C44" s="14">
        <v>43661</v>
      </c>
      <c r="D44" s="655" t="s">
        <v>677</v>
      </c>
      <c r="E44" s="656"/>
      <c r="F44" s="656"/>
      <c r="G44" s="656"/>
      <c r="H44" s="656"/>
      <c r="I44" s="657"/>
    </row>
    <row r="45" spans="2:9" s="5" customFormat="1" ht="15.75" customHeight="1" x14ac:dyDescent="0.25">
      <c r="B45" s="13"/>
      <c r="C45" s="14"/>
      <c r="D45" s="655"/>
      <c r="E45" s="656"/>
      <c r="F45" s="656"/>
      <c r="G45" s="656"/>
      <c r="H45" s="656"/>
      <c r="I45" s="657"/>
    </row>
    <row r="46" spans="2:9" s="5" customFormat="1" ht="15.75" customHeight="1" x14ac:dyDescent="0.25">
      <c r="B46" s="134"/>
      <c r="C46" s="135"/>
      <c r="D46" s="658"/>
      <c r="E46" s="659"/>
      <c r="F46" s="659"/>
      <c r="G46" s="659"/>
      <c r="H46" s="659"/>
      <c r="I46" s="660"/>
    </row>
    <row r="47" spans="2:9" s="5" customFormat="1" ht="15.75" customHeight="1" x14ac:dyDescent="0.25">
      <c r="B47" s="134"/>
      <c r="C47" s="135"/>
      <c r="D47" s="658"/>
      <c r="E47" s="659"/>
      <c r="F47" s="659"/>
      <c r="G47" s="659"/>
      <c r="H47" s="659"/>
      <c r="I47" s="660"/>
    </row>
    <row r="48" spans="2:9" s="5" customFormat="1" ht="15.75" customHeight="1" x14ac:dyDescent="0.25">
      <c r="B48" s="134"/>
      <c r="C48" s="135"/>
      <c r="D48" s="658"/>
      <c r="E48" s="659"/>
      <c r="F48" s="659"/>
      <c r="G48" s="659"/>
      <c r="H48" s="659"/>
      <c r="I48" s="660"/>
    </row>
    <row r="49" spans="1:14" s="5" customFormat="1" ht="15.75" customHeight="1" x14ac:dyDescent="0.25">
      <c r="B49" s="13"/>
      <c r="C49" s="14"/>
      <c r="D49" s="655"/>
      <c r="E49" s="656"/>
      <c r="F49" s="656"/>
      <c r="G49" s="656"/>
      <c r="H49" s="656"/>
      <c r="I49" s="657"/>
    </row>
    <row r="50" spans="1:14" s="5" customFormat="1" ht="6" customHeight="1" x14ac:dyDescent="0.25">
      <c r="B50" s="10"/>
      <c r="C50" s="10"/>
      <c r="D50" s="651"/>
      <c r="E50" s="651"/>
      <c r="F50" s="651"/>
      <c r="G50" s="651"/>
      <c r="H50" s="651"/>
      <c r="I50" s="651"/>
    </row>
    <row r="51" spans="1:14" ht="14.25" x14ac:dyDescent="0.2">
      <c r="A51" s="4"/>
      <c r="B51" s="4"/>
      <c r="C51" s="4"/>
      <c r="D51" s="4"/>
      <c r="E51" s="4"/>
      <c r="F51" s="4"/>
      <c r="G51" s="4"/>
      <c r="H51" s="4"/>
      <c r="I51" s="4"/>
      <c r="J51" s="4"/>
      <c r="K51" s="4"/>
      <c r="L51" s="4"/>
      <c r="M51" s="4"/>
      <c r="N51" s="4"/>
    </row>
    <row r="52" spans="1:14" ht="14.25" x14ac:dyDescent="0.2">
      <c r="A52" s="4"/>
      <c r="B52" s="4"/>
      <c r="C52" s="4"/>
      <c r="D52" s="4"/>
      <c r="E52" s="4"/>
      <c r="F52" s="4"/>
      <c r="G52" s="4"/>
      <c r="H52" s="4"/>
      <c r="I52" s="4"/>
      <c r="J52" s="4"/>
      <c r="K52" s="4"/>
      <c r="L52" s="4"/>
      <c r="M52" s="4"/>
      <c r="N52" s="4"/>
    </row>
    <row r="53" spans="1:14" ht="14.25" x14ac:dyDescent="0.2">
      <c r="A53" s="4"/>
      <c r="B53" s="4"/>
      <c r="C53" s="4"/>
      <c r="D53" s="4"/>
      <c r="E53" s="4"/>
      <c r="F53" s="4"/>
      <c r="G53" s="4"/>
      <c r="H53" s="4"/>
      <c r="I53" s="4"/>
      <c r="J53" s="4"/>
      <c r="K53" s="4"/>
      <c r="L53" s="4"/>
      <c r="M53" s="4"/>
      <c r="N53" s="4"/>
    </row>
    <row r="54" spans="1:14" ht="14.25" x14ac:dyDescent="0.2">
      <c r="A54" s="4"/>
      <c r="B54" s="4"/>
      <c r="C54" s="4"/>
      <c r="D54" s="4"/>
      <c r="E54" s="4"/>
      <c r="F54" s="4"/>
      <c r="G54" s="4"/>
      <c r="H54" s="4"/>
      <c r="I54" s="4"/>
      <c r="J54" s="4"/>
      <c r="K54" s="4"/>
      <c r="L54" s="4"/>
      <c r="M54" s="4"/>
      <c r="N54" s="4"/>
    </row>
    <row r="55" spans="1:14" ht="14.25" x14ac:dyDescent="0.2">
      <c r="A55" s="4"/>
      <c r="B55" s="4"/>
      <c r="C55" s="4"/>
      <c r="D55" s="4"/>
      <c r="E55" s="4"/>
      <c r="F55" s="4"/>
      <c r="G55" s="4"/>
      <c r="H55" s="4"/>
      <c r="I55" s="4"/>
      <c r="J55" s="4"/>
      <c r="K55" s="4"/>
      <c r="L55" s="4"/>
      <c r="M55" s="4"/>
      <c r="N55" s="4"/>
    </row>
    <row r="56" spans="1:14" ht="14.25" x14ac:dyDescent="0.2">
      <c r="A56" s="4"/>
      <c r="B56" s="4"/>
      <c r="C56" s="4"/>
      <c r="D56" s="4"/>
      <c r="E56" s="4"/>
      <c r="F56" s="4"/>
      <c r="G56" s="4"/>
      <c r="H56" s="4"/>
      <c r="I56" s="4"/>
      <c r="J56" s="4"/>
      <c r="K56" s="4"/>
      <c r="L56" s="4"/>
      <c r="M56" s="4"/>
      <c r="N56" s="4"/>
    </row>
    <row r="57" spans="1:14" ht="14.25" x14ac:dyDescent="0.2">
      <c r="A57" s="4"/>
      <c r="B57" s="4"/>
      <c r="C57" s="4"/>
      <c r="D57" s="4"/>
      <c r="E57" s="4"/>
      <c r="F57" s="4"/>
      <c r="G57" s="4"/>
      <c r="H57" s="4"/>
      <c r="I57" s="4"/>
      <c r="J57" s="4"/>
      <c r="K57" s="4"/>
      <c r="L57" s="4"/>
      <c r="M57" s="4"/>
      <c r="N57" s="4"/>
    </row>
    <row r="58" spans="1:14" ht="14.25" x14ac:dyDescent="0.2">
      <c r="A58" s="4"/>
      <c r="B58" s="4"/>
      <c r="C58" s="4"/>
      <c r="D58" s="4"/>
      <c r="E58" s="4"/>
      <c r="F58" s="4"/>
      <c r="G58" s="4"/>
      <c r="H58" s="4"/>
      <c r="I58" s="4"/>
      <c r="J58" s="4"/>
      <c r="K58" s="4"/>
      <c r="L58" s="4"/>
      <c r="M58" s="4"/>
      <c r="N58" s="4"/>
    </row>
    <row r="59" spans="1:14" ht="14.25" x14ac:dyDescent="0.2">
      <c r="A59" s="4"/>
      <c r="B59" s="4"/>
      <c r="C59" s="4"/>
      <c r="D59" s="4"/>
      <c r="E59" s="4"/>
      <c r="F59" s="4"/>
      <c r="G59" s="4"/>
      <c r="H59" s="4"/>
      <c r="I59" s="4"/>
      <c r="J59" s="4"/>
      <c r="K59" s="4"/>
      <c r="L59" s="4"/>
      <c r="M59" s="4"/>
      <c r="N59" s="4"/>
    </row>
    <row r="60" spans="1:14" ht="14.25" x14ac:dyDescent="0.2">
      <c r="A60" s="4"/>
      <c r="B60" s="4"/>
      <c r="C60" s="4"/>
      <c r="D60" s="4"/>
      <c r="E60" s="4"/>
      <c r="F60" s="4"/>
      <c r="G60" s="4"/>
      <c r="H60" s="4"/>
      <c r="I60" s="4"/>
      <c r="J60" s="4"/>
      <c r="K60" s="4"/>
      <c r="L60" s="4"/>
      <c r="M60" s="4"/>
      <c r="N60" s="4"/>
    </row>
    <row r="61" spans="1:14" ht="14.25" x14ac:dyDescent="0.2">
      <c r="A61" s="4"/>
      <c r="B61" s="4"/>
      <c r="C61" s="4"/>
      <c r="D61" s="4"/>
      <c r="E61" s="4"/>
      <c r="F61" s="4"/>
      <c r="G61" s="4"/>
      <c r="H61" s="4"/>
      <c r="I61" s="4"/>
      <c r="J61" s="4"/>
      <c r="K61" s="4"/>
      <c r="L61" s="4"/>
      <c r="M61" s="4"/>
      <c r="N61" s="4"/>
    </row>
    <row r="62" spans="1:14" ht="14.25" x14ac:dyDescent="0.2">
      <c r="A62" s="4"/>
      <c r="B62" s="4"/>
      <c r="C62" s="4"/>
      <c r="D62" s="4"/>
      <c r="E62" s="4"/>
      <c r="F62" s="4"/>
      <c r="G62" s="4"/>
      <c r="H62" s="4"/>
      <c r="I62" s="4"/>
      <c r="J62" s="4"/>
      <c r="K62" s="4"/>
      <c r="L62" s="4"/>
      <c r="M62" s="4"/>
      <c r="N62" s="4"/>
    </row>
    <row r="63" spans="1:14" ht="14.25" x14ac:dyDescent="0.2">
      <c r="A63" s="4"/>
      <c r="B63" s="4"/>
      <c r="C63" s="4"/>
      <c r="D63" s="4"/>
      <c r="E63" s="4"/>
      <c r="F63" s="4"/>
      <c r="G63" s="4"/>
      <c r="H63" s="4"/>
      <c r="I63" s="4"/>
      <c r="J63" s="4"/>
      <c r="K63" s="4"/>
      <c r="L63" s="4"/>
      <c r="M63" s="4"/>
      <c r="N63" s="4"/>
    </row>
    <row r="64" spans="1:14" ht="14.25" x14ac:dyDescent="0.2">
      <c r="A64" s="4"/>
      <c r="B64" s="4"/>
      <c r="C64" s="4"/>
      <c r="D64" s="4"/>
      <c r="E64" s="4"/>
      <c r="F64" s="4"/>
      <c r="G64" s="4"/>
      <c r="H64" s="4"/>
      <c r="I64" s="4"/>
      <c r="J64" s="4"/>
      <c r="K64" s="4"/>
      <c r="L64" s="4"/>
      <c r="M64" s="4"/>
      <c r="N64" s="4"/>
    </row>
    <row r="65" spans="1:14" ht="14.25" x14ac:dyDescent="0.2">
      <c r="A65" s="4"/>
      <c r="B65" s="4"/>
      <c r="C65" s="4"/>
      <c r="D65" s="4"/>
      <c r="E65" s="4"/>
      <c r="F65" s="4"/>
      <c r="G65" s="4"/>
      <c r="H65" s="4"/>
      <c r="I65" s="4"/>
      <c r="J65" s="4"/>
      <c r="K65" s="4"/>
      <c r="L65" s="4"/>
      <c r="M65" s="4"/>
      <c r="N65" s="4"/>
    </row>
    <row r="66" spans="1:14" ht="14.25" x14ac:dyDescent="0.2">
      <c r="A66" s="4"/>
      <c r="B66" s="4"/>
      <c r="C66" s="4"/>
      <c r="D66" s="4"/>
      <c r="E66" s="4"/>
      <c r="F66" s="4"/>
      <c r="G66" s="4"/>
      <c r="H66" s="4"/>
      <c r="I66" s="4"/>
      <c r="J66" s="4"/>
      <c r="K66" s="4"/>
      <c r="L66" s="4"/>
      <c r="M66" s="4"/>
      <c r="N66" s="4"/>
    </row>
    <row r="67" spans="1:14" ht="14.25" x14ac:dyDescent="0.2">
      <c r="A67" s="4"/>
      <c r="B67" s="4"/>
      <c r="C67" s="4"/>
      <c r="D67" s="4"/>
      <c r="E67" s="4"/>
      <c r="F67" s="4"/>
      <c r="G67" s="4"/>
      <c r="H67" s="4"/>
      <c r="I67" s="4"/>
      <c r="J67" s="4"/>
      <c r="K67" s="4"/>
      <c r="L67" s="4"/>
      <c r="M67" s="4"/>
      <c r="N67" s="4"/>
    </row>
  </sheetData>
  <sheetProtection selectLockedCells="1"/>
  <mergeCells count="39">
    <mergeCell ref="B3:D3"/>
    <mergeCell ref="B16:I16"/>
    <mergeCell ref="B17:I17"/>
    <mergeCell ref="B15:I15"/>
    <mergeCell ref="D50:I50"/>
    <mergeCell ref="D38:I38"/>
    <mergeCell ref="D42:I42"/>
    <mergeCell ref="D49:I49"/>
    <mergeCell ref="D47:I47"/>
    <mergeCell ref="D46:I46"/>
    <mergeCell ref="D45:I45"/>
    <mergeCell ref="D44:I44"/>
    <mergeCell ref="D43:I43"/>
    <mergeCell ref="D48:I48"/>
    <mergeCell ref="B22:I22"/>
    <mergeCell ref="D32:I32"/>
    <mergeCell ref="D31:I31"/>
    <mergeCell ref="B32:C32"/>
    <mergeCell ref="B27:C27"/>
    <mergeCell ref="B28:C28"/>
    <mergeCell ref="B29:C29"/>
    <mergeCell ref="B30:C30"/>
    <mergeCell ref="B31:C31"/>
    <mergeCell ref="B1:D2"/>
    <mergeCell ref="D33:I33"/>
    <mergeCell ref="D34:I34"/>
    <mergeCell ref="D35:I35"/>
    <mergeCell ref="B37:C37"/>
    <mergeCell ref="D27:I27"/>
    <mergeCell ref="D28:I28"/>
    <mergeCell ref="D29:I29"/>
    <mergeCell ref="D30:I30"/>
    <mergeCell ref="D37:I37"/>
    <mergeCell ref="B33:C33"/>
    <mergeCell ref="B34:C34"/>
    <mergeCell ref="B35:C35"/>
    <mergeCell ref="B11:I11"/>
    <mergeCell ref="B19:I19"/>
    <mergeCell ref="B20:I20"/>
  </mergeCells>
  <pageMargins left="0.7" right="0.7" top="0.75" bottom="0.75" header="0.3" footer="0.3"/>
  <pageSetup scale="67" fitToHeight="0" orientation="portrait" r:id="rId1"/>
  <headerFooter>
    <oddFooter>&amp;L&amp;D&amp;RPage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K142"/>
  <sheetViews>
    <sheetView showGridLines="0" zoomScaleNormal="100" workbookViewId="0">
      <pane ySplit="2" topLeftCell="A3" activePane="bottomLeft" state="frozen"/>
      <selection activeCell="B22" sqref="B22"/>
      <selection pane="bottomLeft" activeCell="B8" sqref="B8:B10"/>
    </sheetView>
  </sheetViews>
  <sheetFormatPr defaultRowHeight="15" x14ac:dyDescent="0.2"/>
  <cols>
    <col min="1" max="1" width="100.7109375" style="225" customWidth="1"/>
    <col min="2" max="2" width="40.7109375" style="215" customWidth="1"/>
    <col min="3" max="3" width="6.7109375" style="215" hidden="1" customWidth="1"/>
    <col min="4" max="4" width="12.7109375" style="215" hidden="1" customWidth="1"/>
    <col min="5" max="6" width="14.7109375" style="215" customWidth="1"/>
    <col min="7" max="7" width="14.7109375" style="215" hidden="1" customWidth="1"/>
    <col min="8" max="8" width="12.7109375" style="215" customWidth="1"/>
    <col min="9" max="11" width="14.7109375" style="215" customWidth="1"/>
    <col min="12" max="16384" width="9.140625" style="215"/>
  </cols>
  <sheetData>
    <row r="1" spans="1:8" ht="9.9499999999999993" customHeight="1" x14ac:dyDescent="0.2">
      <c r="A1" s="233"/>
      <c r="B1" s="140"/>
      <c r="C1" s="140"/>
      <c r="D1" s="140"/>
      <c r="E1" s="140"/>
      <c r="F1" s="140"/>
      <c r="G1" s="140"/>
    </row>
    <row r="2" spans="1:8" ht="30" x14ac:dyDescent="0.2">
      <c r="A2" s="196" t="s">
        <v>6</v>
      </c>
      <c r="B2" s="394" t="s">
        <v>7</v>
      </c>
      <c r="C2" s="394"/>
      <c r="D2" s="145" t="s">
        <v>228</v>
      </c>
      <c r="E2" s="147" t="s">
        <v>9</v>
      </c>
      <c r="F2" s="385" t="s">
        <v>245</v>
      </c>
      <c r="G2" s="147" t="s">
        <v>1</v>
      </c>
    </row>
    <row r="3" spans="1:8" s="143" customFormat="1" ht="8.1" customHeight="1" x14ac:dyDescent="0.2">
      <c r="A3" s="219"/>
      <c r="B3" s="216"/>
      <c r="C3" s="216"/>
      <c r="D3" s="217"/>
      <c r="E3" s="219"/>
      <c r="F3" s="219"/>
      <c r="G3" s="216"/>
    </row>
    <row r="4" spans="1:8" s="143" customFormat="1" ht="90" x14ac:dyDescent="0.2">
      <c r="A4" s="246" t="s">
        <v>362</v>
      </c>
      <c r="B4" s="683" t="s">
        <v>670</v>
      </c>
      <c r="C4" s="683"/>
      <c r="D4" s="683"/>
      <c r="E4" s="683"/>
      <c r="F4" s="683"/>
      <c r="G4" s="120"/>
    </row>
    <row r="5" spans="1:8" s="143" customFormat="1" x14ac:dyDescent="0.2">
      <c r="A5" s="219"/>
      <c r="B5" s="256"/>
      <c r="C5" s="216"/>
      <c r="D5" s="217"/>
      <c r="E5" s="241"/>
      <c r="F5" s="154"/>
      <c r="G5" s="155"/>
    </row>
    <row r="6" spans="1:8" s="143" customFormat="1" x14ac:dyDescent="0.2">
      <c r="A6" s="219"/>
      <c r="B6" s="256"/>
      <c r="C6" s="216"/>
      <c r="D6" s="217"/>
      <c r="E6" s="241"/>
      <c r="F6" s="154"/>
      <c r="G6" s="155"/>
    </row>
    <row r="7" spans="1:8" x14ac:dyDescent="0.2">
      <c r="A7" s="452" t="s">
        <v>85</v>
      </c>
      <c r="B7" s="498"/>
      <c r="C7" s="189"/>
      <c r="D7" s="183"/>
      <c r="E7" s="183"/>
      <c r="F7" s="183"/>
      <c r="G7" s="183"/>
    </row>
    <row r="8" spans="1:8" x14ac:dyDescent="0.2">
      <c r="A8" s="499" t="s">
        <v>86</v>
      </c>
      <c r="B8" s="688"/>
      <c r="C8" s="412">
        <v>5</v>
      </c>
      <c r="D8" s="168">
        <f>IF(F9="NA","",C8)</f>
        <v>5</v>
      </c>
      <c r="E8" s="183"/>
      <c r="F8" s="176"/>
      <c r="G8" s="176"/>
    </row>
    <row r="9" spans="1:8" x14ac:dyDescent="0.2">
      <c r="A9" s="457" t="s">
        <v>58</v>
      </c>
      <c r="B9" s="688"/>
      <c r="C9" s="304"/>
      <c r="D9" s="183"/>
      <c r="E9" s="480">
        <f>$D$117</f>
        <v>2.7624309392265194</v>
      </c>
      <c r="F9" s="616" t="s">
        <v>120</v>
      </c>
      <c r="G9" s="620">
        <f>IF($D$8="","Not Scored",IF(F9="",$D$8*E9,IF(F9="a",$D$8*E9,(IF(F9="b",$D$8*E10)))))</f>
        <v>2.7624309392265194</v>
      </c>
      <c r="H9" s="143"/>
    </row>
    <row r="10" spans="1:8" x14ac:dyDescent="0.2">
      <c r="A10" s="457" t="s">
        <v>246</v>
      </c>
      <c r="B10" s="688"/>
      <c r="C10" s="304"/>
      <c r="D10" s="183"/>
      <c r="E10" s="480">
        <f>$D$118</f>
        <v>0.5524861878453039</v>
      </c>
      <c r="F10" s="621"/>
      <c r="G10" s="615" t="str">
        <f>IF(F9="","BLANK",IF(F9="a","High",IF(F9="b","Low",IF(F9="NA","Not Applicable"))))</f>
        <v>Low</v>
      </c>
      <c r="H10" s="161"/>
    </row>
    <row r="11" spans="1:8" x14ac:dyDescent="0.2">
      <c r="A11" s="500"/>
      <c r="B11" s="479"/>
      <c r="C11" s="304"/>
      <c r="D11" s="480"/>
      <c r="E11" s="176"/>
      <c r="F11" s="501"/>
      <c r="G11" s="502"/>
    </row>
    <row r="12" spans="1:8" x14ac:dyDescent="0.2">
      <c r="A12" s="499" t="s">
        <v>67</v>
      </c>
      <c r="B12" s="688"/>
      <c r="C12" s="412">
        <v>5</v>
      </c>
      <c r="D12" s="168">
        <f>IF(F13="NA","",C12)</f>
        <v>5</v>
      </c>
      <c r="E12" s="183"/>
      <c r="F12" s="501"/>
      <c r="G12" s="502"/>
    </row>
    <row r="13" spans="1:8" x14ac:dyDescent="0.2">
      <c r="A13" s="457" t="s">
        <v>58</v>
      </c>
      <c r="B13" s="688"/>
      <c r="C13" s="304"/>
      <c r="D13" s="183"/>
      <c r="E13" s="480">
        <f>$D$117</f>
        <v>2.7624309392265194</v>
      </c>
      <c r="F13" s="616" t="s">
        <v>120</v>
      </c>
      <c r="G13" s="620">
        <f>IF($D$12="","Not Scored",IF(F13="",$D$12*E13,IF(F13="a",$D$12*E13,(IF(F13="b",$D$12*E14)))))</f>
        <v>2.7624309392265194</v>
      </c>
      <c r="H13" s="143"/>
    </row>
    <row r="14" spans="1:8" x14ac:dyDescent="0.2">
      <c r="A14" s="457" t="s">
        <v>246</v>
      </c>
      <c r="B14" s="688"/>
      <c r="C14" s="304"/>
      <c r="D14" s="183"/>
      <c r="E14" s="480">
        <f>$D$118</f>
        <v>0.5524861878453039</v>
      </c>
      <c r="F14" s="621"/>
      <c r="G14" s="615" t="str">
        <f>IF(F13="","BLANK",IF(F13="a","High",IF(F13="b","Low",IF(F13="NA","Not Applicable"))))</f>
        <v>Low</v>
      </c>
      <c r="H14" s="161"/>
    </row>
    <row r="15" spans="1:8" x14ac:dyDescent="0.2">
      <c r="A15" s="500"/>
      <c r="B15" s="479"/>
      <c r="C15" s="304"/>
      <c r="D15" s="480"/>
      <c r="E15" s="176"/>
      <c r="F15" s="501"/>
      <c r="G15" s="502"/>
    </row>
    <row r="16" spans="1:8" x14ac:dyDescent="0.2">
      <c r="A16" s="499" t="s">
        <v>68</v>
      </c>
      <c r="B16" s="688"/>
      <c r="C16" s="412">
        <v>5</v>
      </c>
      <c r="D16" s="168">
        <f>IF(F17="NA","",C16)</f>
        <v>5</v>
      </c>
      <c r="E16" s="183"/>
      <c r="F16" s="501"/>
      <c r="G16" s="502"/>
    </row>
    <row r="17" spans="1:8" x14ac:dyDescent="0.2">
      <c r="A17" s="457" t="s">
        <v>58</v>
      </c>
      <c r="B17" s="688"/>
      <c r="C17" s="304"/>
      <c r="D17" s="183"/>
      <c r="E17" s="480">
        <f>$D$117</f>
        <v>2.7624309392265194</v>
      </c>
      <c r="F17" s="616" t="s">
        <v>120</v>
      </c>
      <c r="G17" s="620">
        <f>IF($D$16="","Not Scored",IF(F17="",$D$16*E17,IF(F17="a",$D$16*E17,(IF(F17="b",$D$16*E18)))))</f>
        <v>2.7624309392265194</v>
      </c>
      <c r="H17" s="143"/>
    </row>
    <row r="18" spans="1:8" x14ac:dyDescent="0.2">
      <c r="A18" s="457" t="s">
        <v>246</v>
      </c>
      <c r="B18" s="688"/>
      <c r="C18" s="304"/>
      <c r="D18" s="183"/>
      <c r="E18" s="480">
        <f>$D$118</f>
        <v>0.5524861878453039</v>
      </c>
      <c r="F18" s="621"/>
      <c r="G18" s="615" t="str">
        <f>IF(F17="","BLANK",IF(F17="a","High",IF(F17="b","Low",IF(F17="NA","Not Applicable"))))</f>
        <v>Low</v>
      </c>
      <c r="H18" s="161"/>
    </row>
    <row r="19" spans="1:8" x14ac:dyDescent="0.2">
      <c r="A19" s="158"/>
      <c r="B19" s="255"/>
      <c r="C19" s="206"/>
      <c r="D19" s="203"/>
      <c r="E19" s="226"/>
      <c r="F19" s="49"/>
      <c r="G19" s="242"/>
    </row>
    <row r="20" spans="1:8" x14ac:dyDescent="0.2">
      <c r="A20" s="158"/>
      <c r="B20" s="255"/>
      <c r="C20" s="206"/>
      <c r="D20" s="203"/>
      <c r="E20" s="226"/>
      <c r="F20" s="49"/>
      <c r="G20" s="242"/>
    </row>
    <row r="21" spans="1:8" ht="30" x14ac:dyDescent="0.2">
      <c r="A21" s="452" t="s">
        <v>479</v>
      </c>
      <c r="B21" s="685"/>
      <c r="C21" s="412">
        <v>5</v>
      </c>
      <c r="D21" s="168">
        <f>IF(F22="NA","",C21)</f>
        <v>5</v>
      </c>
      <c r="E21" s="176"/>
      <c r="F21" s="501"/>
      <c r="G21" s="502"/>
    </row>
    <row r="22" spans="1:8" x14ac:dyDescent="0.2">
      <c r="A22" s="503" t="s">
        <v>58</v>
      </c>
      <c r="B22" s="685"/>
      <c r="C22" s="304"/>
      <c r="D22" s="183"/>
      <c r="E22" s="480">
        <f>$D$117</f>
        <v>2.7624309392265194</v>
      </c>
      <c r="F22" s="616" t="s">
        <v>120</v>
      </c>
      <c r="G22" s="620">
        <f>IF($D$21="","Not Scored",IF(F22="",$D$21*E22,IF(F22="a",$D$21*E22,(IF(F22="b",$D$21*E23)))))</f>
        <v>2.7624309392265194</v>
      </c>
      <c r="H22" s="136"/>
    </row>
    <row r="23" spans="1:8" x14ac:dyDescent="0.2">
      <c r="A23" s="503" t="s">
        <v>246</v>
      </c>
      <c r="B23" s="685"/>
      <c r="C23" s="304"/>
      <c r="D23" s="183"/>
      <c r="E23" s="480">
        <f>$D$118</f>
        <v>0.5524861878453039</v>
      </c>
      <c r="F23" s="621"/>
      <c r="G23" s="615" t="str">
        <f>IF(F22="","BLANK",IF(F22="a","High",IF(F22="b","Low",IF(F22="NA","Not Applicable"))))</f>
        <v>Low</v>
      </c>
      <c r="H23" s="136"/>
    </row>
    <row r="24" spans="1:8" x14ac:dyDescent="0.2">
      <c r="A24" s="167"/>
      <c r="B24" s="253"/>
      <c r="C24" s="433"/>
      <c r="D24" s="203"/>
      <c r="E24" s="226"/>
      <c r="F24" s="49"/>
      <c r="G24" s="242"/>
    </row>
    <row r="25" spans="1:8" x14ac:dyDescent="0.2">
      <c r="A25" s="167"/>
      <c r="B25" s="253"/>
      <c r="C25" s="433"/>
      <c r="D25" s="203"/>
      <c r="E25" s="226"/>
      <c r="F25" s="49"/>
      <c r="G25" s="242"/>
    </row>
    <row r="26" spans="1:8" x14ac:dyDescent="0.2">
      <c r="A26" s="452" t="s">
        <v>87</v>
      </c>
      <c r="B26" s="685"/>
      <c r="C26" s="412">
        <v>8</v>
      </c>
      <c r="D26" s="168">
        <f>IF(F28="NA","",C26)</f>
        <v>8</v>
      </c>
      <c r="E26" s="183"/>
      <c r="F26" s="501"/>
      <c r="G26" s="502"/>
    </row>
    <row r="27" spans="1:8" ht="30" x14ac:dyDescent="0.2">
      <c r="A27" s="460" t="s">
        <v>88</v>
      </c>
      <c r="B27" s="685"/>
      <c r="C27" s="465"/>
      <c r="D27" s="448"/>
      <c r="E27" s="183"/>
      <c r="F27" s="501"/>
      <c r="G27" s="502"/>
    </row>
    <row r="28" spans="1:8" x14ac:dyDescent="0.2">
      <c r="A28" s="451" t="s">
        <v>482</v>
      </c>
      <c r="B28" s="685"/>
      <c r="C28" s="304"/>
      <c r="D28" s="183"/>
      <c r="E28" s="480">
        <f>$D$117</f>
        <v>2.7624309392265194</v>
      </c>
      <c r="F28" s="616" t="s">
        <v>121</v>
      </c>
      <c r="G28" s="620">
        <f>IF($D$26="","Not Scored",IF(F28="",$D$26*E28,IF(F28="a",$D$26*E28,(IF(F28="b",$D$26*E29,IF(F28="c",$D$26*E30))))))</f>
        <v>4.4198895027624312</v>
      </c>
      <c r="H28" s="136"/>
    </row>
    <row r="29" spans="1:8" x14ac:dyDescent="0.2">
      <c r="A29" s="451" t="s">
        <v>481</v>
      </c>
      <c r="B29" s="685"/>
      <c r="C29" s="304"/>
      <c r="D29" s="183"/>
      <c r="E29" s="480">
        <f>AVERAGE(E28,E30)</f>
        <v>1.6574585635359116</v>
      </c>
      <c r="F29" s="625"/>
      <c r="G29" s="615" t="str">
        <f>IF(F28="","BLANK",IF(F28="a","High",IF(F28="b","Medium",IF(F28="c","Low",IF(F28="NA","Not Applicable")))))</f>
        <v>Low</v>
      </c>
      <c r="H29" s="161"/>
    </row>
    <row r="30" spans="1:8" x14ac:dyDescent="0.2">
      <c r="A30" s="451" t="s">
        <v>480</v>
      </c>
      <c r="B30" s="498"/>
      <c r="C30" s="189"/>
      <c r="D30" s="480"/>
      <c r="E30" s="480">
        <f>$D$118</f>
        <v>0.5524861878453039</v>
      </c>
      <c r="F30" s="626"/>
      <c r="G30" s="162"/>
    </row>
    <row r="31" spans="1:8" x14ac:dyDescent="0.2">
      <c r="A31" s="158"/>
      <c r="B31" s="255"/>
      <c r="C31" s="206"/>
      <c r="D31" s="203"/>
      <c r="E31" s="226"/>
      <c r="F31" s="49"/>
      <c r="G31" s="242"/>
    </row>
    <row r="32" spans="1:8" x14ac:dyDescent="0.2">
      <c r="A32" s="158"/>
      <c r="B32" s="255"/>
      <c r="C32" s="206"/>
      <c r="D32" s="203"/>
      <c r="E32" s="226"/>
      <c r="F32" s="49"/>
      <c r="G32" s="242"/>
    </row>
    <row r="33" spans="1:8" x14ac:dyDescent="0.2">
      <c r="A33" s="452" t="s">
        <v>89</v>
      </c>
      <c r="B33" s="685"/>
      <c r="C33" s="412">
        <v>5</v>
      </c>
      <c r="D33" s="168">
        <f>IF(F35="NA","",C33)</f>
        <v>5</v>
      </c>
      <c r="E33" s="183"/>
      <c r="F33" s="501"/>
      <c r="G33" s="502"/>
    </row>
    <row r="34" spans="1:8" ht="30" x14ac:dyDescent="0.2">
      <c r="A34" s="460" t="s">
        <v>90</v>
      </c>
      <c r="B34" s="685"/>
      <c r="C34" s="465"/>
      <c r="D34" s="448"/>
      <c r="E34" s="183"/>
      <c r="F34" s="501"/>
      <c r="G34" s="502"/>
    </row>
    <row r="35" spans="1:8" x14ac:dyDescent="0.2">
      <c r="A35" s="451" t="s">
        <v>94</v>
      </c>
      <c r="B35" s="685"/>
      <c r="C35" s="304"/>
      <c r="D35" s="183"/>
      <c r="E35" s="480">
        <f>$D$117</f>
        <v>2.7624309392265194</v>
      </c>
      <c r="F35" s="616" t="s">
        <v>120</v>
      </c>
      <c r="G35" s="620">
        <f>IF($D$33="","Not Scored",IF(F35="",$D$33*E35,IF(F35="a",$D$33*E35,(IF(F35="b",$D$33*E36)))))</f>
        <v>2.7624309392265194</v>
      </c>
      <c r="H35" s="136"/>
    </row>
    <row r="36" spans="1:8" x14ac:dyDescent="0.2">
      <c r="A36" s="451" t="s">
        <v>130</v>
      </c>
      <c r="B36" s="685"/>
      <c r="C36" s="304"/>
      <c r="D36" s="183"/>
      <c r="E36" s="480">
        <f>$D$118</f>
        <v>0.5524861878453039</v>
      </c>
      <c r="F36" s="621"/>
      <c r="G36" s="615" t="str">
        <f>IF(F35="","BLANK",IF(F35="a","High",IF(F35="b","Low",IF(F35="NA","Not Applicable"))))</f>
        <v>Low</v>
      </c>
      <c r="H36" s="136"/>
    </row>
    <row r="37" spans="1:8" x14ac:dyDescent="0.2">
      <c r="A37" s="158"/>
      <c r="B37" s="255"/>
      <c r="C37" s="206"/>
      <c r="D37" s="203"/>
      <c r="E37" s="226"/>
      <c r="F37" s="49"/>
      <c r="G37" s="242"/>
    </row>
    <row r="38" spans="1:8" x14ac:dyDescent="0.2">
      <c r="A38" s="158"/>
      <c r="B38" s="255"/>
      <c r="C38" s="206"/>
      <c r="D38" s="203"/>
      <c r="E38" s="226"/>
      <c r="F38" s="49"/>
      <c r="G38" s="242"/>
    </row>
    <row r="39" spans="1:8" x14ac:dyDescent="0.2">
      <c r="A39" s="504" t="s">
        <v>289</v>
      </c>
      <c r="B39" s="688"/>
      <c r="C39" s="412">
        <v>15</v>
      </c>
      <c r="D39" s="168">
        <f>IF(F41="NA","",C39)</f>
        <v>15</v>
      </c>
      <c r="E39" s="183"/>
      <c r="F39" s="501"/>
      <c r="G39" s="502"/>
    </row>
    <row r="40" spans="1:8" ht="30" x14ac:dyDescent="0.2">
      <c r="A40" s="460" t="s">
        <v>531</v>
      </c>
      <c r="B40" s="688"/>
      <c r="C40" s="456"/>
      <c r="D40" s="448"/>
      <c r="E40" s="183"/>
      <c r="F40" s="501"/>
      <c r="G40" s="502"/>
    </row>
    <row r="41" spans="1:8" x14ac:dyDescent="0.2">
      <c r="A41" s="451" t="s">
        <v>91</v>
      </c>
      <c r="B41" s="688"/>
      <c r="C41" s="304"/>
      <c r="D41" s="183"/>
      <c r="E41" s="480">
        <f>$D$117</f>
        <v>2.7624309392265194</v>
      </c>
      <c r="F41" s="616" t="s">
        <v>122</v>
      </c>
      <c r="G41" s="614">
        <f>IF($D$39="","Not Scored",IF(F41="",$D$39*E41,IF(F41="a",$D$39*E41,(IF(F41="b",$D$39*E42,IF(F41="c",$D$39*E43,IF(F41="d",$D$39*E44)))))))</f>
        <v>8.2872928176795586</v>
      </c>
      <c r="H41" s="136"/>
    </row>
    <row r="42" spans="1:8" x14ac:dyDescent="0.2">
      <c r="A42" s="451" t="s">
        <v>92</v>
      </c>
      <c r="B42" s="688"/>
      <c r="C42" s="304"/>
      <c r="D42" s="183"/>
      <c r="E42" s="480">
        <f>AVERAGE(E41,AVERAGE(E41,E44))</f>
        <v>2.2099447513812156</v>
      </c>
      <c r="F42" s="617"/>
      <c r="G42" s="615" t="str">
        <f>IF(F41="","BLANK",IF(F41="a","High",IF(F41="b","Medium - High",IF(F41="c","Medium - Low",IF(F41="d","Low",IF(F41="NA","Not Applicable"))))))</f>
        <v>Low</v>
      </c>
      <c r="H42" s="136"/>
    </row>
    <row r="43" spans="1:8" x14ac:dyDescent="0.2">
      <c r="A43" s="451" t="s">
        <v>93</v>
      </c>
      <c r="B43" s="688"/>
      <c r="C43" s="304"/>
      <c r="D43" s="183"/>
      <c r="E43" s="480">
        <f>AVERAGE(E44,AVERAGE(E41,E44))</f>
        <v>1.1049723756906078</v>
      </c>
      <c r="F43" s="618"/>
      <c r="G43" s="204"/>
      <c r="H43" s="161"/>
    </row>
    <row r="44" spans="1:8" x14ac:dyDescent="0.2">
      <c r="A44" s="451" t="s">
        <v>478</v>
      </c>
      <c r="B44" s="688"/>
      <c r="C44" s="304"/>
      <c r="D44" s="183"/>
      <c r="E44" s="480">
        <f>$D$118</f>
        <v>0.5524861878453039</v>
      </c>
      <c r="F44" s="619"/>
      <c r="G44" s="205"/>
      <c r="H44" s="163"/>
    </row>
    <row r="45" spans="1:8" x14ac:dyDescent="0.2">
      <c r="A45" s="158"/>
      <c r="B45" s="255"/>
      <c r="C45" s="206"/>
      <c r="D45" s="203"/>
      <c r="E45" s="226"/>
      <c r="F45" s="49"/>
      <c r="G45" s="242"/>
    </row>
    <row r="46" spans="1:8" x14ac:dyDescent="0.2">
      <c r="A46" s="158"/>
      <c r="B46" s="255"/>
      <c r="C46" s="206"/>
      <c r="D46" s="203"/>
      <c r="E46" s="226"/>
      <c r="F46" s="49"/>
      <c r="G46" s="242"/>
    </row>
    <row r="47" spans="1:8" ht="30" x14ac:dyDescent="0.2">
      <c r="A47" s="504" t="s">
        <v>341</v>
      </c>
      <c r="B47" s="688"/>
      <c r="C47" s="412">
        <v>15</v>
      </c>
      <c r="D47" s="168">
        <f>IF(F49="NA","",C47)</f>
        <v>15</v>
      </c>
      <c r="E47" s="183"/>
      <c r="F47" s="501"/>
      <c r="G47" s="502"/>
    </row>
    <row r="48" spans="1:8" ht="45" x14ac:dyDescent="0.2">
      <c r="A48" s="505" t="s">
        <v>363</v>
      </c>
      <c r="B48" s="688"/>
      <c r="C48" s="456"/>
      <c r="D48" s="448"/>
      <c r="E48" s="183"/>
      <c r="F48" s="501"/>
      <c r="G48" s="502"/>
    </row>
    <row r="49" spans="1:10" x14ac:dyDescent="0.2">
      <c r="A49" s="451" t="s">
        <v>497</v>
      </c>
      <c r="B49" s="688"/>
      <c r="C49" s="304"/>
      <c r="D49" s="183"/>
      <c r="E49" s="480">
        <f>$D$117</f>
        <v>2.7624309392265194</v>
      </c>
      <c r="F49" s="616" t="s">
        <v>121</v>
      </c>
      <c r="G49" s="620">
        <f>IF($D$47="","Not Scored",IF(F49="",$D$47*E49,IF(F49="a",$D$47*E49,(IF(F49="b",$D$47*E50,IF(F49="c",$D$47*E51))))))</f>
        <v>8.2872928176795586</v>
      </c>
      <c r="H49" s="143"/>
    </row>
    <row r="50" spans="1:10" x14ac:dyDescent="0.2">
      <c r="A50" s="451" t="s">
        <v>498</v>
      </c>
      <c r="B50" s="688"/>
      <c r="C50" s="304"/>
      <c r="D50" s="183"/>
      <c r="E50" s="480">
        <f>AVERAGE(E49,E51)</f>
        <v>1.6574585635359116</v>
      </c>
      <c r="F50" s="625"/>
      <c r="G50" s="615" t="str">
        <f>IF(F49="","BLANK",IF(F49="a","High",IF(F49="b","Medium",IF(F49="c","Low",IF(F49="NA","Not Applicable")))))</f>
        <v>Low</v>
      </c>
      <c r="H50" s="161"/>
    </row>
    <row r="51" spans="1:10" x14ac:dyDescent="0.2">
      <c r="A51" s="451" t="s">
        <v>499</v>
      </c>
      <c r="B51" s="498"/>
      <c r="C51" s="189"/>
      <c r="D51" s="480"/>
      <c r="E51" s="480">
        <f>$D$118</f>
        <v>0.5524861878453039</v>
      </c>
      <c r="F51" s="626"/>
      <c r="G51" s="162"/>
    </row>
    <row r="52" spans="1:10" x14ac:dyDescent="0.2">
      <c r="A52" s="158"/>
      <c r="B52" s="599"/>
      <c r="C52" s="206"/>
      <c r="D52" s="203"/>
      <c r="E52" s="226"/>
      <c r="F52" s="49"/>
      <c r="G52" s="242"/>
    </row>
    <row r="53" spans="1:10" x14ac:dyDescent="0.2">
      <c r="A53" s="158"/>
      <c r="B53" s="599"/>
      <c r="C53" s="206"/>
      <c r="D53" s="203"/>
      <c r="E53" s="226"/>
      <c r="F53" s="49"/>
      <c r="G53" s="242"/>
    </row>
    <row r="54" spans="1:10" ht="30" x14ac:dyDescent="0.2">
      <c r="A54" s="504" t="s">
        <v>500</v>
      </c>
      <c r="B54" s="688"/>
      <c r="C54" s="412">
        <v>10</v>
      </c>
      <c r="D54" s="168">
        <f>IF(F55="NA","",C54)</f>
        <v>10</v>
      </c>
      <c r="E54" s="183"/>
      <c r="F54" s="501"/>
      <c r="G54" s="502"/>
      <c r="I54" s="143"/>
      <c r="J54" s="143"/>
    </row>
    <row r="55" spans="1:10" ht="15" customHeight="1" x14ac:dyDescent="0.2">
      <c r="A55" s="451" t="s">
        <v>58</v>
      </c>
      <c r="B55" s="688"/>
      <c r="C55" s="304"/>
      <c r="D55" s="183"/>
      <c r="E55" s="480">
        <f>$D$117</f>
        <v>2.7624309392265194</v>
      </c>
      <c r="F55" s="616" t="s">
        <v>120</v>
      </c>
      <c r="G55" s="620">
        <f>IF($D$54="","Not Scored",IF(F55="",$D$54*E55,IF(F55="a",$D$54*E55,(IF(F55="b",$D$54*E56)))))</f>
        <v>5.5248618784530388</v>
      </c>
      <c r="H55" s="143"/>
      <c r="I55" s="143"/>
      <c r="J55" s="143"/>
    </row>
    <row r="56" spans="1:10" x14ac:dyDescent="0.2">
      <c r="A56" s="451" t="s">
        <v>246</v>
      </c>
      <c r="B56" s="688"/>
      <c r="C56" s="304"/>
      <c r="D56" s="183"/>
      <c r="E56" s="480">
        <f>$D$118</f>
        <v>0.5524861878453039</v>
      </c>
      <c r="F56" s="621"/>
      <c r="G56" s="615" t="str">
        <f>IF(F55="","BLANK",IF(F55="a","High",IF(F55="b","Low",IF(F55="NA","Not Applicable"))))</f>
        <v>Low</v>
      </c>
      <c r="H56" s="161"/>
      <c r="I56" s="143"/>
      <c r="J56" s="143"/>
    </row>
    <row r="57" spans="1:10" x14ac:dyDescent="0.2">
      <c r="A57" s="158"/>
      <c r="B57" s="255"/>
      <c r="C57" s="206"/>
      <c r="D57" s="203"/>
      <c r="E57" s="226"/>
      <c r="F57" s="49"/>
      <c r="G57" s="242"/>
      <c r="I57" s="143"/>
      <c r="J57" s="143"/>
    </row>
    <row r="58" spans="1:10" x14ac:dyDescent="0.2">
      <c r="A58" s="158"/>
      <c r="B58" s="255"/>
      <c r="C58" s="206"/>
      <c r="D58" s="203"/>
      <c r="E58" s="226"/>
      <c r="F58" s="49"/>
      <c r="G58" s="242"/>
      <c r="I58" s="143"/>
      <c r="J58" s="143"/>
    </row>
    <row r="59" spans="1:10" s="143" customFormat="1" ht="30" customHeight="1" x14ac:dyDescent="0.2">
      <c r="A59" s="482" t="s">
        <v>501</v>
      </c>
      <c r="B59" s="684"/>
      <c r="C59" s="412">
        <v>15</v>
      </c>
      <c r="D59" s="168">
        <f>IF(F60="NA","",C59)</f>
        <v>15</v>
      </c>
      <c r="E59" s="174"/>
      <c r="F59" s="481"/>
      <c r="G59" s="448"/>
    </row>
    <row r="60" spans="1:10" s="143" customFormat="1" x14ac:dyDescent="0.2">
      <c r="A60" s="478" t="s">
        <v>483</v>
      </c>
      <c r="B60" s="684"/>
      <c r="C60" s="178"/>
      <c r="D60" s="176"/>
      <c r="E60" s="480">
        <f>$D$117</f>
        <v>2.7624309392265194</v>
      </c>
      <c r="F60" s="616" t="s">
        <v>122</v>
      </c>
      <c r="G60" s="614">
        <f>IF($D$59="","Not Scored",IF(F60="",$D$59*E60,IF(F60="a",$D$59*E60,(IF(F60="b",$D$59*E61,IF(F60="c",$D$59*E62,IF(F60="d",$D$59*E63)))))))</f>
        <v>8.2872928176795586</v>
      </c>
    </row>
    <row r="61" spans="1:10" s="143" customFormat="1" x14ac:dyDescent="0.2">
      <c r="A61" s="478" t="s">
        <v>484</v>
      </c>
      <c r="B61" s="684"/>
      <c r="C61" s="178"/>
      <c r="D61" s="176"/>
      <c r="E61" s="480">
        <f>AVERAGE(E60,AVERAGE(E60,E63))</f>
        <v>2.2099447513812156</v>
      </c>
      <c r="F61" s="617"/>
      <c r="G61" s="615" t="str">
        <f>IF(F60="","BLANK",IF(F60="a","High",IF(F60="b","Medium - High",IF(F60="c","Medium - Low",IF(F60="d","Low",IF(F60="NA","Not Applicable"))))))</f>
        <v>Low</v>
      </c>
    </row>
    <row r="62" spans="1:10" s="143" customFormat="1" x14ac:dyDescent="0.2">
      <c r="A62" s="478" t="s">
        <v>485</v>
      </c>
      <c r="B62" s="684"/>
      <c r="C62" s="176"/>
      <c r="D62" s="176"/>
      <c r="E62" s="480">
        <f>AVERAGE(E63,AVERAGE(E60,E63))</f>
        <v>1.1049723756906078</v>
      </c>
      <c r="F62" s="618"/>
      <c r="G62" s="204"/>
    </row>
    <row r="63" spans="1:10" s="143" customFormat="1" x14ac:dyDescent="0.2">
      <c r="A63" s="478" t="s">
        <v>486</v>
      </c>
      <c r="B63" s="684"/>
      <c r="C63" s="176"/>
      <c r="D63" s="176"/>
      <c r="E63" s="480">
        <f>$D$118</f>
        <v>0.5524861878453039</v>
      </c>
      <c r="F63" s="619"/>
      <c r="G63" s="205"/>
    </row>
    <row r="64" spans="1:10" s="143" customFormat="1" x14ac:dyDescent="0.2">
      <c r="A64" s="139"/>
      <c r="B64" s="254"/>
      <c r="C64" s="138"/>
      <c r="D64" s="138"/>
      <c r="E64" s="157"/>
      <c r="F64" s="41"/>
      <c r="G64" s="169"/>
    </row>
    <row r="65" spans="1:8" s="143" customFormat="1" x14ac:dyDescent="0.2">
      <c r="A65" s="139"/>
      <c r="B65" s="254"/>
      <c r="C65" s="138"/>
      <c r="D65" s="138"/>
      <c r="E65" s="157"/>
      <c r="F65" s="41"/>
      <c r="G65" s="169"/>
    </row>
    <row r="66" spans="1:8" s="143" customFormat="1" ht="15" customHeight="1" x14ac:dyDescent="0.2">
      <c r="A66" s="482" t="s">
        <v>502</v>
      </c>
      <c r="B66" s="684"/>
      <c r="C66" s="412">
        <v>15</v>
      </c>
      <c r="D66" s="168">
        <f>IF(F67="NA","",C66)</f>
        <v>15</v>
      </c>
      <c r="E66" s="174"/>
      <c r="F66" s="481"/>
      <c r="G66" s="448"/>
    </row>
    <row r="67" spans="1:8" s="143" customFormat="1" x14ac:dyDescent="0.2">
      <c r="A67" s="478" t="s">
        <v>487</v>
      </c>
      <c r="B67" s="684"/>
      <c r="C67" s="178"/>
      <c r="D67" s="176"/>
      <c r="E67" s="480">
        <f>$D$117</f>
        <v>2.7624309392265194</v>
      </c>
      <c r="F67" s="616" t="s">
        <v>122</v>
      </c>
      <c r="G67" s="614">
        <f>IF($D$66="","Not Scored",IF(F67="",$D$66*E67,IF(F67="a",$D$66*E67,(IF(F67="b",$D$66*E68,IF(F67="c",$D$66*E69,IF(F67="d",$D$66*E70)))))))</f>
        <v>8.2872928176795586</v>
      </c>
    </row>
    <row r="68" spans="1:8" s="143" customFormat="1" x14ac:dyDescent="0.2">
      <c r="A68" s="478" t="s">
        <v>488</v>
      </c>
      <c r="B68" s="684"/>
      <c r="C68" s="178"/>
      <c r="D68" s="176"/>
      <c r="E68" s="480">
        <f>AVERAGE(E67,AVERAGE(E67,E70))</f>
        <v>2.2099447513812156</v>
      </c>
      <c r="F68" s="617"/>
      <c r="G68" s="615" t="str">
        <f>IF(F67="","BLANK",IF(F67="a","High",IF(F67="b","Medium - High",IF(F67="c","Medium - Low",IF(F67="d","Low",IF(F67="NA","Not Applicable"))))))</f>
        <v>Low</v>
      </c>
    </row>
    <row r="69" spans="1:8" s="143" customFormat="1" x14ac:dyDescent="0.2">
      <c r="A69" s="478" t="s">
        <v>489</v>
      </c>
      <c r="B69" s="684"/>
      <c r="C69" s="176"/>
      <c r="D69" s="176"/>
      <c r="E69" s="480">
        <f>AVERAGE(E70,AVERAGE(E67,E70))</f>
        <v>1.1049723756906078</v>
      </c>
      <c r="F69" s="618"/>
      <c r="G69" s="204"/>
    </row>
    <row r="70" spans="1:8" s="143" customFormat="1" x14ac:dyDescent="0.2">
      <c r="A70" s="478" t="s">
        <v>490</v>
      </c>
      <c r="B70" s="684"/>
      <c r="C70" s="176"/>
      <c r="D70" s="176"/>
      <c r="E70" s="480">
        <f>$D$118</f>
        <v>0.5524861878453039</v>
      </c>
      <c r="F70" s="619"/>
      <c r="G70" s="205"/>
    </row>
    <row r="71" spans="1:8" s="143" customFormat="1" x14ac:dyDescent="0.2">
      <c r="A71" s="139"/>
      <c r="B71" s="254"/>
      <c r="C71" s="138"/>
      <c r="D71" s="138"/>
      <c r="E71" s="157"/>
      <c r="F71" s="41"/>
      <c r="G71" s="169"/>
    </row>
    <row r="72" spans="1:8" s="143" customFormat="1" x14ac:dyDescent="0.2">
      <c r="A72" s="139"/>
      <c r="B72" s="254"/>
      <c r="C72" s="138"/>
      <c r="D72" s="138"/>
      <c r="E72" s="157"/>
      <c r="F72" s="41"/>
      <c r="G72" s="169"/>
    </row>
    <row r="73" spans="1:8" s="143" customFormat="1" x14ac:dyDescent="0.2">
      <c r="A73" s="482" t="s">
        <v>503</v>
      </c>
      <c r="B73" s="684"/>
      <c r="C73" s="412">
        <v>15</v>
      </c>
      <c r="D73" s="168">
        <f>IF(F74="NA","",C73)</f>
        <v>15</v>
      </c>
      <c r="E73" s="174"/>
      <c r="F73" s="481"/>
      <c r="G73" s="448"/>
    </row>
    <row r="74" spans="1:8" s="143" customFormat="1" x14ac:dyDescent="0.2">
      <c r="A74" s="478" t="s">
        <v>329</v>
      </c>
      <c r="B74" s="684"/>
      <c r="C74" s="178"/>
      <c r="D74" s="176"/>
      <c r="E74" s="480">
        <f>$D$117</f>
        <v>2.7624309392265194</v>
      </c>
      <c r="F74" s="616" t="s">
        <v>121</v>
      </c>
      <c r="G74" s="620">
        <f>IF($D$73="","Not Scored",IF(F74="",$D$73*E74,IF(F74="a",$D$73*E74,(IF(F74="b",$D$73*E75,IF(F74="c",$D$73*E76))))))</f>
        <v>8.2872928176795586</v>
      </c>
    </row>
    <row r="75" spans="1:8" s="143" customFormat="1" x14ac:dyDescent="0.2">
      <c r="A75" s="478" t="s">
        <v>330</v>
      </c>
      <c r="B75" s="684"/>
      <c r="C75" s="178"/>
      <c r="D75" s="176"/>
      <c r="E75" s="480">
        <f>AVERAGE(E74,E76)</f>
        <v>1.6574585635359116</v>
      </c>
      <c r="F75" s="625"/>
      <c r="G75" s="615" t="str">
        <f>IF(F74="","BLANK",IF(F74="a","High",IF(F74="b","Medium",IF(F74="c","Low",IF(F74="NA","Not Applicable")))))</f>
        <v>Low</v>
      </c>
    </row>
    <row r="76" spans="1:8" s="143" customFormat="1" x14ac:dyDescent="0.2">
      <c r="A76" s="478" t="s">
        <v>331</v>
      </c>
      <c r="B76" s="684"/>
      <c r="C76" s="178"/>
      <c r="D76" s="176"/>
      <c r="E76" s="480">
        <f>$D$118</f>
        <v>0.5524861878453039</v>
      </c>
      <c r="F76" s="626"/>
      <c r="G76" s="162"/>
    </row>
    <row r="77" spans="1:8" x14ac:dyDescent="0.2">
      <c r="A77" s="158"/>
      <c r="B77" s="255"/>
      <c r="C77" s="206"/>
      <c r="D77" s="203"/>
      <c r="E77" s="226"/>
      <c r="F77" s="49"/>
      <c r="G77" s="242"/>
    </row>
    <row r="78" spans="1:8" x14ac:dyDescent="0.2">
      <c r="A78" s="158"/>
      <c r="B78" s="255"/>
      <c r="C78" s="206"/>
      <c r="D78" s="203"/>
      <c r="E78" s="226"/>
      <c r="F78" s="49"/>
      <c r="G78" s="242"/>
    </row>
    <row r="79" spans="1:8" x14ac:dyDescent="0.2">
      <c r="A79" s="452" t="s">
        <v>504</v>
      </c>
      <c r="B79" s="685"/>
      <c r="C79" s="412">
        <v>10</v>
      </c>
      <c r="D79" s="168">
        <f>IF(F80="NA","",C79)</f>
        <v>10</v>
      </c>
      <c r="E79" s="183"/>
      <c r="F79" s="501"/>
      <c r="G79" s="502"/>
    </row>
    <row r="80" spans="1:8" x14ac:dyDescent="0.2">
      <c r="A80" s="451" t="s">
        <v>290</v>
      </c>
      <c r="B80" s="685"/>
      <c r="C80" s="304"/>
      <c r="D80" s="183"/>
      <c r="E80" s="480">
        <f>$D$117</f>
        <v>2.7624309392265194</v>
      </c>
      <c r="F80" s="616" t="s">
        <v>120</v>
      </c>
      <c r="G80" s="620">
        <f>IF($D$79="","Not Scored",IF(F80="",$D$79*E80,IF(F80="a",$D$79*E80,(IF(F80="b",$D$79*E81)))))</f>
        <v>5.5248618784530388</v>
      </c>
      <c r="H80" s="136"/>
    </row>
    <row r="81" spans="1:8" x14ac:dyDescent="0.2">
      <c r="A81" s="451" t="s">
        <v>291</v>
      </c>
      <c r="B81" s="685"/>
      <c r="C81" s="304"/>
      <c r="D81" s="183"/>
      <c r="E81" s="480">
        <f>$D$118</f>
        <v>0.5524861878453039</v>
      </c>
      <c r="F81" s="621"/>
      <c r="G81" s="615" t="str">
        <f>IF(F80="","BLANK",IF(F80="a","High",IF(F80="b","Low",IF(F80="NA","Not Applicable"))))</f>
        <v>Low</v>
      </c>
      <c r="H81" s="136"/>
    </row>
    <row r="82" spans="1:8" x14ac:dyDescent="0.2">
      <c r="A82" s="159"/>
      <c r="B82" s="255"/>
      <c r="C82" s="206"/>
      <c r="D82" s="203"/>
      <c r="E82" s="226"/>
      <c r="F82" s="49"/>
      <c r="G82" s="242"/>
    </row>
    <row r="83" spans="1:8" x14ac:dyDescent="0.2">
      <c r="A83" s="159"/>
      <c r="B83" s="255"/>
      <c r="C83" s="206"/>
      <c r="D83" s="203"/>
      <c r="E83" s="226"/>
      <c r="F83" s="49"/>
      <c r="G83" s="242"/>
    </row>
    <row r="84" spans="1:8" x14ac:dyDescent="0.2">
      <c r="A84" s="452" t="s">
        <v>505</v>
      </c>
      <c r="B84" s="685"/>
      <c r="C84" s="412">
        <v>15</v>
      </c>
      <c r="D84" s="168">
        <f>IF(F85="NA","",C84)</f>
        <v>15</v>
      </c>
      <c r="E84" s="174"/>
      <c r="F84" s="481"/>
      <c r="G84" s="448"/>
    </row>
    <row r="85" spans="1:8" x14ac:dyDescent="0.2">
      <c r="A85" s="451" t="s">
        <v>493</v>
      </c>
      <c r="B85" s="685"/>
      <c r="C85" s="178"/>
      <c r="D85" s="176"/>
      <c r="E85" s="480">
        <f>$D$117</f>
        <v>2.7624309392265194</v>
      </c>
      <c r="F85" s="616" t="s">
        <v>121</v>
      </c>
      <c r="G85" s="620">
        <f>IF($D$84="","Not Scored",IF(F85="",$D$84*E85,IF(F85="a",$D$84*E85,(IF(F85="b",$D$84*E86,IF(F85="c",$D$84*E87))))))</f>
        <v>8.2872928176795586</v>
      </c>
    </row>
    <row r="86" spans="1:8" x14ac:dyDescent="0.2">
      <c r="A86" s="451" t="s">
        <v>492</v>
      </c>
      <c r="B86" s="685"/>
      <c r="C86" s="178"/>
      <c r="D86" s="176"/>
      <c r="E86" s="480">
        <f>AVERAGE(E85,E87)</f>
        <v>1.6574585635359116</v>
      </c>
      <c r="F86" s="625"/>
      <c r="G86" s="615" t="str">
        <f>IF(F85="","BLANK",IF(F85="a","High",IF(F85="b","Medium",IF(F85="c","Low",IF(F85="NA","Not Applicable")))))</f>
        <v>Low</v>
      </c>
    </row>
    <row r="87" spans="1:8" x14ac:dyDescent="0.2">
      <c r="A87" s="451" t="s">
        <v>491</v>
      </c>
      <c r="B87" s="685"/>
      <c r="C87" s="178"/>
      <c r="D87" s="176"/>
      <c r="E87" s="480">
        <f>$D$118</f>
        <v>0.5524861878453039</v>
      </c>
      <c r="F87" s="626"/>
      <c r="G87" s="162"/>
    </row>
    <row r="88" spans="1:8" x14ac:dyDescent="0.2">
      <c r="A88" s="159"/>
      <c r="B88" s="255"/>
      <c r="C88" s="206"/>
      <c r="D88" s="203"/>
      <c r="E88" s="226"/>
      <c r="F88" s="49"/>
      <c r="G88" s="242"/>
    </row>
    <row r="89" spans="1:8" x14ac:dyDescent="0.2">
      <c r="A89" s="159"/>
      <c r="B89" s="255"/>
      <c r="C89" s="206"/>
      <c r="D89" s="203"/>
      <c r="E89" s="226"/>
      <c r="F89" s="49"/>
      <c r="G89" s="242"/>
    </row>
    <row r="90" spans="1:8" x14ac:dyDescent="0.2">
      <c r="A90" s="452" t="s">
        <v>506</v>
      </c>
      <c r="B90" s="685"/>
      <c r="C90" s="412">
        <v>15</v>
      </c>
      <c r="D90" s="168">
        <f>IF(F91="NA","",C90)</f>
        <v>15</v>
      </c>
      <c r="E90" s="183"/>
      <c r="F90" s="501"/>
      <c r="G90" s="502"/>
    </row>
    <row r="91" spans="1:8" ht="30" x14ac:dyDescent="0.2">
      <c r="A91" s="451" t="s">
        <v>181</v>
      </c>
      <c r="B91" s="685"/>
      <c r="C91" s="304"/>
      <c r="D91" s="183"/>
      <c r="E91" s="480">
        <f>$D$117</f>
        <v>2.7624309392265194</v>
      </c>
      <c r="F91" s="616" t="s">
        <v>120</v>
      </c>
      <c r="G91" s="620">
        <f>IF($D$90="","Not Scored",IF(F91="",$D$90*E91,IF(F91="a",$D$90*E91,(IF(F91="b",$D$90*E92)))))</f>
        <v>8.2872928176795586</v>
      </c>
      <c r="H91" s="136"/>
    </row>
    <row r="92" spans="1:8" ht="15" customHeight="1" x14ac:dyDescent="0.2">
      <c r="A92" s="451" t="s">
        <v>494</v>
      </c>
      <c r="B92" s="685"/>
      <c r="C92" s="304"/>
      <c r="D92" s="183"/>
      <c r="E92" s="480">
        <f>$D$118</f>
        <v>0.5524861878453039</v>
      </c>
      <c r="F92" s="621"/>
      <c r="G92" s="615" t="str">
        <f>IF(F91="","BLANK",IF(F91="a","High",IF(F91="b","Low",IF(F91="NA","Not Applicable"))))</f>
        <v>Low</v>
      </c>
      <c r="H92" s="136"/>
    </row>
    <row r="93" spans="1:8" x14ac:dyDescent="0.2">
      <c r="A93" s="158"/>
      <c r="B93" s="255"/>
      <c r="C93" s="206"/>
      <c r="D93" s="203"/>
      <c r="E93" s="226"/>
      <c r="F93" s="49"/>
      <c r="G93" s="242"/>
    </row>
    <row r="94" spans="1:8" x14ac:dyDescent="0.2">
      <c r="A94" s="158"/>
      <c r="B94" s="255"/>
      <c r="C94" s="206"/>
      <c r="D94" s="203"/>
      <c r="E94" s="226"/>
      <c r="F94" s="49"/>
      <c r="G94" s="242"/>
    </row>
    <row r="95" spans="1:8" x14ac:dyDescent="0.2">
      <c r="A95" s="452" t="s">
        <v>333</v>
      </c>
      <c r="B95" s="685"/>
      <c r="C95" s="412">
        <v>8</v>
      </c>
      <c r="D95" s="168">
        <f>IF(F96="NA","",C95)</f>
        <v>8</v>
      </c>
      <c r="E95" s="183"/>
      <c r="F95" s="501"/>
      <c r="G95" s="502"/>
    </row>
    <row r="96" spans="1:8" x14ac:dyDescent="0.2">
      <c r="A96" s="451" t="s">
        <v>96</v>
      </c>
      <c r="B96" s="685"/>
      <c r="C96" s="304"/>
      <c r="D96" s="183"/>
      <c r="E96" s="480">
        <f>$D$117</f>
        <v>2.7624309392265194</v>
      </c>
      <c r="F96" s="616" t="s">
        <v>122</v>
      </c>
      <c r="G96" s="614">
        <f>IF($D$95="","Not Scored",IF(F96="",$D$95*E96,IF(F96="a",$D$95*E96,(IF(F96="b",$D$95*E97,IF(F96="c",$D$95*E98,IF(F96="d",$D$95*E99)))))))</f>
        <v>4.4198895027624312</v>
      </c>
      <c r="H96" s="136"/>
    </row>
    <row r="97" spans="1:9" x14ac:dyDescent="0.2">
      <c r="A97" s="451" t="s">
        <v>97</v>
      </c>
      <c r="B97" s="685"/>
      <c r="C97" s="304"/>
      <c r="D97" s="183"/>
      <c r="E97" s="480">
        <f>AVERAGE(E96,AVERAGE(E96,E99))</f>
        <v>2.2099447513812156</v>
      </c>
      <c r="F97" s="617"/>
      <c r="G97" s="615" t="str">
        <f>IF(F96="","BLANK",IF(F96="a","High",IF(F96="b","Medium - High",IF(F96="c","Medium - Low",IF(F96="d","Low",IF(F96="NA","Not Applicable"))))))</f>
        <v>Low</v>
      </c>
      <c r="H97" s="136"/>
    </row>
    <row r="98" spans="1:9" x14ac:dyDescent="0.2">
      <c r="A98" s="451" t="s">
        <v>98</v>
      </c>
      <c r="B98" s="685"/>
      <c r="C98" s="304"/>
      <c r="D98" s="183"/>
      <c r="E98" s="480">
        <f>AVERAGE(E99,AVERAGE(E96,E99))</f>
        <v>1.1049723756906078</v>
      </c>
      <c r="F98" s="618"/>
      <c r="G98" s="204"/>
      <c r="H98" s="161"/>
    </row>
    <row r="99" spans="1:9" x14ac:dyDescent="0.2">
      <c r="A99" s="451" t="s">
        <v>99</v>
      </c>
      <c r="B99" s="685"/>
      <c r="C99" s="304"/>
      <c r="D99" s="183"/>
      <c r="E99" s="480">
        <f>$D$118</f>
        <v>0.5524861878453039</v>
      </c>
      <c r="F99" s="619"/>
      <c r="G99" s="205"/>
      <c r="H99" s="163"/>
    </row>
    <row r="100" spans="1:9" x14ac:dyDescent="0.2">
      <c r="A100" s="167"/>
      <c r="B100" s="253"/>
      <c r="C100" s="433"/>
      <c r="D100" s="143"/>
      <c r="E100" s="229"/>
      <c r="F100" s="48"/>
      <c r="G100" s="171"/>
    </row>
    <row r="101" spans="1:9" x14ac:dyDescent="0.2">
      <c r="A101" s="167"/>
      <c r="B101" s="253"/>
      <c r="C101" s="433"/>
      <c r="D101" s="143"/>
      <c r="E101" s="229"/>
      <c r="F101" s="48"/>
      <c r="G101" s="171"/>
    </row>
    <row r="102" spans="1:9" x14ac:dyDescent="0.2">
      <c r="A102" s="452" t="s">
        <v>532</v>
      </c>
      <c r="B102" s="685"/>
      <c r="C102" s="412">
        <v>15</v>
      </c>
      <c r="D102" s="168">
        <f>IF(F104="NA","",C102)</f>
        <v>15</v>
      </c>
      <c r="E102" s="183"/>
      <c r="F102" s="501"/>
      <c r="G102" s="502"/>
    </row>
    <row r="103" spans="1:9" ht="45" x14ac:dyDescent="0.2">
      <c r="A103" s="505" t="s">
        <v>533</v>
      </c>
      <c r="B103" s="685"/>
      <c r="C103" s="456"/>
      <c r="D103" s="448"/>
      <c r="E103" s="183"/>
      <c r="F103" s="501"/>
      <c r="G103" s="502"/>
    </row>
    <row r="104" spans="1:9" x14ac:dyDescent="0.2">
      <c r="A104" s="451" t="s">
        <v>131</v>
      </c>
      <c r="B104" s="685"/>
      <c r="C104" s="304"/>
      <c r="D104" s="183"/>
      <c r="E104" s="480">
        <f>$D$117</f>
        <v>2.7624309392265194</v>
      </c>
      <c r="F104" s="616" t="s">
        <v>121</v>
      </c>
      <c r="G104" s="620">
        <f>IF($D$102="","Not Scored",IF(F104="",$D$102*E104,IF(F104="a",$D$102*E104,(IF(F104="b",$D$102*E105,IF(F104="c",$D$102*E106))))))</f>
        <v>8.2872928176795586</v>
      </c>
      <c r="H104" s="136"/>
    </row>
    <row r="105" spans="1:9" x14ac:dyDescent="0.2">
      <c r="A105" s="451" t="s">
        <v>132</v>
      </c>
      <c r="B105" s="685"/>
      <c r="C105" s="304"/>
      <c r="D105" s="183"/>
      <c r="E105" s="480">
        <f>AVERAGE(E104,E106)</f>
        <v>1.6574585635359116</v>
      </c>
      <c r="F105" s="617"/>
      <c r="G105" s="615" t="str">
        <f>IF(F104="","BLANK",IF(F104="a","High",IF(F104="b","Medium",IF(F104="c","Low",IF(F104="NA","Not Applicable")))))</f>
        <v>Low</v>
      </c>
      <c r="H105" s="136"/>
    </row>
    <row r="106" spans="1:9" x14ac:dyDescent="0.2">
      <c r="A106" s="451" t="s">
        <v>133</v>
      </c>
      <c r="B106" s="685"/>
      <c r="C106" s="304"/>
      <c r="D106" s="183"/>
      <c r="E106" s="480">
        <f>$D$118</f>
        <v>0.5524861878453039</v>
      </c>
      <c r="F106" s="619"/>
      <c r="G106" s="205"/>
      <c r="H106" s="161"/>
    </row>
    <row r="107" spans="1:9" x14ac:dyDescent="0.2">
      <c r="A107" s="228"/>
      <c r="B107" s="439"/>
      <c r="C107" s="439"/>
      <c r="E107" s="229"/>
      <c r="F107" s="222"/>
      <c r="G107" s="171"/>
    </row>
    <row r="108" spans="1:9" hidden="1" x14ac:dyDescent="0.2">
      <c r="A108" s="228"/>
      <c r="B108" s="439"/>
      <c r="C108" s="439"/>
      <c r="E108" s="229"/>
      <c r="F108" s="222"/>
      <c r="G108" s="171"/>
    </row>
    <row r="109" spans="1:9" hidden="1" x14ac:dyDescent="0.2">
      <c r="A109" s="228"/>
      <c r="B109" s="426" t="s">
        <v>229</v>
      </c>
      <c r="C109" s="425">
        <f>SUM(C4:C108)</f>
        <v>181</v>
      </c>
      <c r="E109" s="224"/>
      <c r="F109" s="427" t="s">
        <v>202</v>
      </c>
      <c r="G109" s="429">
        <f>SUM(G4:G108)</f>
        <v>100</v>
      </c>
    </row>
    <row r="110" spans="1:9" hidden="1" x14ac:dyDescent="0.2">
      <c r="A110" s="228"/>
      <c r="B110" s="439"/>
      <c r="C110" s="439"/>
      <c r="E110" s="229"/>
      <c r="F110" s="222"/>
      <c r="G110" s="171"/>
    </row>
    <row r="111" spans="1:9" x14ac:dyDescent="0.2">
      <c r="A111" s="228"/>
      <c r="B111" s="439"/>
      <c r="C111" s="439"/>
      <c r="E111" s="229"/>
      <c r="F111" s="222"/>
      <c r="G111" s="171"/>
    </row>
    <row r="112" spans="1:9" ht="15" customHeight="1" x14ac:dyDescent="0.2">
      <c r="A112" s="463"/>
      <c r="B112" s="172"/>
      <c r="C112" s="172"/>
      <c r="D112" s="173">
        <f>+SUM(D8:D108)</f>
        <v>181</v>
      </c>
      <c r="E112" s="175"/>
      <c r="F112" s="321" t="str">
        <f>IF(AND(Summary!$A$8="Yes",Summary!$A$16="Yes",Summary!$A$24="Yes",$G$109&gt;0),$G$109,"Not Scored")</f>
        <v>Not Scored</v>
      </c>
      <c r="G112" s="321" t="str">
        <f>IF(AND(Summary!$A$8="Yes",Summary!$A$16="Yes",Summary!$A$24="Yes",$G$109&gt;0),$G$109,"Not Scored")</f>
        <v>Not Scored</v>
      </c>
      <c r="I112" s="295" t="s">
        <v>202</v>
      </c>
    </row>
    <row r="113" spans="1:11" ht="15" customHeight="1" x14ac:dyDescent="0.2">
      <c r="A113" s="463"/>
      <c r="B113" s="74"/>
      <c r="C113" s="432"/>
      <c r="D113" s="173"/>
      <c r="E113" s="183"/>
      <c r="F113" s="183"/>
      <c r="G113" s="183"/>
      <c r="I113" s="265" t="s">
        <v>158</v>
      </c>
      <c r="J113" s="265" t="s">
        <v>159</v>
      </c>
      <c r="K113" s="265" t="s">
        <v>160</v>
      </c>
    </row>
    <row r="114" spans="1:11" ht="15" customHeight="1" x14ac:dyDescent="0.2">
      <c r="A114" s="463"/>
      <c r="B114" s="74"/>
      <c r="C114" s="432"/>
      <c r="D114" s="173">
        <f>+D112+D113</f>
        <v>181</v>
      </c>
      <c r="E114" s="183"/>
      <c r="F114" s="183"/>
      <c r="G114" s="183"/>
      <c r="I114" s="266">
        <v>100</v>
      </c>
      <c r="J114" s="267" t="s">
        <v>161</v>
      </c>
      <c r="K114" s="268"/>
    </row>
    <row r="115" spans="1:11" ht="15" customHeight="1" x14ac:dyDescent="0.2">
      <c r="A115" s="463"/>
      <c r="B115" s="172"/>
      <c r="C115" s="172"/>
      <c r="D115" s="173"/>
      <c r="E115" s="183"/>
      <c r="F115" s="183"/>
      <c r="G115" s="183"/>
      <c r="I115" s="269">
        <f>F124</f>
        <v>0</v>
      </c>
      <c r="J115" s="270" t="s">
        <v>162</v>
      </c>
      <c r="K115" s="271">
        <v>4</v>
      </c>
    </row>
    <row r="116" spans="1:11" s="182" customFormat="1" ht="15" customHeight="1" x14ac:dyDescent="0.2">
      <c r="A116" s="575"/>
      <c r="B116" s="177"/>
      <c r="C116" s="177"/>
      <c r="D116" s="178"/>
      <c r="E116" s="180"/>
      <c r="F116" s="181"/>
      <c r="G116" s="181"/>
      <c r="I116" s="266">
        <v>500</v>
      </c>
      <c r="J116" s="267" t="s">
        <v>163</v>
      </c>
      <c r="K116" s="268"/>
    </row>
    <row r="117" spans="1:11" s="182" customFormat="1" ht="15" customHeight="1" x14ac:dyDescent="0.2">
      <c r="A117" s="575"/>
      <c r="B117" s="183"/>
      <c r="C117" s="183"/>
      <c r="D117" s="275">
        <f>IF(D112=0,0,(500/D112))</f>
        <v>2.7624309392265194</v>
      </c>
      <c r="E117" s="180"/>
      <c r="F117" s="181"/>
      <c r="G117" s="181"/>
    </row>
    <row r="118" spans="1:11" s="182" customFormat="1" ht="15" customHeight="1" x14ac:dyDescent="0.2">
      <c r="A118" s="575"/>
      <c r="B118" s="183"/>
      <c r="C118" s="183"/>
      <c r="D118" s="275">
        <f>IF(D114=0,0,(100/D114))</f>
        <v>0.5524861878453039</v>
      </c>
      <c r="E118" s="180"/>
      <c r="F118" s="181"/>
      <c r="G118" s="181"/>
    </row>
    <row r="119" spans="1:11" ht="15" customHeight="1" x14ac:dyDescent="0.2">
      <c r="A119" s="463"/>
      <c r="B119" s="172"/>
      <c r="C119" s="172"/>
      <c r="D119" s="173"/>
      <c r="E119" s="183"/>
      <c r="F119" s="183"/>
      <c r="G119" s="183"/>
    </row>
    <row r="120" spans="1:11" s="143" customFormat="1" ht="15" customHeight="1" x14ac:dyDescent="0.2">
      <c r="A120" s="463"/>
      <c r="B120" s="333" t="s">
        <v>212</v>
      </c>
      <c r="C120" s="333"/>
      <c r="D120" s="299"/>
      <c r="E120" s="300" t="str">
        <f>IF($G$120="","Not Scored","")</f>
        <v>Not Scored</v>
      </c>
      <c r="F120" s="334" t="str">
        <f>IF(Complexity_Pre_Charter!$G$86="Not Scored","",Complexity_Pre_Charter!$G$86)</f>
        <v/>
      </c>
      <c r="G120" s="334" t="str">
        <f>IF(Complexity_Pre_Charter!$G$86="Not Scored","",Complexity_Pre_Charter!$G$86)</f>
        <v/>
      </c>
      <c r="H120" s="138"/>
    </row>
    <row r="121" spans="1:11" s="182" customFormat="1" ht="15" customHeight="1" x14ac:dyDescent="0.2">
      <c r="A121" s="593"/>
      <c r="B121" s="333" t="s">
        <v>213</v>
      </c>
      <c r="C121" s="333"/>
      <c r="D121" s="335"/>
      <c r="E121" s="300" t="str">
        <f>IF($G$121="","Not Scored","")</f>
        <v>Not Scored</v>
      </c>
      <c r="F121" s="334" t="str">
        <f>IF(Complexity_Initiation_Gate!$G$120="Not Scored","",Complexity_Initiation_Gate!$G$120)</f>
        <v/>
      </c>
      <c r="G121" s="334" t="str">
        <f>IF(Complexity_Initiation_Gate!$G$120="Not Scored","",Complexity_Initiation_Gate!$G$120)</f>
        <v/>
      </c>
      <c r="I121" s="143"/>
    </row>
    <row r="122" spans="1:11" s="182" customFormat="1" ht="15" customHeight="1" x14ac:dyDescent="0.2">
      <c r="A122" s="593"/>
      <c r="B122" s="177" t="s">
        <v>14</v>
      </c>
      <c r="C122" s="177"/>
      <c r="D122" s="180"/>
      <c r="E122" s="175" t="str">
        <f>IF($G$122="","Not Scored","")</f>
        <v>Not Scored</v>
      </c>
      <c r="F122" s="208" t="str">
        <f>IF($G$112="Not Scored","",$G$112)</f>
        <v/>
      </c>
      <c r="G122" s="208" t="str">
        <f>IF($G$112="Not Scored","",$G$112)</f>
        <v/>
      </c>
      <c r="I122" s="143"/>
    </row>
    <row r="123" spans="1:11" s="182" customFormat="1" ht="15" customHeight="1" x14ac:dyDescent="0.2">
      <c r="A123" s="594"/>
      <c r="B123" s="177" t="s">
        <v>467</v>
      </c>
      <c r="C123" s="177"/>
      <c r="D123" s="180"/>
      <c r="E123" s="180"/>
      <c r="F123" s="323">
        <f>+SUM($G$120:$G$122)</f>
        <v>0</v>
      </c>
      <c r="G123" s="323">
        <f>+SUM($G$120:$G$122)</f>
        <v>0</v>
      </c>
      <c r="I123" s="143"/>
    </row>
    <row r="124" spans="1:11" s="182" customFormat="1" ht="15" customHeight="1" x14ac:dyDescent="0.2">
      <c r="A124" s="594"/>
      <c r="B124" s="324" t="s">
        <v>469</v>
      </c>
      <c r="C124" s="324"/>
      <c r="D124" s="325"/>
      <c r="E124" s="325"/>
      <c r="F124" s="326">
        <f>IF($G$123&gt;0,AVERAGE($G$120:$G$122),$G$123)</f>
        <v>0</v>
      </c>
      <c r="G124" s="326">
        <f>IF($G$123&gt;0,AVERAGE($G$120:$G$122),$G$123)</f>
        <v>0</v>
      </c>
      <c r="I124" s="143"/>
    </row>
    <row r="125" spans="1:11" ht="15" customHeight="1" x14ac:dyDescent="0.2">
      <c r="A125" s="463"/>
      <c r="B125" s="172"/>
      <c r="C125" s="172"/>
      <c r="D125" s="173"/>
      <c r="E125" s="183"/>
      <c r="F125" s="183"/>
      <c r="G125" s="183"/>
    </row>
    <row r="126" spans="1:11" ht="15" customHeight="1" x14ac:dyDescent="0.2">
      <c r="A126" s="463"/>
      <c r="B126" s="184" t="s">
        <v>462</v>
      </c>
      <c r="C126" s="184"/>
      <c r="D126" s="185"/>
      <c r="E126" s="183"/>
      <c r="F126" s="328" t="str">
        <f>+IF(ROUND(F124,0)&gt;367,"High_Complexity","")</f>
        <v/>
      </c>
      <c r="G126" s="328" t="str">
        <f>+IF(ROUND(G124,0)&gt;367,"High_Complexity","")</f>
        <v/>
      </c>
      <c r="I126" s="295" t="s">
        <v>205</v>
      </c>
      <c r="J126" s="143"/>
      <c r="K126" s="138"/>
    </row>
    <row r="127" spans="1:11" ht="15" customHeight="1" x14ac:dyDescent="0.2">
      <c r="A127" s="463"/>
      <c r="B127" s="184" t="s">
        <v>463</v>
      </c>
      <c r="C127" s="184"/>
      <c r="D127" s="178"/>
      <c r="E127" s="183"/>
      <c r="F127" s="327" t="str">
        <f>+IF(AND(ROUND(F124,0)&gt;233,ROUND(F124,0)&lt;368),"Medium_Complexity","")</f>
        <v/>
      </c>
      <c r="G127" s="327" t="str">
        <f>+IF(AND(ROUND(G124,0)&gt;233,ROUND(G124,0)&lt;368),"Medium_Complexity","")</f>
        <v/>
      </c>
      <c r="I127" s="265" t="s">
        <v>158</v>
      </c>
      <c r="J127" s="265" t="s">
        <v>159</v>
      </c>
      <c r="K127" s="265" t="s">
        <v>160</v>
      </c>
    </row>
    <row r="128" spans="1:11" ht="15" customHeight="1" x14ac:dyDescent="0.2">
      <c r="A128" s="463"/>
      <c r="B128" s="184" t="s">
        <v>464</v>
      </c>
      <c r="C128" s="184"/>
      <c r="D128" s="185"/>
      <c r="E128" s="183"/>
      <c r="F128" s="329" t="str">
        <f>+IF(AND(ROUND(F124,0)&gt;99,ROUND(F124,0)&lt;234),"Low_Complexity","")</f>
        <v/>
      </c>
      <c r="G128" s="329" t="str">
        <f>+IF(AND(ROUND(G124,0)&gt;99,ROUND(G124,0)&lt;234),"Low_Complexity","")</f>
        <v/>
      </c>
      <c r="I128" s="266">
        <v>1</v>
      </c>
      <c r="J128" s="267" t="s">
        <v>161</v>
      </c>
      <c r="K128" s="268"/>
    </row>
    <row r="129" spans="1:11" ht="15" customHeight="1" thickBot="1" x14ac:dyDescent="0.25">
      <c r="A129" s="463"/>
      <c r="B129" s="189"/>
      <c r="C129" s="189"/>
      <c r="D129" s="183"/>
      <c r="E129" s="183"/>
      <c r="F129" s="183"/>
      <c r="G129" s="183"/>
      <c r="I129" s="269">
        <f>IF(F130="Not Scored",0,F130)</f>
        <v>0</v>
      </c>
      <c r="J129" s="270" t="s">
        <v>162</v>
      </c>
      <c r="K129" s="271">
        <v>4</v>
      </c>
    </row>
    <row r="130" spans="1:11" ht="15" customHeight="1" thickBot="1" x14ac:dyDescent="0.25">
      <c r="A130" s="463"/>
      <c r="B130" s="287" t="s">
        <v>470</v>
      </c>
      <c r="C130" s="287"/>
      <c r="D130" s="288"/>
      <c r="E130" s="290"/>
      <c r="F130" s="190" t="str">
        <f>'Project Category Lookup Table'!$D$12</f>
        <v>Not Scored</v>
      </c>
      <c r="G130" s="190" t="str">
        <f>'Project Category Lookup Table'!$D$12</f>
        <v>Not Scored</v>
      </c>
      <c r="I130" s="266">
        <v>4</v>
      </c>
      <c r="J130" s="267" t="s">
        <v>163</v>
      </c>
      <c r="K130" s="268"/>
    </row>
    <row r="131" spans="1:11" ht="15" customHeight="1" x14ac:dyDescent="0.2">
      <c r="B131" s="232"/>
      <c r="C131" s="232"/>
    </row>
    <row r="132" spans="1:11" ht="15" customHeight="1" x14ac:dyDescent="0.2">
      <c r="B132" s="232"/>
      <c r="C132" s="232"/>
    </row>
    <row r="133" spans="1:11" ht="15" customHeight="1" x14ac:dyDescent="0.2">
      <c r="B133" s="232"/>
      <c r="C133" s="232"/>
    </row>
    <row r="134" spans="1:11" ht="15" customHeight="1" x14ac:dyDescent="0.2">
      <c r="B134" s="232"/>
      <c r="C134" s="232"/>
    </row>
    <row r="135" spans="1:11" ht="15" customHeight="1" x14ac:dyDescent="0.2">
      <c r="B135" s="232"/>
      <c r="C135" s="232"/>
    </row>
    <row r="136" spans="1:11" ht="15" customHeight="1" x14ac:dyDescent="0.2">
      <c r="B136" s="232"/>
      <c r="C136" s="232"/>
    </row>
    <row r="137" spans="1:11" x14ac:dyDescent="0.2">
      <c r="B137" s="232"/>
      <c r="C137" s="232"/>
    </row>
    <row r="138" spans="1:11" x14ac:dyDescent="0.2">
      <c r="B138" s="232"/>
      <c r="C138" s="232"/>
    </row>
    <row r="139" spans="1:11" x14ac:dyDescent="0.2">
      <c r="B139" s="232"/>
      <c r="C139" s="232"/>
    </row>
    <row r="140" spans="1:11" x14ac:dyDescent="0.2">
      <c r="B140" s="232"/>
      <c r="C140" s="232"/>
    </row>
    <row r="141" spans="1:11" x14ac:dyDescent="0.2">
      <c r="B141" s="232"/>
      <c r="C141" s="232"/>
    </row>
    <row r="142" spans="1:11" x14ac:dyDescent="0.2">
      <c r="B142" s="232"/>
      <c r="C142" s="232"/>
    </row>
  </sheetData>
  <sheetProtection algorithmName="SHA-512" hashValue="6/84Tw1Og2l/ekuTjJu71aOla8xZwAXRIu6nX8Z81t2XdphdD61L2hv1l29QatPnsXCjPT16BjCoIeztH7T7nw==" saltValue="wwizTP2vClGij1u+ZKuaWQ==" spinCount="100000" sheet="1" selectLockedCells="1"/>
  <mergeCells count="18">
    <mergeCell ref="B4:F4"/>
    <mergeCell ref="B102:B106"/>
    <mergeCell ref="B95:B99"/>
    <mergeCell ref="B90:B92"/>
    <mergeCell ref="B39:B44"/>
    <mergeCell ref="B54:B56"/>
    <mergeCell ref="B47:B50"/>
    <mergeCell ref="B79:B81"/>
    <mergeCell ref="B73:B76"/>
    <mergeCell ref="B33:B36"/>
    <mergeCell ref="B59:B63"/>
    <mergeCell ref="B66:B70"/>
    <mergeCell ref="B84:B87"/>
    <mergeCell ref="B8:B10"/>
    <mergeCell ref="B12:B14"/>
    <mergeCell ref="B16:B18"/>
    <mergeCell ref="B21:B23"/>
    <mergeCell ref="B26:B29"/>
  </mergeCells>
  <phoneticPr fontId="12" type="noConversion"/>
  <conditionalFormatting sqref="G126">
    <cfRule type="containsText" dxfId="171" priority="315" operator="containsText" text="High">
      <formula>NOT(ISERROR(SEARCH("High",G126)))</formula>
    </cfRule>
  </conditionalFormatting>
  <conditionalFormatting sqref="G127">
    <cfRule type="containsText" dxfId="170" priority="314" operator="containsText" text="Medium">
      <formula>NOT(ISERROR(SEARCH("Medium",G127)))</formula>
    </cfRule>
  </conditionalFormatting>
  <conditionalFormatting sqref="G128">
    <cfRule type="containsText" dxfId="169" priority="313" operator="containsText" text="Low">
      <formula>NOT(ISERROR(SEARCH("Low",G128)))</formula>
    </cfRule>
  </conditionalFormatting>
  <conditionalFormatting sqref="G130">
    <cfRule type="containsText" dxfId="168" priority="205" operator="containsText" text="Not Scored">
      <formula>NOT(ISERROR(SEARCH("Not Scored",G130)))</formula>
    </cfRule>
    <cfRule type="cellIs" dxfId="167" priority="310" operator="between">
      <formula>1</formula>
      <formula>1</formula>
    </cfRule>
    <cfRule type="cellIs" dxfId="166" priority="311" operator="between">
      <formula>2</formula>
      <formula>3</formula>
    </cfRule>
    <cfRule type="cellIs" dxfId="165" priority="312" operator="between">
      <formula>4</formula>
      <formula>4</formula>
    </cfRule>
  </conditionalFormatting>
  <conditionalFormatting sqref="G112">
    <cfRule type="containsText" dxfId="164" priority="206" operator="containsText" text="Not Scored">
      <formula>NOT(ISERROR(SEARCH("Not Scored",G112)))</formula>
    </cfRule>
  </conditionalFormatting>
  <conditionalFormatting sqref="G42">
    <cfRule type="cellIs" dxfId="163" priority="141" operator="equal">
      <formula>"BLANK"</formula>
    </cfRule>
    <cfRule type="containsText" dxfId="162" priority="142" operator="containsText" text="Medium">
      <formula>NOT(ISERROR(SEARCH("Medium",G42)))</formula>
    </cfRule>
    <cfRule type="containsText" dxfId="161" priority="143" operator="containsText" text="Low">
      <formula>NOT(ISERROR(SEARCH("Low",G42)))</formula>
    </cfRule>
    <cfRule type="containsText" dxfId="160" priority="144" operator="containsText" text="High">
      <formula>NOT(ISERROR(SEARCH("High",G42)))</formula>
    </cfRule>
  </conditionalFormatting>
  <conditionalFormatting sqref="G97">
    <cfRule type="cellIs" dxfId="159" priority="109" operator="equal">
      <formula>"BLANK"</formula>
    </cfRule>
    <cfRule type="containsText" dxfId="158" priority="110" operator="containsText" text="Medium">
      <formula>NOT(ISERROR(SEARCH("Medium",G97)))</formula>
    </cfRule>
    <cfRule type="containsText" dxfId="157" priority="111" operator="containsText" text="Low">
      <formula>NOT(ISERROR(SEARCH("Low",G97)))</formula>
    </cfRule>
    <cfRule type="containsText" dxfId="156" priority="112" operator="containsText" text="High">
      <formula>NOT(ISERROR(SEARCH("High",G97)))</formula>
    </cfRule>
  </conditionalFormatting>
  <conditionalFormatting sqref="G10">
    <cfRule type="cellIs" dxfId="155" priority="101" operator="equal">
      <formula>"BLANK"</formula>
    </cfRule>
    <cfRule type="containsText" dxfId="154" priority="102" operator="containsText" text="Medium">
      <formula>NOT(ISERROR(SEARCH("Medium",G10)))</formula>
    </cfRule>
    <cfRule type="containsText" dxfId="153" priority="103" operator="containsText" text="Low">
      <formula>NOT(ISERROR(SEARCH("Low",G10)))</formula>
    </cfRule>
    <cfRule type="containsText" dxfId="152" priority="104" operator="containsText" text="High">
      <formula>NOT(ISERROR(SEARCH("High",G10)))</formula>
    </cfRule>
  </conditionalFormatting>
  <conditionalFormatting sqref="G14">
    <cfRule type="cellIs" dxfId="151" priority="97" operator="equal">
      <formula>"BLANK"</formula>
    </cfRule>
    <cfRule type="containsText" dxfId="150" priority="98" operator="containsText" text="Medium">
      <formula>NOT(ISERROR(SEARCH("Medium",G14)))</formula>
    </cfRule>
    <cfRule type="containsText" dxfId="149" priority="99" operator="containsText" text="Low">
      <formula>NOT(ISERROR(SEARCH("Low",G14)))</formula>
    </cfRule>
    <cfRule type="containsText" dxfId="148" priority="100" operator="containsText" text="High">
      <formula>NOT(ISERROR(SEARCH("High",G14)))</formula>
    </cfRule>
  </conditionalFormatting>
  <conditionalFormatting sqref="G18">
    <cfRule type="cellIs" dxfId="147" priority="93" operator="equal">
      <formula>"BLANK"</formula>
    </cfRule>
    <cfRule type="containsText" dxfId="146" priority="94" operator="containsText" text="Medium">
      <formula>NOT(ISERROR(SEARCH("Medium",G18)))</formula>
    </cfRule>
    <cfRule type="containsText" dxfId="145" priority="95" operator="containsText" text="Low">
      <formula>NOT(ISERROR(SEARCH("Low",G18)))</formula>
    </cfRule>
    <cfRule type="containsText" dxfId="144" priority="96" operator="containsText" text="High">
      <formula>NOT(ISERROR(SEARCH("High",G18)))</formula>
    </cfRule>
  </conditionalFormatting>
  <conditionalFormatting sqref="G23">
    <cfRule type="cellIs" dxfId="143" priority="89" operator="equal">
      <formula>"BLANK"</formula>
    </cfRule>
    <cfRule type="containsText" dxfId="142" priority="90" operator="containsText" text="Medium">
      <formula>NOT(ISERROR(SEARCH("Medium",G23)))</formula>
    </cfRule>
    <cfRule type="containsText" dxfId="141" priority="91" operator="containsText" text="Low">
      <formula>NOT(ISERROR(SEARCH("Low",G23)))</formula>
    </cfRule>
    <cfRule type="containsText" dxfId="140" priority="92" operator="containsText" text="High">
      <formula>NOT(ISERROR(SEARCH("High",G23)))</formula>
    </cfRule>
  </conditionalFormatting>
  <conditionalFormatting sqref="G36">
    <cfRule type="cellIs" dxfId="139" priority="81" operator="equal">
      <formula>"BLANK"</formula>
    </cfRule>
    <cfRule type="containsText" dxfId="138" priority="82" operator="containsText" text="Medium">
      <formula>NOT(ISERROR(SEARCH("Medium",G36)))</formula>
    </cfRule>
    <cfRule type="containsText" dxfId="137" priority="83" operator="containsText" text="Low">
      <formula>NOT(ISERROR(SEARCH("Low",G36)))</formula>
    </cfRule>
    <cfRule type="containsText" dxfId="136" priority="84" operator="containsText" text="High">
      <formula>NOT(ISERROR(SEARCH("High",G36)))</formula>
    </cfRule>
  </conditionalFormatting>
  <conditionalFormatting sqref="G56">
    <cfRule type="cellIs" dxfId="135" priority="73" operator="equal">
      <formula>"BLANK"</formula>
    </cfRule>
    <cfRule type="containsText" dxfId="134" priority="74" operator="containsText" text="Medium">
      <formula>NOT(ISERROR(SEARCH("Medium",G56)))</formula>
    </cfRule>
    <cfRule type="containsText" dxfId="133" priority="75" operator="containsText" text="Low">
      <formula>NOT(ISERROR(SEARCH("Low",G56)))</formula>
    </cfRule>
    <cfRule type="containsText" dxfId="132" priority="76" operator="containsText" text="High">
      <formula>NOT(ISERROR(SEARCH("High",G56)))</formula>
    </cfRule>
  </conditionalFormatting>
  <conditionalFormatting sqref="G81">
    <cfRule type="cellIs" dxfId="131" priority="65" operator="equal">
      <formula>"BLANK"</formula>
    </cfRule>
    <cfRule type="containsText" dxfId="130" priority="66" operator="containsText" text="Medium">
      <formula>NOT(ISERROR(SEARCH("Medium",G81)))</formula>
    </cfRule>
    <cfRule type="containsText" dxfId="129" priority="67" operator="containsText" text="Low">
      <formula>NOT(ISERROR(SEARCH("Low",G81)))</formula>
    </cfRule>
    <cfRule type="containsText" dxfId="128" priority="68" operator="containsText" text="High">
      <formula>NOT(ISERROR(SEARCH("High",G81)))</formula>
    </cfRule>
  </conditionalFormatting>
  <conditionalFormatting sqref="G92">
    <cfRule type="cellIs" dxfId="127" priority="61" operator="equal">
      <formula>"BLANK"</formula>
    </cfRule>
    <cfRule type="containsText" dxfId="126" priority="62" operator="containsText" text="Medium">
      <formula>NOT(ISERROR(SEARCH("Medium",G92)))</formula>
    </cfRule>
    <cfRule type="containsText" dxfId="125" priority="63" operator="containsText" text="Low">
      <formula>NOT(ISERROR(SEARCH("Low",G92)))</formula>
    </cfRule>
    <cfRule type="containsText" dxfId="124" priority="64" operator="containsText" text="High">
      <formula>NOT(ISERROR(SEARCH("High",G92)))</formula>
    </cfRule>
  </conditionalFormatting>
  <conditionalFormatting sqref="G105">
    <cfRule type="cellIs" dxfId="123" priority="57" operator="equal">
      <formula>"BLANK"</formula>
    </cfRule>
    <cfRule type="containsText" dxfId="122" priority="58" operator="containsText" text="Medium">
      <formula>NOT(ISERROR(SEARCH("Medium",G105)))</formula>
    </cfRule>
    <cfRule type="containsText" dxfId="121" priority="59" operator="containsText" text="Low">
      <formula>NOT(ISERROR(SEARCH("Low",G105)))</formula>
    </cfRule>
    <cfRule type="containsText" dxfId="120" priority="60" operator="containsText" text="High">
      <formula>NOT(ISERROR(SEARCH("High",G105)))</formula>
    </cfRule>
  </conditionalFormatting>
  <conditionalFormatting sqref="G75">
    <cfRule type="cellIs" dxfId="119" priority="29" operator="equal">
      <formula>"BLANK"</formula>
    </cfRule>
    <cfRule type="containsText" dxfId="118" priority="30" operator="containsText" text="Medium">
      <formula>NOT(ISERROR(SEARCH("Medium",G75)))</formula>
    </cfRule>
    <cfRule type="containsText" dxfId="117" priority="31" operator="containsText" text="Low">
      <formula>NOT(ISERROR(SEARCH("Low",G75)))</formula>
    </cfRule>
    <cfRule type="containsText" dxfId="116" priority="32" operator="containsText" text="High">
      <formula>NOT(ISERROR(SEARCH("High",G75)))</formula>
    </cfRule>
  </conditionalFormatting>
  <conditionalFormatting sqref="F126">
    <cfRule type="containsText" dxfId="115" priority="28" operator="containsText" text="High">
      <formula>NOT(ISERROR(SEARCH("High",F126)))</formula>
    </cfRule>
  </conditionalFormatting>
  <conditionalFormatting sqref="F127">
    <cfRule type="containsText" dxfId="114" priority="27" operator="containsText" text="Medium">
      <formula>NOT(ISERROR(SEARCH("Medium",F127)))</formula>
    </cfRule>
  </conditionalFormatting>
  <conditionalFormatting sqref="F128">
    <cfRule type="containsText" dxfId="113" priority="26" operator="containsText" text="Low">
      <formula>NOT(ISERROR(SEARCH("Low",F128)))</formula>
    </cfRule>
  </conditionalFormatting>
  <conditionalFormatting sqref="F130">
    <cfRule type="containsText" dxfId="112" priority="21" operator="containsText" text="Not Scored">
      <formula>NOT(ISERROR(SEARCH("Not Scored",F130)))</formula>
    </cfRule>
    <cfRule type="cellIs" dxfId="111" priority="23" operator="between">
      <formula>1</formula>
      <formula>1</formula>
    </cfRule>
    <cfRule type="cellIs" dxfId="110" priority="24" operator="between">
      <formula>2</formula>
      <formula>3</formula>
    </cfRule>
    <cfRule type="cellIs" dxfId="109" priority="25" operator="between">
      <formula>4</formula>
      <formula>4</formula>
    </cfRule>
  </conditionalFormatting>
  <conditionalFormatting sqref="F112">
    <cfRule type="containsText" dxfId="108" priority="22" operator="containsText" text="Not Scored">
      <formula>NOT(ISERROR(SEARCH("Not Scored",F112)))</formula>
    </cfRule>
  </conditionalFormatting>
  <conditionalFormatting sqref="G50">
    <cfRule type="cellIs" dxfId="107" priority="17" operator="equal">
      <formula>"BLANK"</formula>
    </cfRule>
    <cfRule type="containsText" dxfId="106" priority="18" operator="containsText" text="Medium">
      <formula>NOT(ISERROR(SEARCH("Medium",G50)))</formula>
    </cfRule>
    <cfRule type="containsText" dxfId="105" priority="19" operator="containsText" text="Low">
      <formula>NOT(ISERROR(SEARCH("Low",G50)))</formula>
    </cfRule>
    <cfRule type="containsText" dxfId="104" priority="20" operator="containsText" text="High">
      <formula>NOT(ISERROR(SEARCH("High",G50)))</formula>
    </cfRule>
  </conditionalFormatting>
  <conditionalFormatting sqref="G29">
    <cfRule type="cellIs" dxfId="103" priority="13" operator="equal">
      <formula>"BLANK"</formula>
    </cfRule>
    <cfRule type="containsText" dxfId="102" priority="14" operator="containsText" text="Medium">
      <formula>NOT(ISERROR(SEARCH("Medium",G29)))</formula>
    </cfRule>
    <cfRule type="containsText" dxfId="101" priority="15" operator="containsText" text="Low">
      <formula>NOT(ISERROR(SEARCH("Low",G29)))</formula>
    </cfRule>
    <cfRule type="containsText" dxfId="100" priority="16" operator="containsText" text="High">
      <formula>NOT(ISERROR(SEARCH("High",G29)))</formula>
    </cfRule>
  </conditionalFormatting>
  <conditionalFormatting sqref="G61">
    <cfRule type="cellIs" dxfId="99" priority="9" operator="equal">
      <formula>"BLANK"</formula>
    </cfRule>
    <cfRule type="containsText" dxfId="98" priority="10" operator="containsText" text="Medium">
      <formula>NOT(ISERROR(SEARCH("Medium",G61)))</formula>
    </cfRule>
    <cfRule type="containsText" dxfId="97" priority="11" operator="containsText" text="Low">
      <formula>NOT(ISERROR(SEARCH("Low",G61)))</formula>
    </cfRule>
    <cfRule type="containsText" dxfId="96" priority="12" operator="containsText" text="High">
      <formula>NOT(ISERROR(SEARCH("High",G61)))</formula>
    </cfRule>
  </conditionalFormatting>
  <conditionalFormatting sqref="G68">
    <cfRule type="cellIs" dxfId="95" priority="5" operator="equal">
      <formula>"BLANK"</formula>
    </cfRule>
    <cfRule type="containsText" dxfId="94" priority="6" operator="containsText" text="Medium">
      <formula>NOT(ISERROR(SEARCH("Medium",G68)))</formula>
    </cfRule>
    <cfRule type="containsText" dxfId="93" priority="7" operator="containsText" text="Low">
      <formula>NOT(ISERROR(SEARCH("Low",G68)))</formula>
    </cfRule>
    <cfRule type="containsText" dxfId="92" priority="8" operator="containsText" text="High">
      <formula>NOT(ISERROR(SEARCH("High",G68)))</formula>
    </cfRule>
  </conditionalFormatting>
  <conditionalFormatting sqref="G86">
    <cfRule type="cellIs" dxfId="91" priority="1" operator="equal">
      <formula>"BLANK"</formula>
    </cfRule>
    <cfRule type="containsText" dxfId="90" priority="2" operator="containsText" text="Medium">
      <formula>NOT(ISERROR(SEARCH("Medium",G86)))</formula>
    </cfRule>
    <cfRule type="containsText" dxfId="89" priority="3" operator="containsText" text="Low">
      <formula>NOT(ISERROR(SEARCH("Low",G86)))</formula>
    </cfRule>
    <cfRule type="containsText" dxfId="88" priority="4" operator="containsText" text="High">
      <formula>NOT(ISERROR(SEARCH("High",G86)))</formula>
    </cfRule>
  </conditionalFormatting>
  <dataValidations count="2">
    <dataValidation type="whole" allowBlank="1" showErrorMessage="1" sqref="I128:I130" xr:uid="{00000000-0002-0000-0900-000000000000}">
      <formula1>0</formula1>
      <formula2>4</formula2>
    </dataValidation>
    <dataValidation type="decimal" allowBlank="1" showErrorMessage="1" sqref="I114:I116" xr:uid="{00000000-0002-0000-0900-000001000000}">
      <formula1>0</formula1>
      <formula2>500</formula2>
    </dataValidation>
  </dataValidations>
  <pageMargins left="0.5" right="0.25" top="0.47" bottom="0.5" header="0.24" footer="0.24"/>
  <pageSetup scale="59" fitToHeight="0" orientation="portrait" r:id="rId1"/>
  <headerFooter alignWithMargins="0">
    <oddHeader>&amp;CComplexity Planning Gate</oddHeader>
    <oddFooter>&amp;L&amp;D&amp;RPage &amp;P of &amp;N</oddFooter>
  </headerFooter>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ErrorMessage="1" xr:uid="{00000000-0002-0000-0900-000002000000}">
          <x14:formula1>
            <xm:f>'L_Answer Select'!$A$24:$A$28</xm:f>
          </x14:formula1>
          <xm:sqref>F104 F74 F49 F28 F85</xm:sqref>
        </x14:dataValidation>
        <x14:dataValidation type="list" allowBlank="1" showErrorMessage="1" xr:uid="{00000000-0002-0000-0900-000003000000}">
          <x14:formula1>
            <xm:f>'L_Answer Select'!$A$14:$A$19</xm:f>
          </x14:formula1>
          <xm:sqref>F96 F41 F60 F67</xm:sqref>
        </x14:dataValidation>
        <x14:dataValidation type="list" allowBlank="1" showErrorMessage="1" xr:uid="{00000000-0002-0000-0900-000004000000}">
          <x14:formula1>
            <xm:f>'L_Answer Select'!$A$33:$A$36</xm:f>
          </x14:formula1>
          <xm:sqref>F9 F13 F17 F22 F91 F35 F80 F55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249977111117893"/>
    <pageSetUpPr fitToPage="1"/>
  </sheetPr>
  <dimension ref="A1:K88"/>
  <sheetViews>
    <sheetView showGridLines="0" zoomScaleNormal="100" workbookViewId="0">
      <pane ySplit="2" topLeftCell="A3" activePane="bottomLeft" state="frozen"/>
      <selection activeCell="B22" sqref="B22"/>
      <selection pane="bottomLeft" activeCell="B6" sqref="B6"/>
    </sheetView>
  </sheetViews>
  <sheetFormatPr defaultRowHeight="15" x14ac:dyDescent="0.2"/>
  <cols>
    <col min="1" max="1" width="100.7109375" style="215" customWidth="1"/>
    <col min="2" max="2" width="40.7109375" style="215" customWidth="1"/>
    <col min="3" max="3" width="6.7109375" style="215" hidden="1" customWidth="1"/>
    <col min="4" max="4" width="12.7109375" style="215" hidden="1" customWidth="1"/>
    <col min="5" max="5" width="14.7109375" style="220" customWidth="1"/>
    <col min="6" max="6" width="14.7109375" style="215" customWidth="1"/>
    <col min="7" max="7" width="15.42578125" style="215" hidden="1" customWidth="1"/>
    <col min="8" max="8" width="12.7109375" style="215" customWidth="1"/>
    <col min="9" max="11" width="14.7109375" style="215" customWidth="1"/>
    <col min="12" max="16384" width="9.140625" style="215"/>
  </cols>
  <sheetData>
    <row r="1" spans="1:8" ht="9.9499999999999993" customHeight="1" x14ac:dyDescent="0.2">
      <c r="A1" s="140"/>
      <c r="B1" s="140"/>
      <c r="C1" s="140"/>
      <c r="D1" s="140"/>
      <c r="E1" s="195"/>
      <c r="F1" s="140"/>
      <c r="G1" s="140"/>
    </row>
    <row r="2" spans="1:8" ht="30" x14ac:dyDescent="0.2">
      <c r="A2" s="144" t="s">
        <v>183</v>
      </c>
      <c r="B2" s="394" t="s">
        <v>7</v>
      </c>
      <c r="C2" s="394"/>
      <c r="D2" s="145" t="s">
        <v>228</v>
      </c>
      <c r="E2" s="197" t="s">
        <v>8</v>
      </c>
      <c r="F2" s="385" t="s">
        <v>245</v>
      </c>
      <c r="G2" s="147" t="s">
        <v>1</v>
      </c>
    </row>
    <row r="3" spans="1:8" ht="8.1" customHeight="1" x14ac:dyDescent="0.2">
      <c r="A3" s="235"/>
      <c r="B3" s="235"/>
      <c r="C3" s="235"/>
      <c r="D3" s="237"/>
      <c r="E3" s="243"/>
      <c r="F3" s="244"/>
      <c r="G3" s="234"/>
    </row>
    <row r="4" spans="1:8" ht="105" x14ac:dyDescent="0.2">
      <c r="A4" s="246" t="s">
        <v>244</v>
      </c>
      <c r="B4" s="683" t="s">
        <v>670</v>
      </c>
      <c r="C4" s="683"/>
      <c r="D4" s="683"/>
      <c r="E4" s="683"/>
      <c r="F4" s="683"/>
      <c r="G4" s="120"/>
    </row>
    <row r="5" spans="1:8" x14ac:dyDescent="0.2">
      <c r="A5" s="246"/>
      <c r="B5" s="257"/>
      <c r="C5" s="235"/>
      <c r="D5" s="237"/>
      <c r="E5" s="202"/>
      <c r="F5" s="318"/>
      <c r="G5" s="120"/>
    </row>
    <row r="6" spans="1:8" x14ac:dyDescent="0.2">
      <c r="A6" s="199"/>
      <c r="B6" s="252"/>
      <c r="C6" s="199"/>
      <c r="D6" s="278"/>
      <c r="E6" s="156"/>
      <c r="F6" s="154"/>
      <c r="G6" s="155"/>
    </row>
    <row r="7" spans="1:8" x14ac:dyDescent="0.2">
      <c r="A7" s="506" t="s">
        <v>292</v>
      </c>
      <c r="B7" s="685"/>
      <c r="C7" s="412">
        <v>15</v>
      </c>
      <c r="D7" s="168">
        <f>IF(F8="NA","",C7)</f>
        <v>15</v>
      </c>
      <c r="E7" s="174"/>
      <c r="F7" s="176"/>
      <c r="G7" s="176"/>
    </row>
    <row r="8" spans="1:8" ht="15" customHeight="1" x14ac:dyDescent="0.2">
      <c r="A8" s="507" t="s">
        <v>495</v>
      </c>
      <c r="B8" s="685"/>
      <c r="C8" s="494"/>
      <c r="D8" s="176"/>
      <c r="E8" s="174">
        <f>$D$65</f>
        <v>3.125</v>
      </c>
      <c r="F8" s="616" t="s">
        <v>120</v>
      </c>
      <c r="G8" s="620">
        <f>IF($D$7="","Not Scored",IF(F8="",$D$7*E8,IF(F8="a",$D$7*E8,(IF(F8="b",$D$7*E9)))))</f>
        <v>9.375</v>
      </c>
      <c r="H8" s="143"/>
    </row>
    <row r="9" spans="1:8" x14ac:dyDescent="0.2">
      <c r="A9" s="451" t="s">
        <v>293</v>
      </c>
      <c r="B9" s="685"/>
      <c r="C9" s="494"/>
      <c r="D9" s="176"/>
      <c r="E9" s="174">
        <f>$D$66</f>
        <v>0.625</v>
      </c>
      <c r="F9" s="621"/>
      <c r="G9" s="615" t="str">
        <f>IF(F8="","BLANK",IF(F8="a","High",IF(F8="b","Low",IF(F8="NA","Not Applicable"))))</f>
        <v>Low</v>
      </c>
      <c r="H9" s="161"/>
    </row>
    <row r="10" spans="1:8" x14ac:dyDescent="0.2">
      <c r="A10" s="281"/>
      <c r="B10" s="43"/>
      <c r="C10" s="281"/>
      <c r="D10" s="138"/>
      <c r="E10" s="224"/>
      <c r="F10" s="50"/>
      <c r="G10" s="171"/>
    </row>
    <row r="11" spans="1:8" x14ac:dyDescent="0.2">
      <c r="A11" s="138"/>
      <c r="B11" s="38"/>
      <c r="C11" s="138"/>
      <c r="D11" s="138"/>
      <c r="E11" s="224"/>
      <c r="F11" s="50"/>
      <c r="G11" s="171"/>
    </row>
    <row r="12" spans="1:8" x14ac:dyDescent="0.2">
      <c r="A12" s="506" t="s">
        <v>299</v>
      </c>
      <c r="B12" s="684"/>
      <c r="C12" s="412">
        <v>15</v>
      </c>
      <c r="D12" s="168">
        <f>IF(F13="NA","",C12)</f>
        <v>15</v>
      </c>
      <c r="E12" s="174"/>
      <c r="F12" s="508"/>
      <c r="G12" s="448"/>
    </row>
    <row r="13" spans="1:8" x14ac:dyDescent="0.2">
      <c r="A13" s="497" t="s">
        <v>314</v>
      </c>
      <c r="B13" s="684"/>
      <c r="C13" s="494"/>
      <c r="D13" s="176"/>
      <c r="E13" s="480">
        <f>$D$65</f>
        <v>3.125</v>
      </c>
      <c r="F13" s="616" t="s">
        <v>121</v>
      </c>
      <c r="G13" s="620">
        <f>IF($D$12="","Not Scored",IF(F13="",$D$12*E13,IF(F13="a",$D$12*E13,(IF(F13="b",$D$12*E14,IF(F13="c",$D$12*E15))))))</f>
        <v>9.375</v>
      </c>
      <c r="H13" s="143"/>
    </row>
    <row r="14" spans="1:8" x14ac:dyDescent="0.2">
      <c r="A14" s="497" t="s">
        <v>365</v>
      </c>
      <c r="B14" s="684"/>
      <c r="C14" s="494"/>
      <c r="D14" s="176"/>
      <c r="E14" s="480">
        <f>AVERAGE(E13,E15)</f>
        <v>1.875</v>
      </c>
      <c r="F14" s="625"/>
      <c r="G14" s="615" t="str">
        <f>IF(F13="","BLANK",IF(F13="a","High",IF(F13="b","Medium",IF(F13="c","Low",IF(F13="NA","Not Applicable")))))</f>
        <v>Low</v>
      </c>
      <c r="H14" s="143"/>
    </row>
    <row r="15" spans="1:8" x14ac:dyDescent="0.2">
      <c r="A15" s="497" t="s">
        <v>364</v>
      </c>
      <c r="B15" s="684"/>
      <c r="C15" s="494"/>
      <c r="D15" s="176"/>
      <c r="E15" s="480">
        <f>$D$66</f>
        <v>0.625</v>
      </c>
      <c r="F15" s="626"/>
      <c r="G15" s="162"/>
      <c r="H15" s="161"/>
    </row>
    <row r="16" spans="1:8" x14ac:dyDescent="0.2">
      <c r="A16" s="138"/>
      <c r="B16" s="38"/>
      <c r="C16" s="138"/>
      <c r="D16" s="138"/>
      <c r="E16" s="224"/>
      <c r="F16" s="50"/>
      <c r="G16" s="171"/>
    </row>
    <row r="17" spans="1:8" x14ac:dyDescent="0.2">
      <c r="A17" s="167"/>
      <c r="B17" s="283"/>
      <c r="C17" s="440"/>
      <c r="D17" s="138"/>
      <c r="E17" s="224"/>
      <c r="F17" s="48"/>
      <c r="G17" s="171"/>
      <c r="H17" s="138"/>
    </row>
    <row r="18" spans="1:8" x14ac:dyDescent="0.2">
      <c r="A18" s="506" t="s">
        <v>300</v>
      </c>
      <c r="B18" s="684"/>
      <c r="C18" s="412">
        <v>20</v>
      </c>
      <c r="D18" s="168">
        <f>IF(F19="NA","",C18)</f>
        <v>20</v>
      </c>
      <c r="E18" s="174"/>
      <c r="F18" s="477"/>
      <c r="G18" s="448"/>
      <c r="H18" s="138"/>
    </row>
    <row r="19" spans="1:8" x14ac:dyDescent="0.2">
      <c r="A19" s="497" t="s">
        <v>366</v>
      </c>
      <c r="B19" s="684"/>
      <c r="C19" s="494"/>
      <c r="D19" s="176"/>
      <c r="E19" s="174">
        <f>$D$65</f>
        <v>3.125</v>
      </c>
      <c r="F19" s="616" t="s">
        <v>120</v>
      </c>
      <c r="G19" s="620">
        <f>IF($D$18="","Not Scored",IF(F19="",$D$18*E19,IF(F19="a",$D$18*E19,(IF(F19="b",$D$18*E20)))))</f>
        <v>12.5</v>
      </c>
      <c r="H19" s="136"/>
    </row>
    <row r="20" spans="1:8" x14ac:dyDescent="0.2">
      <c r="A20" s="497" t="s">
        <v>294</v>
      </c>
      <c r="B20" s="684"/>
      <c r="C20" s="494"/>
      <c r="D20" s="176"/>
      <c r="E20" s="174">
        <f>$D$66</f>
        <v>0.625</v>
      </c>
      <c r="F20" s="621"/>
      <c r="G20" s="615" t="str">
        <f>IF(F19="","BLANK",IF(F19="a","High",IF(F19="b","Low",IF(F19="NA","Not Applicable"))))</f>
        <v>Low</v>
      </c>
      <c r="H20" s="136"/>
    </row>
    <row r="21" spans="1:8" x14ac:dyDescent="0.2">
      <c r="A21" s="279"/>
      <c r="B21" s="284"/>
      <c r="C21" s="441"/>
      <c r="D21" s="138"/>
      <c r="E21" s="224"/>
      <c r="F21" s="48"/>
      <c r="G21" s="171"/>
      <c r="H21" s="138"/>
    </row>
    <row r="22" spans="1:8" x14ac:dyDescent="0.2">
      <c r="A22" s="279"/>
      <c r="B22" s="284"/>
      <c r="C22" s="441"/>
      <c r="D22" s="138"/>
      <c r="E22" s="224"/>
      <c r="F22" s="48"/>
      <c r="G22" s="171"/>
      <c r="H22" s="138"/>
    </row>
    <row r="23" spans="1:8" x14ac:dyDescent="0.2">
      <c r="A23" s="506" t="s">
        <v>367</v>
      </c>
      <c r="B23" s="684"/>
      <c r="C23" s="412">
        <v>15</v>
      </c>
      <c r="D23" s="168">
        <f>IF(F24="NA","",C23)</f>
        <v>15</v>
      </c>
      <c r="E23" s="174"/>
      <c r="F23" s="477"/>
      <c r="G23" s="448"/>
      <c r="H23" s="138"/>
    </row>
    <row r="24" spans="1:8" x14ac:dyDescent="0.2">
      <c r="A24" s="497" t="s">
        <v>295</v>
      </c>
      <c r="B24" s="684"/>
      <c r="C24" s="494"/>
      <c r="D24" s="176"/>
      <c r="E24" s="174">
        <f>$D$65</f>
        <v>3.125</v>
      </c>
      <c r="F24" s="616" t="s">
        <v>120</v>
      </c>
      <c r="G24" s="620">
        <f>IF($D$23="","Not Scored",IF(F24="",$D$23*E24,IF(F24="a",$D$23*E24,(IF(F24="b",$D$23*E25)))))</f>
        <v>9.375</v>
      </c>
      <c r="H24" s="143"/>
    </row>
    <row r="25" spans="1:8" x14ac:dyDescent="0.2">
      <c r="A25" s="497" t="s">
        <v>296</v>
      </c>
      <c r="B25" s="684"/>
      <c r="C25" s="494"/>
      <c r="D25" s="176"/>
      <c r="E25" s="174">
        <f>$D$66</f>
        <v>0.625</v>
      </c>
      <c r="F25" s="621"/>
      <c r="G25" s="615" t="str">
        <f>IF(F24="","BLANK",IF(F24="a","High",IF(F24="b","Low",IF(F24="NA","Not Applicable"))))</f>
        <v>Low</v>
      </c>
      <c r="H25" s="161"/>
    </row>
    <row r="26" spans="1:8" x14ac:dyDescent="0.2">
      <c r="A26" s="282"/>
      <c r="B26" s="280"/>
      <c r="C26" s="187"/>
      <c r="D26" s="138"/>
      <c r="E26" s="224"/>
      <c r="F26" s="44"/>
      <c r="G26" s="169"/>
      <c r="H26" s="245"/>
    </row>
    <row r="27" spans="1:8" x14ac:dyDescent="0.2">
      <c r="A27" s="282"/>
      <c r="B27" s="280"/>
      <c r="C27" s="187"/>
      <c r="D27" s="138"/>
      <c r="E27" s="224"/>
      <c r="F27" s="44"/>
      <c r="G27" s="169"/>
      <c r="H27" s="245"/>
    </row>
    <row r="28" spans="1:8" ht="30" x14ac:dyDescent="0.2">
      <c r="A28" s="452" t="s">
        <v>496</v>
      </c>
      <c r="B28" s="685"/>
      <c r="C28" s="412">
        <v>20</v>
      </c>
      <c r="D28" s="168">
        <f>IF(F29="NA","",C28)</f>
        <v>20</v>
      </c>
      <c r="E28" s="209"/>
      <c r="F28" s="454"/>
      <c r="G28" s="448"/>
    </row>
    <row r="29" spans="1:8" x14ac:dyDescent="0.2">
      <c r="A29" s="451" t="s">
        <v>58</v>
      </c>
      <c r="B29" s="685"/>
      <c r="C29" s="207"/>
      <c r="D29" s="183"/>
      <c r="E29" s="174">
        <f>$D$65</f>
        <v>3.125</v>
      </c>
      <c r="F29" s="616" t="s">
        <v>120</v>
      </c>
      <c r="G29" s="620">
        <f>IF($D$28="","Not Scored",IF(F29="",$D$28*E29,IF(F29="a",$D$28*E29,(IF(F29="b",$D$28*E30)))))</f>
        <v>12.5</v>
      </c>
      <c r="H29" s="143"/>
    </row>
    <row r="30" spans="1:8" x14ac:dyDescent="0.2">
      <c r="A30" s="451" t="s">
        <v>246</v>
      </c>
      <c r="B30" s="685"/>
      <c r="C30" s="207"/>
      <c r="D30" s="183"/>
      <c r="E30" s="174">
        <f>$D$66</f>
        <v>0.625</v>
      </c>
      <c r="F30" s="621"/>
      <c r="G30" s="615" t="str">
        <f>IF(F29="","BLANK",IF(F29="a","High",IF(F29="b","Low",IF(F29="NA","Not Applicable"))))</f>
        <v>Low</v>
      </c>
      <c r="H30" s="161"/>
    </row>
    <row r="31" spans="1:8" x14ac:dyDescent="0.2">
      <c r="A31" s="282"/>
      <c r="B31" s="280"/>
      <c r="C31" s="187"/>
      <c r="D31" s="138"/>
      <c r="E31" s="224"/>
      <c r="F31" s="44"/>
      <c r="G31" s="169"/>
      <c r="H31" s="245"/>
    </row>
    <row r="32" spans="1:8" x14ac:dyDescent="0.2">
      <c r="A32" s="282"/>
      <c r="B32" s="280"/>
      <c r="C32" s="187"/>
      <c r="D32" s="138"/>
      <c r="E32" s="224"/>
      <c r="F32" s="44"/>
      <c r="G32" s="169"/>
      <c r="H32" s="245"/>
    </row>
    <row r="33" spans="1:8" x14ac:dyDescent="0.2">
      <c r="A33" s="506" t="s">
        <v>332</v>
      </c>
      <c r="B33" s="684"/>
      <c r="C33" s="412">
        <v>15</v>
      </c>
      <c r="D33" s="168">
        <f>IF(F34="NA","",C33)</f>
        <v>15</v>
      </c>
      <c r="E33" s="174"/>
      <c r="F33" s="477"/>
      <c r="G33" s="448"/>
      <c r="H33" s="245"/>
    </row>
    <row r="34" spans="1:8" x14ac:dyDescent="0.2">
      <c r="A34" s="497" t="s">
        <v>94</v>
      </c>
      <c r="B34" s="684"/>
      <c r="C34" s="494"/>
      <c r="D34" s="176"/>
      <c r="E34" s="174">
        <f>$D$65</f>
        <v>3.125</v>
      </c>
      <c r="F34" s="616" t="s">
        <v>120</v>
      </c>
      <c r="G34" s="117">
        <f>IF($D$33="","Not Scored",IF(F34="",$D$33*E34,IF(F34="a",$D$33*E34,(IF(F34="b",$D$33*E35)))))</f>
        <v>9.375</v>
      </c>
      <c r="H34" s="245"/>
    </row>
    <row r="35" spans="1:8" x14ac:dyDescent="0.2">
      <c r="A35" s="497" t="s">
        <v>296</v>
      </c>
      <c r="B35" s="684"/>
      <c r="C35" s="494"/>
      <c r="D35" s="176"/>
      <c r="E35" s="174">
        <f>$D$66</f>
        <v>0.625</v>
      </c>
      <c r="F35" s="621"/>
      <c r="G35" s="125" t="str">
        <f>IF(F34="","BLANK",IF(F34="a","High",IF(F34="b","Low",IF(F34="NA","Not Applicable"))))</f>
        <v>Low</v>
      </c>
      <c r="H35" s="245"/>
    </row>
    <row r="36" spans="1:8" x14ac:dyDescent="0.2">
      <c r="A36" s="282"/>
      <c r="B36" s="280"/>
      <c r="C36" s="187"/>
      <c r="D36" s="138"/>
      <c r="E36" s="224"/>
      <c r="F36" s="44"/>
      <c r="G36" s="169"/>
      <c r="H36" s="245"/>
    </row>
    <row r="37" spans="1:8" x14ac:dyDescent="0.2">
      <c r="A37" s="282"/>
      <c r="B37" s="280"/>
      <c r="C37" s="187"/>
      <c r="D37" s="138"/>
      <c r="E37" s="224"/>
      <c r="F37" s="44"/>
      <c r="G37" s="169"/>
      <c r="H37" s="245"/>
    </row>
    <row r="38" spans="1:8" x14ac:dyDescent="0.2">
      <c r="A38" s="506" t="s">
        <v>368</v>
      </c>
      <c r="B38" s="684"/>
      <c r="C38" s="412">
        <v>15</v>
      </c>
      <c r="D38" s="168">
        <f>IF(F39="NA","",C38)</f>
        <v>15</v>
      </c>
      <c r="E38" s="174"/>
      <c r="F38" s="477"/>
      <c r="G38" s="448"/>
      <c r="H38" s="245"/>
    </row>
    <row r="39" spans="1:8" x14ac:dyDescent="0.2">
      <c r="A39" s="497" t="s">
        <v>94</v>
      </c>
      <c r="B39" s="684"/>
      <c r="C39" s="494"/>
      <c r="D39" s="176"/>
      <c r="E39" s="174">
        <f>$D$65</f>
        <v>3.125</v>
      </c>
      <c r="F39" s="616" t="s">
        <v>120</v>
      </c>
      <c r="G39" s="117">
        <f>IF($D$38="","Not Scored",IF(F39="",$D$38*E39,IF(F39="a",$D$38*E39,(IF(F39="b",$D$38*E40)))))</f>
        <v>9.375</v>
      </c>
      <c r="H39" s="245"/>
    </row>
    <row r="40" spans="1:8" x14ac:dyDescent="0.2">
      <c r="A40" s="497" t="s">
        <v>296</v>
      </c>
      <c r="B40" s="684"/>
      <c r="C40" s="494"/>
      <c r="D40" s="176"/>
      <c r="E40" s="174">
        <f>$D$66</f>
        <v>0.625</v>
      </c>
      <c r="F40" s="621"/>
      <c r="G40" s="125" t="str">
        <f>IF(F39="","BLANK",IF(F39="a","High",IF(F39="b","Low",IF(F39="NA","Not Applicable"))))</f>
        <v>Low</v>
      </c>
      <c r="H40" s="245"/>
    </row>
    <row r="41" spans="1:8" x14ac:dyDescent="0.2">
      <c r="A41" s="282"/>
      <c r="B41" s="280"/>
      <c r="C41" s="187"/>
      <c r="D41" s="138"/>
      <c r="E41" s="224"/>
      <c r="F41" s="44"/>
      <c r="G41" s="169"/>
      <c r="H41" s="245"/>
    </row>
    <row r="42" spans="1:8" x14ac:dyDescent="0.2">
      <c r="A42" s="282"/>
      <c r="B42" s="280"/>
      <c r="C42" s="187"/>
      <c r="D42" s="138"/>
      <c r="E42" s="224"/>
      <c r="F42" s="44"/>
      <c r="G42" s="169"/>
      <c r="H42" s="245"/>
    </row>
    <row r="43" spans="1:8" x14ac:dyDescent="0.2">
      <c r="A43" s="452" t="s">
        <v>342</v>
      </c>
      <c r="B43" s="600"/>
      <c r="C43" s="487"/>
      <c r="D43" s="459"/>
      <c r="E43" s="453"/>
      <c r="F43" s="454"/>
      <c r="G43" s="448"/>
    </row>
    <row r="44" spans="1:8" x14ac:dyDescent="0.2">
      <c r="A44" s="495" t="s">
        <v>66</v>
      </c>
      <c r="B44" s="684"/>
      <c r="C44" s="412">
        <v>15</v>
      </c>
      <c r="D44" s="168">
        <f>IF(F45="NA","",C44)</f>
        <v>15</v>
      </c>
      <c r="E44" s="209"/>
      <c r="F44" s="481"/>
      <c r="G44" s="448"/>
    </row>
    <row r="45" spans="1:8" x14ac:dyDescent="0.2">
      <c r="A45" s="486" t="s">
        <v>58</v>
      </c>
      <c r="B45" s="684"/>
      <c r="C45" s="207"/>
      <c r="D45" s="489"/>
      <c r="E45" s="174">
        <f>$D$65</f>
        <v>3.125</v>
      </c>
      <c r="F45" s="616" t="s">
        <v>120</v>
      </c>
      <c r="G45" s="117">
        <f>IF($D$44="","Not Scored",IF(F45="",$D$44*E45,IF(F45="a",$D$44*E45,(IF(F45="b",$D$44*E46)))))</f>
        <v>9.375</v>
      </c>
      <c r="H45" s="143"/>
    </row>
    <row r="46" spans="1:8" x14ac:dyDescent="0.2">
      <c r="A46" s="486" t="s">
        <v>246</v>
      </c>
      <c r="B46" s="684"/>
      <c r="C46" s="207"/>
      <c r="D46" s="489"/>
      <c r="E46" s="174">
        <f>$D$66</f>
        <v>0.625</v>
      </c>
      <c r="F46" s="621"/>
      <c r="G46" s="125" t="str">
        <f>IF(F45="","BLANK",IF(F45="a","High",IF(F45="b","Low",IF(F45="NA","Not Applicable"))))</f>
        <v>Low</v>
      </c>
      <c r="H46" s="161"/>
    </row>
    <row r="47" spans="1:8" x14ac:dyDescent="0.2">
      <c r="A47" s="463"/>
      <c r="B47" s="600"/>
      <c r="C47" s="465"/>
      <c r="D47" s="509"/>
      <c r="E47" s="453"/>
      <c r="F47" s="454"/>
      <c r="G47" s="448"/>
    </row>
    <row r="48" spans="1:8" x14ac:dyDescent="0.2">
      <c r="A48" s="495" t="s">
        <v>297</v>
      </c>
      <c r="B48" s="684"/>
      <c r="C48" s="412">
        <v>15</v>
      </c>
      <c r="D48" s="168">
        <f>IF(F49="NA","",C48)</f>
        <v>15</v>
      </c>
      <c r="E48" s="209"/>
      <c r="F48" s="481"/>
      <c r="G48" s="448"/>
    </row>
    <row r="49" spans="1:11" x14ac:dyDescent="0.2">
      <c r="A49" s="486" t="s">
        <v>58</v>
      </c>
      <c r="B49" s="684"/>
      <c r="C49" s="207"/>
      <c r="D49" s="489"/>
      <c r="E49" s="174">
        <f>$D$65</f>
        <v>3.125</v>
      </c>
      <c r="F49" s="616" t="s">
        <v>120</v>
      </c>
      <c r="G49" s="117">
        <f>IF($D$48="","Not Scored",IF(F49="",$D$48*E49,IF(F49="a",$D$48*E49,(IF(F49="b",$D$48*E50)))))</f>
        <v>9.375</v>
      </c>
      <c r="H49" s="143"/>
    </row>
    <row r="50" spans="1:11" x14ac:dyDescent="0.2">
      <c r="A50" s="486" t="s">
        <v>246</v>
      </c>
      <c r="B50" s="684"/>
      <c r="C50" s="207"/>
      <c r="D50" s="489"/>
      <c r="E50" s="174">
        <f>$D$66</f>
        <v>0.625</v>
      </c>
      <c r="F50" s="621"/>
      <c r="G50" s="125" t="str">
        <f>IF(F49="","BLANK",IF(F49="a","High",IF(F49="b","Low",IF(F49="NA","Not Applicable"))))</f>
        <v>Low</v>
      </c>
      <c r="H50" s="161"/>
    </row>
    <row r="51" spans="1:11" x14ac:dyDescent="0.2">
      <c r="A51" s="173"/>
      <c r="B51" s="600"/>
      <c r="C51" s="207"/>
      <c r="D51" s="489"/>
      <c r="E51" s="174"/>
      <c r="F51" s="477"/>
      <c r="G51" s="448"/>
    </row>
    <row r="52" spans="1:11" x14ac:dyDescent="0.2">
      <c r="A52" s="495" t="s">
        <v>298</v>
      </c>
      <c r="B52" s="684"/>
      <c r="C52" s="412">
        <v>15</v>
      </c>
      <c r="D52" s="168">
        <f>IF(F53="NA","",C52)</f>
        <v>15</v>
      </c>
      <c r="E52" s="209"/>
      <c r="F52" s="481"/>
      <c r="G52" s="448"/>
    </row>
    <row r="53" spans="1:11" x14ac:dyDescent="0.2">
      <c r="A53" s="486" t="s">
        <v>58</v>
      </c>
      <c r="B53" s="684"/>
      <c r="C53" s="207"/>
      <c r="D53" s="183"/>
      <c r="E53" s="174">
        <f>$D$65</f>
        <v>3.125</v>
      </c>
      <c r="F53" s="616" t="s">
        <v>120</v>
      </c>
      <c r="G53" s="117">
        <f>IF($D$52="","Not Scored",IF(F53="",$D$52*E53,IF(F53="a",$D$52*E53,(IF(F53="b",$D$52*E54)))))</f>
        <v>9.375</v>
      </c>
      <c r="H53" s="143"/>
    </row>
    <row r="54" spans="1:11" x14ac:dyDescent="0.2">
      <c r="A54" s="486" t="s">
        <v>246</v>
      </c>
      <c r="B54" s="684"/>
      <c r="C54" s="207"/>
      <c r="D54" s="183"/>
      <c r="E54" s="174">
        <f>$D$66</f>
        <v>0.625</v>
      </c>
      <c r="F54" s="621"/>
      <c r="G54" s="125" t="str">
        <f>IF(F53="","BLANK",IF(F53="a","High",IF(F53="b","Low",IF(F53="NA","Not Applicable"))))</f>
        <v>Low</v>
      </c>
      <c r="H54" s="161"/>
    </row>
    <row r="55" spans="1:11" x14ac:dyDescent="0.2">
      <c r="A55" s="158"/>
      <c r="B55" s="164"/>
      <c r="C55" s="164"/>
      <c r="D55" s="137"/>
      <c r="E55" s="227"/>
      <c r="F55" s="221"/>
      <c r="G55" s="171"/>
    </row>
    <row r="56" spans="1:11" hidden="1" x14ac:dyDescent="0.2">
      <c r="A56" s="158"/>
      <c r="B56" s="164"/>
      <c r="C56" s="164"/>
      <c r="D56" s="137"/>
      <c r="E56" s="227"/>
      <c r="F56" s="221"/>
      <c r="G56" s="171"/>
    </row>
    <row r="57" spans="1:11" hidden="1" x14ac:dyDescent="0.2">
      <c r="A57" s="238"/>
      <c r="B57" s="426" t="s">
        <v>229</v>
      </c>
      <c r="C57" s="425">
        <f>SUM(C4:C56)</f>
        <v>160</v>
      </c>
      <c r="E57" s="224"/>
      <c r="F57" s="427" t="s">
        <v>202</v>
      </c>
      <c r="G57" s="429">
        <f>SUM(G4:G56)</f>
        <v>100</v>
      </c>
      <c r="H57" s="245"/>
    </row>
    <row r="58" spans="1:11" hidden="1" x14ac:dyDescent="0.2">
      <c r="A58" s="228"/>
      <c r="B58" s="436"/>
      <c r="C58" s="436"/>
      <c r="D58" s="226"/>
      <c r="E58" s="224"/>
      <c r="F58" s="222"/>
      <c r="G58" s="171"/>
      <c r="H58" s="138"/>
    </row>
    <row r="59" spans="1:11" x14ac:dyDescent="0.2">
      <c r="A59" s="228"/>
      <c r="B59" s="436"/>
      <c r="C59" s="436"/>
      <c r="D59" s="226"/>
      <c r="E59" s="224"/>
      <c r="F59" s="222"/>
      <c r="G59" s="171"/>
      <c r="H59" s="138"/>
    </row>
    <row r="60" spans="1:11" ht="15" customHeight="1" x14ac:dyDescent="0.2">
      <c r="A60" s="183"/>
      <c r="B60" s="172"/>
      <c r="C60" s="172"/>
      <c r="D60" s="173">
        <f>+SUM(D7:D56)</f>
        <v>160</v>
      </c>
      <c r="E60" s="175"/>
      <c r="F60" s="321" t="str">
        <f>IF(AND(Summary!$A$8="Yes",Summary!$A$16="Yes",Summary!$A$24="Yes",Summary!$A$32="Yes",$G$57&gt;0),$G$57,"Not Scored")</f>
        <v>Not Scored</v>
      </c>
      <c r="G60" s="321" t="str">
        <f>IF(AND(Summary!$A$8="Yes",Summary!$A$16="Yes",Summary!$A$24="Yes",Summary!$A$32="Yes",$G$57&gt;0),$G$57,"Not Scored")</f>
        <v>Not Scored</v>
      </c>
      <c r="I60" s="295" t="s">
        <v>202</v>
      </c>
    </row>
    <row r="61" spans="1:11" ht="15" customHeight="1" x14ac:dyDescent="0.2">
      <c r="A61" s="178"/>
      <c r="B61" s="74"/>
      <c r="C61" s="432"/>
      <c r="D61" s="173"/>
      <c r="E61" s="177"/>
      <c r="F61" s="183"/>
      <c r="G61" s="183"/>
      <c r="I61" s="265" t="s">
        <v>158</v>
      </c>
      <c r="J61" s="265" t="s">
        <v>159</v>
      </c>
      <c r="K61" s="265" t="s">
        <v>160</v>
      </c>
    </row>
    <row r="62" spans="1:11" ht="15" customHeight="1" x14ac:dyDescent="0.2">
      <c r="A62" s="178"/>
      <c r="B62" s="74"/>
      <c r="C62" s="432"/>
      <c r="D62" s="173">
        <f>+D60+D61</f>
        <v>160</v>
      </c>
      <c r="E62" s="177"/>
      <c r="F62" s="183"/>
      <c r="G62" s="183"/>
      <c r="I62" s="266">
        <v>100</v>
      </c>
      <c r="J62" s="267" t="s">
        <v>161</v>
      </c>
      <c r="K62" s="268"/>
    </row>
    <row r="63" spans="1:11" ht="15" customHeight="1" x14ac:dyDescent="0.2">
      <c r="A63" s="183"/>
      <c r="B63" s="172"/>
      <c r="C63" s="172"/>
      <c r="D63" s="173"/>
      <c r="E63" s="177"/>
      <c r="F63" s="183"/>
      <c r="G63" s="183"/>
      <c r="I63" s="269">
        <f>F76</f>
        <v>0</v>
      </c>
      <c r="J63" s="270" t="s">
        <v>162</v>
      </c>
      <c r="K63" s="271">
        <v>4</v>
      </c>
    </row>
    <row r="64" spans="1:11" ht="15" customHeight="1" x14ac:dyDescent="0.2">
      <c r="A64" s="575"/>
      <c r="B64" s="177"/>
      <c r="C64" s="177"/>
      <c r="D64" s="178"/>
      <c r="E64" s="180"/>
      <c r="F64" s="181"/>
      <c r="G64" s="181"/>
      <c r="I64" s="266">
        <v>500</v>
      </c>
      <c r="J64" s="267" t="s">
        <v>163</v>
      </c>
      <c r="K64" s="268"/>
    </row>
    <row r="65" spans="1:11" ht="15" customHeight="1" x14ac:dyDescent="0.2">
      <c r="A65" s="183"/>
      <c r="B65" s="183"/>
      <c r="C65" s="183"/>
      <c r="D65" s="275">
        <f>IF(D60=0,0,(500/D60))</f>
        <v>3.125</v>
      </c>
      <c r="E65" s="180"/>
      <c r="F65" s="181"/>
      <c r="G65" s="181"/>
    </row>
    <row r="66" spans="1:11" ht="15" customHeight="1" x14ac:dyDescent="0.2">
      <c r="A66" s="494"/>
      <c r="B66" s="183"/>
      <c r="C66" s="183"/>
      <c r="D66" s="275">
        <f>IF(D62=0,0,(100/D62))</f>
        <v>0.625</v>
      </c>
      <c r="E66" s="180"/>
      <c r="F66" s="181"/>
      <c r="G66" s="181"/>
    </row>
    <row r="67" spans="1:11" ht="15" customHeight="1" x14ac:dyDescent="0.2">
      <c r="A67" s="183"/>
      <c r="B67" s="180"/>
      <c r="C67" s="180"/>
      <c r="D67" s="178"/>
      <c r="E67" s="180"/>
      <c r="F67" s="181"/>
      <c r="G67" s="181"/>
      <c r="I67" s="295" t="s">
        <v>206</v>
      </c>
      <c r="J67" s="143"/>
      <c r="K67" s="138"/>
    </row>
    <row r="68" spans="1:11" ht="15" customHeight="1" x14ac:dyDescent="0.2">
      <c r="A68" s="183"/>
      <c r="B68" s="333" t="s">
        <v>182</v>
      </c>
      <c r="C68" s="333"/>
      <c r="D68" s="299"/>
      <c r="E68" s="300" t="str">
        <f>IF($G$68="","Not Scored","")</f>
        <v>Not Scored</v>
      </c>
      <c r="F68" s="334" t="str">
        <f>IF(Risk_Pre_Charter!$G$82="Not Scored","",Risk_Pre_Charter!$G$82)</f>
        <v/>
      </c>
      <c r="G68" s="334" t="str">
        <f>IF(Risk_Pre_Charter!$G$82="Not Scored","",Risk_Pre_Charter!$G$82)</f>
        <v/>
      </c>
      <c r="I68" s="265" t="s">
        <v>158</v>
      </c>
      <c r="J68" s="265" t="s">
        <v>159</v>
      </c>
      <c r="K68" s="265" t="s">
        <v>160</v>
      </c>
    </row>
    <row r="69" spans="1:11" ht="15" customHeight="1" x14ac:dyDescent="0.2">
      <c r="A69" s="183"/>
      <c r="B69" s="333" t="s">
        <v>214</v>
      </c>
      <c r="C69" s="333"/>
      <c r="D69" s="335"/>
      <c r="E69" s="300" t="str">
        <f>IF($G$69="","Not Scored","")</f>
        <v>Not Scored</v>
      </c>
      <c r="F69" s="334" t="str">
        <f>IF(Risk_Initiation_Gate!$G$131="Not Scored","",Risk_Initiation_Gate!$G$131)</f>
        <v/>
      </c>
      <c r="G69" s="334" t="str">
        <f>IF(Risk_Initiation_Gate!$G$131="Not Scored","",Risk_Initiation_Gate!$G$131)</f>
        <v/>
      </c>
      <c r="I69" s="266">
        <v>1</v>
      </c>
      <c r="J69" s="267" t="s">
        <v>161</v>
      </c>
      <c r="K69" s="268"/>
    </row>
    <row r="70" spans="1:11" ht="15" customHeight="1" x14ac:dyDescent="0.2">
      <c r="A70" s="183"/>
      <c r="B70" s="333" t="s">
        <v>13</v>
      </c>
      <c r="C70" s="333"/>
      <c r="D70" s="335"/>
      <c r="E70" s="300" t="str">
        <f>IF($G$70="","Not Scored","")</f>
        <v>Not Scored</v>
      </c>
      <c r="F70" s="334" t="str">
        <f>IF(Risk_Planning_Gate!$G$126="Not Scored","",Risk_Planning_Gate!$G$126)</f>
        <v/>
      </c>
      <c r="G70" s="334" t="str">
        <f>IF(Risk_Planning_Gate!$G$126="Not Scored","",Risk_Planning_Gate!$G$126)</f>
        <v/>
      </c>
      <c r="I70" s="269">
        <f>IF(F88="Not Scored",0,F88)</f>
        <v>0</v>
      </c>
      <c r="J70" s="270" t="s">
        <v>162</v>
      </c>
      <c r="K70" s="271">
        <v>4</v>
      </c>
    </row>
    <row r="71" spans="1:11" ht="15" customHeight="1" x14ac:dyDescent="0.2">
      <c r="A71" s="183"/>
      <c r="B71" s="333" t="s">
        <v>476</v>
      </c>
      <c r="C71" s="333"/>
      <c r="D71" s="335"/>
      <c r="E71" s="300" t="str">
        <f>IF($G$71="","Not Scored","")</f>
        <v>Not Scored</v>
      </c>
      <c r="F71" s="334" t="str">
        <f>IF($G$60="Not Scored","",$G$60)</f>
        <v/>
      </c>
      <c r="G71" s="334" t="str">
        <f>IF($G$60="Not Scored","",$G$60)</f>
        <v/>
      </c>
      <c r="I71" s="266">
        <v>4</v>
      </c>
      <c r="J71" s="267" t="s">
        <v>163</v>
      </c>
      <c r="K71" s="268"/>
    </row>
    <row r="72" spans="1:11" ht="15" customHeight="1" x14ac:dyDescent="0.2">
      <c r="A72" s="183"/>
      <c r="B72" s="177"/>
      <c r="C72" s="177"/>
      <c r="D72" s="180"/>
      <c r="E72" s="175"/>
      <c r="F72" s="208"/>
      <c r="G72" s="208"/>
    </row>
    <row r="73" spans="1:11" ht="15" customHeight="1" x14ac:dyDescent="0.2">
      <c r="A73" s="183"/>
      <c r="B73" s="389" t="s">
        <v>472</v>
      </c>
      <c r="C73" s="389"/>
      <c r="D73" s="390"/>
      <c r="E73" s="391" t="str">
        <f>IF($G$73="","Not Scored","")</f>
        <v/>
      </c>
      <c r="F73" s="392">
        <f>IF(Complexity_Planning_Gate!$G$112="Not Scored",0,IF(Summary!$A$32="No","",Complexity_Planning_Gate!$G$124))</f>
        <v>0</v>
      </c>
      <c r="G73" s="392">
        <f>IF(Complexity_Planning_Gate!$G$112="Not Scored",0,IF(Summary!$A$32="No","",Complexity_Planning_Gate!$G$124))</f>
        <v>0</v>
      </c>
    </row>
    <row r="74" spans="1:11" ht="15" customHeight="1" x14ac:dyDescent="0.2">
      <c r="A74" s="183"/>
      <c r="B74" s="177"/>
      <c r="C74" s="177"/>
      <c r="D74" s="180"/>
      <c r="E74" s="175"/>
      <c r="F74" s="208"/>
      <c r="G74" s="208"/>
    </row>
    <row r="75" spans="1:11" ht="15" customHeight="1" x14ac:dyDescent="0.2">
      <c r="A75" s="183"/>
      <c r="B75" s="177" t="s">
        <v>471</v>
      </c>
      <c r="C75" s="177"/>
      <c r="D75" s="180"/>
      <c r="E75" s="180"/>
      <c r="F75" s="323">
        <f>+SUM($G$68:$G$71)</f>
        <v>0</v>
      </c>
      <c r="G75" s="323">
        <f>+SUM($G$68:$G$71)</f>
        <v>0</v>
      </c>
    </row>
    <row r="76" spans="1:11" ht="15" customHeight="1" x14ac:dyDescent="0.2">
      <c r="A76" s="183"/>
      <c r="B76" s="324" t="s">
        <v>458</v>
      </c>
      <c r="C76" s="324"/>
      <c r="D76" s="325"/>
      <c r="E76" s="325"/>
      <c r="F76" s="326">
        <f>IF($G$75&gt;0,AVERAGE($G$68:$G$71),$G$75)</f>
        <v>0</v>
      </c>
      <c r="G76" s="326">
        <f>IF($G$75&gt;0,AVERAGE($G$68:$G$71),$G$75)</f>
        <v>0</v>
      </c>
    </row>
    <row r="77" spans="1:11" ht="15" customHeight="1" x14ac:dyDescent="0.2">
      <c r="A77" s="183"/>
      <c r="B77" s="177"/>
      <c r="C77" s="177"/>
      <c r="D77" s="180"/>
      <c r="E77" s="180"/>
      <c r="F77" s="176"/>
      <c r="G77" s="176"/>
    </row>
    <row r="78" spans="1:11" ht="15" customHeight="1" x14ac:dyDescent="0.2">
      <c r="A78" s="183"/>
      <c r="B78" s="184" t="s">
        <v>459</v>
      </c>
      <c r="C78" s="184"/>
      <c r="D78" s="185"/>
      <c r="E78" s="183"/>
      <c r="F78" s="186" t="str">
        <f>+IF(ROUND(F76,0)&gt;367,"High_Risk","")</f>
        <v/>
      </c>
      <c r="G78" s="186" t="str">
        <f>+IF(ROUND(G76,0)&gt;367,"High_Risk","")</f>
        <v/>
      </c>
    </row>
    <row r="79" spans="1:11" ht="15" customHeight="1" x14ac:dyDescent="0.2">
      <c r="A79" s="183"/>
      <c r="B79" s="184" t="s">
        <v>460</v>
      </c>
      <c r="C79" s="184"/>
      <c r="D79" s="178"/>
      <c r="E79" s="183"/>
      <c r="F79" s="210" t="str">
        <f>+IF(AND(ROUND(F76,0)&gt;233,ROUND(F76,0)&lt;368),"Medium_Risk","")</f>
        <v/>
      </c>
      <c r="G79" s="210" t="str">
        <f>+IF(AND(ROUND(G76,0)&gt;233,ROUND(G76,0)&lt;368),"Medium_Risk","")</f>
        <v/>
      </c>
    </row>
    <row r="80" spans="1:11" ht="15" customHeight="1" x14ac:dyDescent="0.2">
      <c r="A80" s="183"/>
      <c r="B80" s="184" t="s">
        <v>461</v>
      </c>
      <c r="C80" s="184"/>
      <c r="D80" s="185"/>
      <c r="E80" s="183"/>
      <c r="F80" s="188" t="str">
        <f>+IF(AND(ROUND(F76,0)&gt;99,ROUND(F76,0)&lt;234),"Low_Risk","")</f>
        <v/>
      </c>
      <c r="G80" s="188" t="str">
        <f>+IF(AND(ROUND(G76,0)&gt;99,ROUND(G76,0)&lt;234),"Low_Risk","")</f>
        <v/>
      </c>
    </row>
    <row r="81" spans="1:7" ht="15" customHeight="1" thickBot="1" x14ac:dyDescent="0.25">
      <c r="A81" s="183"/>
      <c r="B81" s="183"/>
      <c r="C81" s="183"/>
      <c r="D81" s="178"/>
      <c r="E81" s="183"/>
      <c r="F81" s="183"/>
      <c r="G81" s="183"/>
    </row>
    <row r="82" spans="1:7" ht="15" customHeight="1" thickBot="1" x14ac:dyDescent="0.25">
      <c r="A82" s="183"/>
      <c r="B82" s="211" t="s">
        <v>15</v>
      </c>
      <c r="C82" s="211"/>
      <c r="D82" s="183"/>
      <c r="E82" s="183"/>
      <c r="F82" s="285"/>
      <c r="G82" s="285"/>
    </row>
    <row r="83" spans="1:7" ht="15" customHeight="1" x14ac:dyDescent="0.2">
      <c r="A83" s="183"/>
      <c r="B83" s="183"/>
      <c r="C83" s="183"/>
      <c r="D83" s="183"/>
      <c r="E83" s="183"/>
      <c r="F83" s="183"/>
      <c r="G83" s="183"/>
    </row>
    <row r="84" spans="1:7" ht="15" customHeight="1" thickBot="1" x14ac:dyDescent="0.25">
      <c r="A84" s="183"/>
      <c r="B84" s="386" t="s">
        <v>473</v>
      </c>
      <c r="C84" s="386"/>
      <c r="D84" s="183"/>
      <c r="E84" s="183"/>
      <c r="F84" s="175" t="str">
        <f>IF(Complexity_Planning_Gate!$G$112="Not Scored","NO","YES")</f>
        <v>NO</v>
      </c>
      <c r="G84" s="175" t="str">
        <f>IF(Complexity_Planning_Gate!$G$112="Not Scored","NO","YES")</f>
        <v>NO</v>
      </c>
    </row>
    <row r="85" spans="1:7" ht="15" customHeight="1" thickBot="1" x14ac:dyDescent="0.25">
      <c r="A85" s="183"/>
      <c r="B85" s="177" t="s">
        <v>474</v>
      </c>
      <c r="C85" s="177"/>
      <c r="D85" s="183"/>
      <c r="E85" s="183"/>
      <c r="F85" s="286" t="str">
        <f>IF($G$84="NO","Low_Complexity",IF(Complexity_Planning_Gate!$G$126&lt;&gt;"","High_Complexity",IF(Complexity_Planning_Gate!$G$127&lt;&gt;"","Medium_Complexity",IF(Complexity_Planning_Gate!$G$128&lt;&gt;"","Low_Complexity",""))))</f>
        <v>Low_Complexity</v>
      </c>
      <c r="G85" s="286" t="str">
        <f>IF($G$84="NO","Low_Complexity",IF(Complexity_Planning_Gate!$G$126&lt;&gt;"","High_Complexity",IF(Complexity_Planning_Gate!$G$127&lt;&gt;"","Medium_Complexity",IF(Complexity_Planning_Gate!$G$128&lt;&gt;"","Low_Complexity",""))))</f>
        <v>Low_Complexity</v>
      </c>
    </row>
    <row r="86" spans="1:7" ht="38.25" x14ac:dyDescent="0.2">
      <c r="A86" s="183"/>
      <c r="B86" s="597" t="s">
        <v>475</v>
      </c>
      <c r="C86" s="388"/>
      <c r="D86" s="183"/>
      <c r="E86" s="183"/>
      <c r="F86" s="183"/>
      <c r="G86" s="183"/>
    </row>
    <row r="87" spans="1:7" ht="15.75" thickBot="1" x14ac:dyDescent="0.25">
      <c r="A87" s="183"/>
      <c r="B87" s="388"/>
      <c r="C87" s="388"/>
      <c r="D87" s="183"/>
      <c r="E87" s="183"/>
      <c r="F87" s="183"/>
      <c r="G87" s="183"/>
    </row>
    <row r="88" spans="1:7" ht="15.75" thickBot="1" x14ac:dyDescent="0.25">
      <c r="A88" s="183"/>
      <c r="B88" s="287" t="s">
        <v>477</v>
      </c>
      <c r="C88" s="287"/>
      <c r="D88" s="288"/>
      <c r="E88" s="290"/>
      <c r="F88" s="190" t="str">
        <f>'Project Category Lookup Table'!$D$13</f>
        <v>Not Scored</v>
      </c>
      <c r="G88" s="190" t="str">
        <f>'Project Category Lookup Table'!$D$13</f>
        <v>Not Scored</v>
      </c>
    </row>
  </sheetData>
  <sheetProtection algorithmName="SHA-512" hashValue="gAJaiaTe24L8QDyj8quaqWjr5D89z0SbTs6T7Aj8/OTEtXzy5xTH53+GEbRcCrD2Tevkm6pKZ0kXVytRLlda/g==" saltValue="o59dUsUACKwIvNPqAAoF7g==" spinCount="100000" sheet="1" selectLockedCells="1"/>
  <mergeCells count="11">
    <mergeCell ref="B4:F4"/>
    <mergeCell ref="B52:B54"/>
    <mergeCell ref="B18:B20"/>
    <mergeCell ref="B12:B15"/>
    <mergeCell ref="B7:B9"/>
    <mergeCell ref="B44:B46"/>
    <mergeCell ref="B48:B50"/>
    <mergeCell ref="B38:B40"/>
    <mergeCell ref="B33:B35"/>
    <mergeCell ref="B28:B30"/>
    <mergeCell ref="B23:B25"/>
  </mergeCells>
  <phoneticPr fontId="12" type="noConversion"/>
  <conditionalFormatting sqref="G85">
    <cfRule type="containsText" dxfId="77" priority="146" operator="containsText" text="Low">
      <formula>NOT(ISERROR(SEARCH("Low",G85)))</formula>
    </cfRule>
    <cfRule type="containsText" dxfId="76" priority="147" operator="containsText" text="Medium">
      <formula>NOT(ISERROR(SEARCH("Medium",G85)))</formula>
    </cfRule>
    <cfRule type="containsText" dxfId="75" priority="148" operator="containsText" text="High">
      <formula>NOT(ISERROR(SEARCH("High",G85)))</formula>
    </cfRule>
  </conditionalFormatting>
  <conditionalFormatting sqref="G82">
    <cfRule type="containsText" dxfId="74" priority="145" operator="containsText" text="RED FLAG">
      <formula>NOT(ISERROR(SEARCH("RED FLAG",G82)))</formula>
    </cfRule>
  </conditionalFormatting>
  <conditionalFormatting sqref="G78">
    <cfRule type="containsText" dxfId="73" priority="144" operator="containsText" text="High">
      <formula>NOT(ISERROR(SEARCH("High",G78)))</formula>
    </cfRule>
  </conditionalFormatting>
  <conditionalFormatting sqref="G79">
    <cfRule type="containsText" dxfId="72" priority="143" operator="containsText" text="Medium">
      <formula>NOT(ISERROR(SEARCH("Medium",G79)))</formula>
    </cfRule>
  </conditionalFormatting>
  <conditionalFormatting sqref="G80">
    <cfRule type="containsText" dxfId="71" priority="142" operator="containsText" text="Low">
      <formula>NOT(ISERROR(SEARCH("Low",G80)))</formula>
    </cfRule>
  </conditionalFormatting>
  <conditionalFormatting sqref="G88">
    <cfRule type="containsText" dxfId="70" priority="61" operator="containsText" text="Not Scored">
      <formula>NOT(ISERROR(SEARCH("Not Scored",G88)))</formula>
    </cfRule>
    <cfRule type="cellIs" dxfId="69" priority="139" operator="between">
      <formula>1</formula>
      <formula>1</formula>
    </cfRule>
    <cfRule type="cellIs" dxfId="68" priority="140" operator="between">
      <formula>2</formula>
      <formula>3</formula>
    </cfRule>
    <cfRule type="cellIs" dxfId="67" priority="141" operator="between">
      <formula>4</formula>
      <formula>4</formula>
    </cfRule>
  </conditionalFormatting>
  <conditionalFormatting sqref="G9">
    <cfRule type="cellIs" dxfId="66" priority="55" operator="equal">
      <formula>"BLANK"</formula>
    </cfRule>
    <cfRule type="containsText" dxfId="65" priority="56" operator="containsText" text="Medium">
      <formula>NOT(ISERROR(SEARCH("Medium",G9)))</formula>
    </cfRule>
    <cfRule type="containsText" dxfId="64" priority="57" operator="containsText" text="Low">
      <formula>NOT(ISERROR(SEARCH("Low",G9)))</formula>
    </cfRule>
    <cfRule type="containsText" dxfId="63" priority="58" operator="containsText" text="High">
      <formula>NOT(ISERROR(SEARCH("High",G9)))</formula>
    </cfRule>
  </conditionalFormatting>
  <conditionalFormatting sqref="G60">
    <cfRule type="containsText" dxfId="62" priority="62" operator="containsText" text="Not Scored">
      <formula>NOT(ISERROR(SEARCH("Not Scored",G60)))</formula>
    </cfRule>
  </conditionalFormatting>
  <conditionalFormatting sqref="G84">
    <cfRule type="containsText" dxfId="61" priority="59" operator="containsText" text="YES">
      <formula>NOT(ISERROR(SEARCH("YES",G84)))</formula>
    </cfRule>
    <cfRule type="containsText" dxfId="60" priority="60" operator="containsText" text="NO">
      <formula>NOT(ISERROR(SEARCH("NO",G84)))</formula>
    </cfRule>
  </conditionalFormatting>
  <conditionalFormatting sqref="G30">
    <cfRule type="cellIs" dxfId="59" priority="39" operator="equal">
      <formula>"BLANK"</formula>
    </cfRule>
    <cfRule type="containsText" dxfId="58" priority="40" operator="containsText" text="Medium">
      <formula>NOT(ISERROR(SEARCH("Medium",G30)))</formula>
    </cfRule>
    <cfRule type="containsText" dxfId="57" priority="41" operator="containsText" text="Low">
      <formula>NOT(ISERROR(SEARCH("Low",G30)))</formula>
    </cfRule>
    <cfRule type="containsText" dxfId="56" priority="42" operator="containsText" text="High">
      <formula>NOT(ISERROR(SEARCH("High",G30)))</formula>
    </cfRule>
  </conditionalFormatting>
  <conditionalFormatting sqref="G20">
    <cfRule type="cellIs" dxfId="55" priority="47" operator="equal">
      <formula>"BLANK"</formula>
    </cfRule>
    <cfRule type="containsText" dxfId="54" priority="48" operator="containsText" text="Medium">
      <formula>NOT(ISERROR(SEARCH("Medium",G20)))</formula>
    </cfRule>
    <cfRule type="containsText" dxfId="53" priority="49" operator="containsText" text="Low">
      <formula>NOT(ISERROR(SEARCH("Low",G20)))</formula>
    </cfRule>
    <cfRule type="containsText" dxfId="52" priority="50" operator="containsText" text="High">
      <formula>NOT(ISERROR(SEARCH("High",G20)))</formula>
    </cfRule>
  </conditionalFormatting>
  <conditionalFormatting sqref="G25">
    <cfRule type="cellIs" dxfId="51" priority="43" operator="equal">
      <formula>"BLANK"</formula>
    </cfRule>
    <cfRule type="containsText" dxfId="50" priority="44" operator="containsText" text="Medium">
      <formula>NOT(ISERROR(SEARCH("Medium",G25)))</formula>
    </cfRule>
    <cfRule type="containsText" dxfId="49" priority="45" operator="containsText" text="Low">
      <formula>NOT(ISERROR(SEARCH("Low",G25)))</formula>
    </cfRule>
    <cfRule type="containsText" dxfId="48" priority="46" operator="containsText" text="High">
      <formula>NOT(ISERROR(SEARCH("High",G25)))</formula>
    </cfRule>
  </conditionalFormatting>
  <conditionalFormatting sqref="G46">
    <cfRule type="cellIs" dxfId="47" priority="35" operator="equal">
      <formula>"BLANK"</formula>
    </cfRule>
    <cfRule type="containsText" dxfId="46" priority="36" operator="containsText" text="Medium">
      <formula>NOT(ISERROR(SEARCH("Medium",G46)))</formula>
    </cfRule>
    <cfRule type="containsText" dxfId="45" priority="37" operator="containsText" text="Low">
      <formula>NOT(ISERROR(SEARCH("Low",G46)))</formula>
    </cfRule>
    <cfRule type="containsText" dxfId="44" priority="38" operator="containsText" text="High">
      <formula>NOT(ISERROR(SEARCH("High",G46)))</formula>
    </cfRule>
  </conditionalFormatting>
  <conditionalFormatting sqref="G50">
    <cfRule type="cellIs" dxfId="43" priority="31" operator="equal">
      <formula>"BLANK"</formula>
    </cfRule>
    <cfRule type="containsText" dxfId="42" priority="32" operator="containsText" text="Medium">
      <formula>NOT(ISERROR(SEARCH("Medium",G50)))</formula>
    </cfRule>
    <cfRule type="containsText" dxfId="41" priority="33" operator="containsText" text="Low">
      <formula>NOT(ISERROR(SEARCH("Low",G50)))</formula>
    </cfRule>
    <cfRule type="containsText" dxfId="40" priority="34" operator="containsText" text="High">
      <formula>NOT(ISERROR(SEARCH("High",G50)))</formula>
    </cfRule>
  </conditionalFormatting>
  <conditionalFormatting sqref="G54">
    <cfRule type="cellIs" dxfId="39" priority="27" operator="equal">
      <formula>"BLANK"</formula>
    </cfRule>
    <cfRule type="containsText" dxfId="38" priority="28" operator="containsText" text="Medium">
      <formula>NOT(ISERROR(SEARCH("Medium",G54)))</formula>
    </cfRule>
    <cfRule type="containsText" dxfId="37" priority="29" operator="containsText" text="Low">
      <formula>NOT(ISERROR(SEARCH("Low",G54)))</formula>
    </cfRule>
    <cfRule type="containsText" dxfId="36" priority="30" operator="containsText" text="High">
      <formula>NOT(ISERROR(SEARCH("High",G54)))</formula>
    </cfRule>
  </conditionalFormatting>
  <conditionalFormatting sqref="G35">
    <cfRule type="cellIs" dxfId="35" priority="23" operator="equal">
      <formula>"BLANK"</formula>
    </cfRule>
    <cfRule type="containsText" dxfId="34" priority="24" operator="containsText" text="Medium">
      <formula>NOT(ISERROR(SEARCH("Medium",G35)))</formula>
    </cfRule>
    <cfRule type="containsText" dxfId="33" priority="25" operator="containsText" text="Low">
      <formula>NOT(ISERROR(SEARCH("Low",G35)))</formula>
    </cfRule>
    <cfRule type="containsText" dxfId="32" priority="26" operator="containsText" text="High">
      <formula>NOT(ISERROR(SEARCH("High",G35)))</formula>
    </cfRule>
  </conditionalFormatting>
  <conditionalFormatting sqref="G40">
    <cfRule type="cellIs" dxfId="31" priority="19" operator="equal">
      <formula>"BLANK"</formula>
    </cfRule>
    <cfRule type="containsText" dxfId="30" priority="20" operator="containsText" text="Medium">
      <formula>NOT(ISERROR(SEARCH("Medium",G40)))</formula>
    </cfRule>
    <cfRule type="containsText" dxfId="29" priority="21" operator="containsText" text="Low">
      <formula>NOT(ISERROR(SEARCH("Low",G40)))</formula>
    </cfRule>
    <cfRule type="containsText" dxfId="28" priority="22" operator="containsText" text="High">
      <formula>NOT(ISERROR(SEARCH("High",G40)))</formula>
    </cfRule>
  </conditionalFormatting>
  <conditionalFormatting sqref="G14">
    <cfRule type="cellIs" dxfId="27" priority="15" operator="equal">
      <formula>"BLANK"</formula>
    </cfRule>
    <cfRule type="containsText" dxfId="26" priority="16" operator="containsText" text="Medium">
      <formula>NOT(ISERROR(SEARCH("Medium",G14)))</formula>
    </cfRule>
    <cfRule type="containsText" dxfId="25" priority="17" operator="containsText" text="Low">
      <formula>NOT(ISERROR(SEARCH("Low",G14)))</formula>
    </cfRule>
    <cfRule type="containsText" dxfId="24" priority="18" operator="containsText" text="High">
      <formula>NOT(ISERROR(SEARCH("High",G14)))</formula>
    </cfRule>
  </conditionalFormatting>
  <conditionalFormatting sqref="F85">
    <cfRule type="containsText" dxfId="23" priority="12" operator="containsText" text="Low">
      <formula>NOT(ISERROR(SEARCH("Low",F85)))</formula>
    </cfRule>
    <cfRule type="containsText" dxfId="22" priority="13" operator="containsText" text="Medium">
      <formula>NOT(ISERROR(SEARCH("Medium",F85)))</formula>
    </cfRule>
    <cfRule type="containsText" dxfId="21" priority="14" operator="containsText" text="High">
      <formula>NOT(ISERROR(SEARCH("High",F85)))</formula>
    </cfRule>
  </conditionalFormatting>
  <conditionalFormatting sqref="F82">
    <cfRule type="containsText" dxfId="20" priority="11" operator="containsText" text="RED FLAG">
      <formula>NOT(ISERROR(SEARCH("RED FLAG",F82)))</formula>
    </cfRule>
  </conditionalFormatting>
  <conditionalFormatting sqref="F78">
    <cfRule type="containsText" dxfId="19" priority="10" operator="containsText" text="High">
      <formula>NOT(ISERROR(SEARCH("High",F78)))</formula>
    </cfRule>
  </conditionalFormatting>
  <conditionalFormatting sqref="F79">
    <cfRule type="containsText" dxfId="18" priority="9" operator="containsText" text="Medium">
      <formula>NOT(ISERROR(SEARCH("Medium",F79)))</formula>
    </cfRule>
  </conditionalFormatting>
  <conditionalFormatting sqref="F80">
    <cfRule type="containsText" dxfId="17" priority="8" operator="containsText" text="Low">
      <formula>NOT(ISERROR(SEARCH("Low",F80)))</formula>
    </cfRule>
  </conditionalFormatting>
  <conditionalFormatting sqref="F88">
    <cfRule type="containsText" dxfId="16" priority="3" operator="containsText" text="Not Scored">
      <formula>NOT(ISERROR(SEARCH("Not Scored",F88)))</formula>
    </cfRule>
    <cfRule type="cellIs" dxfId="15" priority="5" operator="between">
      <formula>1</formula>
      <formula>1</formula>
    </cfRule>
    <cfRule type="cellIs" dxfId="14" priority="6" operator="between">
      <formula>2</formula>
      <formula>3</formula>
    </cfRule>
    <cfRule type="cellIs" dxfId="13" priority="7" operator="between">
      <formula>4</formula>
      <formula>4</formula>
    </cfRule>
  </conditionalFormatting>
  <conditionalFormatting sqref="F60">
    <cfRule type="containsText" dxfId="12" priority="4" operator="containsText" text="Not Scored">
      <formula>NOT(ISERROR(SEARCH("Not Scored",F60)))</formula>
    </cfRule>
  </conditionalFormatting>
  <conditionalFormatting sqref="F84">
    <cfRule type="containsText" dxfId="11" priority="1" operator="containsText" text="YES">
      <formula>NOT(ISERROR(SEARCH("YES",F84)))</formula>
    </cfRule>
    <cfRule type="containsText" dxfId="10" priority="2" operator="containsText" text="NO">
      <formula>NOT(ISERROR(SEARCH("NO",F84)))</formula>
    </cfRule>
  </conditionalFormatting>
  <dataValidations count="2">
    <dataValidation type="whole" allowBlank="1" showErrorMessage="1" sqref="I69:I71" xr:uid="{00000000-0002-0000-0A00-000000000000}">
      <formula1>0</formula1>
      <formula2>4</formula2>
    </dataValidation>
    <dataValidation type="decimal" allowBlank="1" showErrorMessage="1" sqref="I62:I64" xr:uid="{00000000-0002-0000-0A00-000001000000}">
      <formula1>0</formula1>
      <formula2>500</formula2>
    </dataValidation>
  </dataValidations>
  <pageMargins left="0.5" right="0.25" top="0.47" bottom="0.5" header="0.24" footer="0.24"/>
  <pageSetup scale="59" fitToHeight="0" orientation="portrait" r:id="rId1"/>
  <headerFooter alignWithMargins="0">
    <oddHeader>&amp;CRisk Event-Driven</oddHeader>
    <oddFooter>&amp;L&amp;D&amp;RPage &amp;P of &amp;N</oddFooter>
  </headerFooter>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ErrorMessage="1" xr:uid="{00000000-0002-0000-0A00-000002000000}">
          <x14:formula1>
            <xm:f>'L_Answer Select'!$A$33:$A$36</xm:f>
          </x14:formula1>
          <xm:sqref>F8 F39 F19 F24 F29 F45 F49 F53 F34</xm:sqref>
        </x14:dataValidation>
        <x14:dataValidation type="list" allowBlank="1" showErrorMessage="1" xr:uid="{00000000-0002-0000-0A00-000003000000}">
          <x14:formula1>
            <xm:f>'L_Answer Select'!$A$24:$A$28</xm:f>
          </x14:formula1>
          <xm:sqref>F13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3"/>
  <sheetViews>
    <sheetView showGridLines="0" zoomScaleNormal="100" workbookViewId="0">
      <selection activeCell="J10" sqref="J10"/>
    </sheetView>
  </sheetViews>
  <sheetFormatPr defaultRowHeight="15" x14ac:dyDescent="0.25"/>
  <cols>
    <col min="1" max="1" width="20.42578125" style="23" customWidth="1"/>
    <col min="2" max="2" width="23.5703125" style="23" customWidth="1"/>
    <col min="3" max="3" width="25.140625" style="23" customWidth="1"/>
    <col min="4" max="4" width="26.140625" style="23" customWidth="1"/>
    <col min="5" max="5" width="6.85546875" style="23" customWidth="1"/>
    <col min="6" max="21" width="7.7109375" style="23" customWidth="1"/>
    <col min="22" max="16384" width="9.140625" style="23"/>
  </cols>
  <sheetData>
    <row r="1" spans="1:12" ht="9.9499999999999993" customHeight="1" x14ac:dyDescent="0.25">
      <c r="A1" s="118"/>
      <c r="B1" s="118"/>
      <c r="C1" s="119"/>
      <c r="D1" s="119"/>
    </row>
    <row r="2" spans="1:12" ht="15.75" thickBot="1" x14ac:dyDescent="0.3">
      <c r="A2" s="122" t="s">
        <v>134</v>
      </c>
      <c r="B2" s="58"/>
      <c r="C2" s="58"/>
      <c r="D2" s="58"/>
      <c r="G2" s="627" t="s">
        <v>667</v>
      </c>
      <c r="H2" s="627"/>
      <c r="I2" s="627"/>
      <c r="J2" s="627"/>
      <c r="K2" s="627"/>
      <c r="L2" s="627"/>
    </row>
    <row r="3" spans="1:12" ht="20.100000000000001" customHeight="1" thickBot="1" x14ac:dyDescent="0.3">
      <c r="A3" s="123" t="s">
        <v>18</v>
      </c>
      <c r="B3" s="124" t="s">
        <v>23</v>
      </c>
      <c r="C3" s="123" t="s">
        <v>24</v>
      </c>
      <c r="D3" s="123" t="s">
        <v>25</v>
      </c>
      <c r="G3" s="627" t="s">
        <v>666</v>
      </c>
      <c r="H3" s="627"/>
      <c r="I3" s="627"/>
      <c r="J3" s="627"/>
      <c r="K3" s="627"/>
      <c r="L3" s="627"/>
    </row>
    <row r="4" spans="1:12" ht="20.100000000000001" customHeight="1" thickBot="1" x14ac:dyDescent="0.3">
      <c r="A4" s="51" t="s">
        <v>20</v>
      </c>
      <c r="B4" s="52">
        <v>4</v>
      </c>
      <c r="C4" s="53">
        <v>3</v>
      </c>
      <c r="D4" s="53">
        <v>3</v>
      </c>
      <c r="G4" s="627" t="s">
        <v>640</v>
      </c>
      <c r="H4" s="627"/>
      <c r="I4" s="627"/>
      <c r="J4" s="627"/>
      <c r="K4" s="627"/>
      <c r="L4" s="627"/>
    </row>
    <row r="5" spans="1:12" ht="20.100000000000001" customHeight="1" thickBot="1" x14ac:dyDescent="0.3">
      <c r="A5" s="51" t="s">
        <v>21</v>
      </c>
      <c r="B5" s="52">
        <v>3</v>
      </c>
      <c r="C5" s="53">
        <v>2</v>
      </c>
      <c r="D5" s="53">
        <v>2</v>
      </c>
      <c r="G5" s="627"/>
      <c r="H5" s="627"/>
      <c r="I5" s="627"/>
      <c r="J5" s="627"/>
      <c r="K5" s="627"/>
      <c r="L5" s="627"/>
    </row>
    <row r="6" spans="1:12" ht="20.100000000000001" customHeight="1" thickBot="1" x14ac:dyDescent="0.3">
      <c r="A6" s="51" t="s">
        <v>22</v>
      </c>
      <c r="B6" s="52">
        <v>2</v>
      </c>
      <c r="C6" s="53">
        <v>1</v>
      </c>
      <c r="D6" s="53">
        <v>1</v>
      </c>
      <c r="G6" s="627"/>
      <c r="H6" s="627"/>
      <c r="I6" s="627"/>
      <c r="J6" s="627"/>
      <c r="K6" s="627"/>
      <c r="L6" s="627"/>
    </row>
    <row r="9" spans="1:12" x14ac:dyDescent="0.25">
      <c r="A9" s="122" t="s">
        <v>135</v>
      </c>
      <c r="B9" s="58"/>
      <c r="C9" s="58"/>
      <c r="D9" s="58"/>
    </row>
    <row r="10" spans="1:12" x14ac:dyDescent="0.25">
      <c r="A10" s="54" t="s">
        <v>230</v>
      </c>
      <c r="B10" s="54" t="str">
        <f>IF(Risk_Pre_Charter!G90&lt;&gt;"","High_Risk",IF(Risk_Pre_Charter!G91&lt;&gt;"","Medium_Risk",IF(Risk_Pre_Charter!G92&lt;&gt;"","Low_Risk","")))</f>
        <v/>
      </c>
      <c r="C10" s="54" t="str">
        <f>IF(Complexity_Pre_Charter!G94&lt;&gt;"","High_Complexity",IF(Complexity_Pre_Charter!G95&lt;&gt;"","Medium_Complexity",IF(Complexity_Pre_Charter!G96&lt;&gt;"","Low_Complexity","")))</f>
        <v/>
      </c>
      <c r="D10" s="55" t="str">
        <f>IFERROR(VLOOKUP(B10,$A$3:$D$6,MATCH(C10,$A$3:$D$3,0),FALSE),"Not Scored")</f>
        <v>Not Scored</v>
      </c>
    </row>
    <row r="11" spans="1:12" x14ac:dyDescent="0.25">
      <c r="A11" s="54" t="s">
        <v>16</v>
      </c>
      <c r="B11" s="54" t="str">
        <f>IF(Risk_Initiation_Gate!G144&lt;&gt;"","High_Risk",IF(Risk_Initiation_Gate!G145&lt;&gt;"","Medium_Risk",IF(Risk_Initiation_Gate!G146&lt;&gt;"","Low_Risk","")))</f>
        <v/>
      </c>
      <c r="C11" s="54" t="str">
        <f>IF(Complexity_Initiation_Gate!G124&lt;&gt;"","High_Complexity",IF(Complexity_Initiation_Gate!G125&lt;&gt;"","Medium_Complexity",IF(Complexity_Initiation_Gate!G126&lt;&gt;"","Low_Complexity","")))</f>
        <v/>
      </c>
      <c r="D11" s="55" t="str">
        <f>IFERROR(VLOOKUP(B11,$A$3:$D$6,MATCH(C11,$A$3:$D$3,0),FALSE),"Not Scored")</f>
        <v>Not Scored</v>
      </c>
    </row>
    <row r="12" spans="1:12" x14ac:dyDescent="0.25">
      <c r="A12" s="54" t="s">
        <v>17</v>
      </c>
      <c r="B12" s="54" t="str">
        <f>IF(Risk_Planning_Gate!G140&lt;&gt;"","High_Risk",IF(Risk_Planning_Gate!G141&lt;&gt;"","Medium_Risk",IF(Risk_Planning_Gate!G142&lt;&gt;"","Low_Risk","")))</f>
        <v/>
      </c>
      <c r="C12" s="54" t="str">
        <f>IF(Complexity_Planning_Gate!G126&lt;&gt;"","High_Complexity",IF(Complexity_Planning_Gate!G127&lt;&gt;"","Medium_Complexity",IF(Complexity_Planning_Gate!G128&lt;&gt;"","Low_Complexity","")))</f>
        <v/>
      </c>
      <c r="D12" s="55" t="str">
        <f t="shared" ref="D12:D13" si="0">IFERROR(VLOOKUP(B12,$A$3:$D$6,MATCH(C12,$A$3:$D$3,0),FALSE),"Not Scored")</f>
        <v>Not Scored</v>
      </c>
    </row>
    <row r="13" spans="1:12" x14ac:dyDescent="0.25">
      <c r="A13" s="54" t="s">
        <v>201</v>
      </c>
      <c r="B13" s="54" t="str">
        <f>IF('Risk_Event-Driven'!G78&lt;&gt;"","High_Risk",IF('Risk_Event-Driven'!G79&lt;&gt;"","Medium_Risk",IF('Risk_Event-Driven'!G80&lt;&gt;"","Low_Risk","")))</f>
        <v/>
      </c>
      <c r="C13" s="54" t="str">
        <f>'Risk_Event-Driven'!G85</f>
        <v>Low_Complexity</v>
      </c>
      <c r="D13" s="55" t="str">
        <f t="shared" si="0"/>
        <v>Not Scored</v>
      </c>
    </row>
  </sheetData>
  <sheetProtection selectLockedCells="1" selectUnlockedCells="1"/>
  <pageMargins left="0.75" right="0.5" top="0.72" bottom="0.5" header="0.24" footer="0.24"/>
  <pageSetup scale="50" fitToHeight="0" orientation="portrait" r:id="rId1"/>
  <headerFooter alignWithMargins="0">
    <oddFooter>&amp;CPage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2"/>
  <sheetViews>
    <sheetView topLeftCell="A4" workbookViewId="0">
      <selection activeCell="B24" sqref="B24"/>
    </sheetView>
  </sheetViews>
  <sheetFormatPr defaultRowHeight="15" x14ac:dyDescent="0.25"/>
  <cols>
    <col min="1" max="1" width="10.140625" style="557" customWidth="1"/>
    <col min="2" max="2" width="52.42578125" style="557" customWidth="1"/>
    <col min="3" max="16384" width="9.140625" style="557"/>
  </cols>
  <sheetData>
    <row r="1" spans="1:4" s="553" customFormat="1" ht="18.75" customHeight="1" x14ac:dyDescent="0.25">
      <c r="A1" s="550"/>
      <c r="B1" s="551"/>
      <c r="C1" s="551"/>
      <c r="D1" s="552"/>
    </row>
    <row r="2" spans="1:4" x14ac:dyDescent="0.25">
      <c r="A2" s="554" t="s">
        <v>370</v>
      </c>
      <c r="B2" s="555"/>
      <c r="C2" s="556"/>
    </row>
    <row r="3" spans="1:4" x14ac:dyDescent="0.25">
      <c r="A3" s="558"/>
      <c r="B3" s="559" t="s">
        <v>371</v>
      </c>
      <c r="C3" s="560"/>
    </row>
    <row r="4" spans="1:4" x14ac:dyDescent="0.25">
      <c r="A4" s="561" t="s">
        <v>372</v>
      </c>
      <c r="B4" s="557" t="s">
        <v>373</v>
      </c>
    </row>
    <row r="5" spans="1:4" x14ac:dyDescent="0.25">
      <c r="A5" s="561" t="s">
        <v>374</v>
      </c>
      <c r="B5" s="557" t="s">
        <v>375</v>
      </c>
    </row>
    <row r="6" spans="1:4" x14ac:dyDescent="0.25">
      <c r="A6" s="561" t="s">
        <v>641</v>
      </c>
      <c r="B6" s="629" t="s">
        <v>642</v>
      </c>
    </row>
    <row r="7" spans="1:4" x14ac:dyDescent="0.25">
      <c r="A7" s="561" t="s">
        <v>643</v>
      </c>
      <c r="B7" s="629" t="s">
        <v>644</v>
      </c>
    </row>
    <row r="8" spans="1:4" x14ac:dyDescent="0.25">
      <c r="A8" s="561" t="s">
        <v>376</v>
      </c>
      <c r="B8" s="557" t="s">
        <v>377</v>
      </c>
    </row>
    <row r="9" spans="1:4" x14ac:dyDescent="0.25">
      <c r="A9" s="561" t="s">
        <v>378</v>
      </c>
      <c r="B9" s="557" t="s">
        <v>379</v>
      </c>
    </row>
    <row r="10" spans="1:4" x14ac:dyDescent="0.25">
      <c r="A10" s="561" t="s">
        <v>645</v>
      </c>
      <c r="B10" s="629" t="s">
        <v>646</v>
      </c>
    </row>
    <row r="11" spans="1:4" x14ac:dyDescent="0.25">
      <c r="A11" s="561" t="s">
        <v>647</v>
      </c>
      <c r="B11" s="629" t="s">
        <v>648</v>
      </c>
    </row>
    <row r="12" spans="1:4" x14ac:dyDescent="0.25">
      <c r="A12" s="561" t="s">
        <v>380</v>
      </c>
      <c r="B12" s="557" t="s">
        <v>381</v>
      </c>
    </row>
    <row r="13" spans="1:4" x14ac:dyDescent="0.25">
      <c r="A13" s="561" t="s">
        <v>392</v>
      </c>
      <c r="B13" s="557" t="s">
        <v>393</v>
      </c>
    </row>
    <row r="14" spans="1:4" x14ac:dyDescent="0.25">
      <c r="A14" s="561" t="s">
        <v>649</v>
      </c>
      <c r="B14" s="629" t="s">
        <v>650</v>
      </c>
    </row>
    <row r="15" spans="1:4" x14ac:dyDescent="0.25">
      <c r="A15" s="561" t="s">
        <v>651</v>
      </c>
      <c r="B15" s="629" t="s">
        <v>652</v>
      </c>
    </row>
    <row r="16" spans="1:4" x14ac:dyDescent="0.25">
      <c r="A16" s="561" t="s">
        <v>382</v>
      </c>
      <c r="B16" s="557" t="s">
        <v>383</v>
      </c>
    </row>
    <row r="17" spans="1:3" x14ac:dyDescent="0.25">
      <c r="A17" s="561" t="s">
        <v>384</v>
      </c>
      <c r="B17" s="557" t="s">
        <v>385</v>
      </c>
    </row>
    <row r="18" spans="1:3" x14ac:dyDescent="0.25">
      <c r="A18" s="561" t="s">
        <v>386</v>
      </c>
      <c r="B18" s="557" t="s">
        <v>387</v>
      </c>
    </row>
    <row r="19" spans="1:3" x14ac:dyDescent="0.25">
      <c r="A19" s="561" t="s">
        <v>394</v>
      </c>
      <c r="B19" s="557" t="s">
        <v>395</v>
      </c>
    </row>
    <row r="20" spans="1:3" x14ac:dyDescent="0.25">
      <c r="A20" s="561" t="s">
        <v>388</v>
      </c>
      <c r="B20" s="557" t="s">
        <v>389</v>
      </c>
    </row>
    <row r="21" spans="1:3" x14ac:dyDescent="0.25">
      <c r="A21" s="561" t="s">
        <v>653</v>
      </c>
      <c r="B21" s="629" t="s">
        <v>654</v>
      </c>
    </row>
    <row r="22" spans="1:3" x14ac:dyDescent="0.25">
      <c r="A22" s="561" t="s">
        <v>390</v>
      </c>
      <c r="B22" s="557" t="s">
        <v>391</v>
      </c>
    </row>
    <row r="23" spans="1:3" x14ac:dyDescent="0.25">
      <c r="A23" s="561" t="s">
        <v>655</v>
      </c>
      <c r="B23" s="629" t="s">
        <v>656</v>
      </c>
    </row>
    <row r="24" spans="1:3" x14ac:dyDescent="0.25">
      <c r="A24" s="561" t="s">
        <v>400</v>
      </c>
      <c r="B24" s="557" t="s">
        <v>401</v>
      </c>
    </row>
    <row r="25" spans="1:3" x14ac:dyDescent="0.25">
      <c r="A25" s="561" t="s">
        <v>657</v>
      </c>
      <c r="B25" s="629" t="s">
        <v>658</v>
      </c>
    </row>
    <row r="26" spans="1:3" x14ac:dyDescent="0.25">
      <c r="A26" s="561" t="s">
        <v>659</v>
      </c>
      <c r="B26" s="629" t="s">
        <v>660</v>
      </c>
    </row>
    <row r="27" spans="1:3" x14ac:dyDescent="0.25">
      <c r="A27" s="561" t="s">
        <v>398</v>
      </c>
      <c r="B27" s="557" t="s">
        <v>399</v>
      </c>
    </row>
    <row r="28" spans="1:3" x14ac:dyDescent="0.25">
      <c r="A28" s="561" t="s">
        <v>396</v>
      </c>
      <c r="B28" s="557" t="s">
        <v>397</v>
      </c>
    </row>
    <row r="29" spans="1:3" x14ac:dyDescent="0.25">
      <c r="A29" s="561" t="s">
        <v>661</v>
      </c>
      <c r="B29" s="629" t="s">
        <v>662</v>
      </c>
    </row>
    <row r="30" spans="1:3" x14ac:dyDescent="0.25">
      <c r="A30" s="561" t="s">
        <v>663</v>
      </c>
      <c r="B30" s="629" t="s">
        <v>664</v>
      </c>
    </row>
    <row r="31" spans="1:3" x14ac:dyDescent="0.25">
      <c r="A31" s="562"/>
      <c r="B31" s="563"/>
      <c r="C31" s="563"/>
    </row>
    <row r="32" spans="1:3" x14ac:dyDescent="0.25">
      <c r="A32" s="564" t="s">
        <v>118</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48"/>
  <sheetViews>
    <sheetView topLeftCell="A19" workbookViewId="0">
      <selection activeCell="B44" sqref="B44"/>
    </sheetView>
  </sheetViews>
  <sheetFormatPr defaultRowHeight="15" x14ac:dyDescent="0.25"/>
  <cols>
    <col min="1" max="1" width="37.85546875" style="106" customWidth="1"/>
    <col min="2" max="16384" width="9.140625" style="106"/>
  </cols>
  <sheetData>
    <row r="1" spans="1:4" s="102" customFormat="1" ht="18.75" customHeight="1" x14ac:dyDescent="0.25">
      <c r="A1" s="99"/>
      <c r="B1" s="100"/>
      <c r="C1" s="100"/>
      <c r="D1" s="101"/>
    </row>
    <row r="2" spans="1:4" x14ac:dyDescent="0.25">
      <c r="A2" s="103"/>
      <c r="B2" s="104"/>
      <c r="C2" s="105"/>
    </row>
    <row r="3" spans="1:4" x14ac:dyDescent="0.25">
      <c r="A3" s="107" t="s">
        <v>119</v>
      </c>
    </row>
    <row r="4" spans="1:4" x14ac:dyDescent="0.25">
      <c r="A4" s="107" t="s">
        <v>120</v>
      </c>
    </row>
    <row r="5" spans="1:4" x14ac:dyDescent="0.25">
      <c r="A5" s="107" t="s">
        <v>121</v>
      </c>
    </row>
    <row r="6" spans="1:4" x14ac:dyDescent="0.25">
      <c r="A6" s="107" t="s">
        <v>122</v>
      </c>
    </row>
    <row r="7" spans="1:4" x14ac:dyDescent="0.25">
      <c r="A7" s="111" t="s">
        <v>123</v>
      </c>
    </row>
    <row r="8" spans="1:4" x14ac:dyDescent="0.25">
      <c r="A8" s="111" t="s">
        <v>124</v>
      </c>
    </row>
    <row r="9" spans="1:4" x14ac:dyDescent="0.25">
      <c r="A9" s="108"/>
      <c r="B9" s="109"/>
      <c r="C9" s="109"/>
    </row>
    <row r="10" spans="1:4" x14ac:dyDescent="0.25">
      <c r="A10" s="110" t="s">
        <v>118</v>
      </c>
    </row>
    <row r="11" spans="1:4" x14ac:dyDescent="0.25">
      <c r="A11" s="116"/>
      <c r="B11" s="116"/>
      <c r="C11" s="116"/>
    </row>
    <row r="12" spans="1:4" x14ac:dyDescent="0.25">
      <c r="A12" s="116"/>
      <c r="B12" s="116"/>
      <c r="C12" s="116"/>
    </row>
    <row r="13" spans="1:4" x14ac:dyDescent="0.25">
      <c r="A13" s="103"/>
      <c r="B13" s="104"/>
      <c r="C13" s="105"/>
    </row>
    <row r="14" spans="1:4" x14ac:dyDescent="0.25">
      <c r="A14" s="107" t="s">
        <v>119</v>
      </c>
    </row>
    <row r="15" spans="1:4" x14ac:dyDescent="0.25">
      <c r="A15" s="107" t="s">
        <v>120</v>
      </c>
    </row>
    <row r="16" spans="1:4" x14ac:dyDescent="0.25">
      <c r="A16" s="107" t="s">
        <v>121</v>
      </c>
    </row>
    <row r="17" spans="1:3" x14ac:dyDescent="0.25">
      <c r="A17" s="107" t="s">
        <v>122</v>
      </c>
    </row>
    <row r="18" spans="1:3" x14ac:dyDescent="0.25">
      <c r="A18" s="111" t="s">
        <v>124</v>
      </c>
    </row>
    <row r="19" spans="1:3" x14ac:dyDescent="0.25">
      <c r="A19" s="108"/>
      <c r="B19" s="109"/>
      <c r="C19" s="109"/>
    </row>
    <row r="20" spans="1:3" x14ac:dyDescent="0.25">
      <c r="A20" s="110" t="s">
        <v>118</v>
      </c>
    </row>
    <row r="21" spans="1:3" x14ac:dyDescent="0.25">
      <c r="A21" s="116"/>
      <c r="B21" s="116"/>
      <c r="C21" s="116"/>
    </row>
    <row r="22" spans="1:3" x14ac:dyDescent="0.25">
      <c r="A22" s="116"/>
      <c r="B22" s="116"/>
      <c r="C22" s="116"/>
    </row>
    <row r="23" spans="1:3" x14ac:dyDescent="0.25">
      <c r="A23" s="103"/>
      <c r="B23" s="104"/>
      <c r="C23" s="105"/>
    </row>
    <row r="24" spans="1:3" x14ac:dyDescent="0.25">
      <c r="A24" s="107" t="s">
        <v>119</v>
      </c>
    </row>
    <row r="25" spans="1:3" x14ac:dyDescent="0.25">
      <c r="A25" s="107" t="s">
        <v>120</v>
      </c>
    </row>
    <row r="26" spans="1:3" x14ac:dyDescent="0.25">
      <c r="A26" s="107" t="s">
        <v>121</v>
      </c>
    </row>
    <row r="27" spans="1:3" x14ac:dyDescent="0.25">
      <c r="A27" s="111" t="s">
        <v>124</v>
      </c>
    </row>
    <row r="28" spans="1:3" x14ac:dyDescent="0.25">
      <c r="A28" s="108"/>
      <c r="B28" s="109"/>
      <c r="C28" s="109"/>
    </row>
    <row r="29" spans="1:3" x14ac:dyDescent="0.25">
      <c r="A29" s="110" t="s">
        <v>118</v>
      </c>
    </row>
    <row r="30" spans="1:3" x14ac:dyDescent="0.25">
      <c r="A30" s="116"/>
      <c r="B30" s="116"/>
      <c r="C30" s="116"/>
    </row>
    <row r="31" spans="1:3" x14ac:dyDescent="0.25">
      <c r="A31" s="116"/>
      <c r="B31" s="116"/>
      <c r="C31" s="116"/>
    </row>
    <row r="32" spans="1:3" x14ac:dyDescent="0.25">
      <c r="A32" s="103"/>
      <c r="B32" s="104"/>
      <c r="C32" s="105"/>
    </row>
    <row r="33" spans="1:3" x14ac:dyDescent="0.25">
      <c r="A33" s="107" t="s">
        <v>119</v>
      </c>
    </row>
    <row r="34" spans="1:3" x14ac:dyDescent="0.25">
      <c r="A34" s="107" t="s">
        <v>120</v>
      </c>
    </row>
    <row r="35" spans="1:3" x14ac:dyDescent="0.25">
      <c r="A35" s="111" t="s">
        <v>124</v>
      </c>
    </row>
    <row r="36" spans="1:3" x14ac:dyDescent="0.25">
      <c r="A36" s="108"/>
      <c r="B36" s="109"/>
      <c r="C36" s="109"/>
    </row>
    <row r="37" spans="1:3" x14ac:dyDescent="0.25">
      <c r="A37" s="110" t="s">
        <v>118</v>
      </c>
    </row>
    <row r="38" spans="1:3" x14ac:dyDescent="0.25">
      <c r="A38" s="116"/>
      <c r="B38" s="116"/>
      <c r="C38" s="116"/>
    </row>
    <row r="39" spans="1:3" x14ac:dyDescent="0.25">
      <c r="A39" s="116"/>
      <c r="B39" s="116"/>
      <c r="C39" s="116"/>
    </row>
    <row r="42" spans="1:3" x14ac:dyDescent="0.25">
      <c r="A42" s="103"/>
      <c r="B42" s="104"/>
      <c r="C42" s="105"/>
    </row>
    <row r="43" spans="1:3" x14ac:dyDescent="0.25">
      <c r="A43" s="317" t="s">
        <v>208</v>
      </c>
    </row>
    <row r="44" spans="1:3" x14ac:dyDescent="0.25">
      <c r="A44" s="317" t="s">
        <v>209</v>
      </c>
    </row>
    <row r="45" spans="1:3" x14ac:dyDescent="0.25">
      <c r="A45" s="108"/>
      <c r="B45" s="109"/>
      <c r="C45" s="109"/>
    </row>
    <row r="46" spans="1:3" x14ac:dyDescent="0.25">
      <c r="A46" s="110" t="s">
        <v>118</v>
      </c>
    </row>
    <row r="47" spans="1:3" x14ac:dyDescent="0.25">
      <c r="A47" s="116"/>
      <c r="B47" s="116"/>
      <c r="C47" s="116"/>
    </row>
    <row r="48" spans="1:3" x14ac:dyDescent="0.25">
      <c r="A48" s="116"/>
      <c r="B48" s="116"/>
      <c r="C48" s="1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8"/>
  <sheetViews>
    <sheetView showGridLines="0" workbookViewId="0">
      <pane ySplit="2" topLeftCell="A3" activePane="bottomLeft" state="frozen"/>
      <selection pane="bottomLeft" activeCell="M12" sqref="M12"/>
    </sheetView>
  </sheetViews>
  <sheetFormatPr defaultRowHeight="15" x14ac:dyDescent="0.25"/>
  <cols>
    <col min="1" max="1" width="60.85546875" style="23" customWidth="1"/>
    <col min="2" max="2" width="31.5703125" style="23" bestFit="1" customWidth="1"/>
    <col min="3" max="3" width="24.85546875" style="23" bestFit="1" customWidth="1"/>
    <col min="4" max="4" width="9.28515625" style="23" bestFit="1" customWidth="1"/>
    <col min="5" max="5" width="15.42578125" style="23" bestFit="1" customWidth="1"/>
    <col min="6" max="6" width="14.28515625" style="23" customWidth="1"/>
    <col min="7" max="16384" width="9.140625" style="23"/>
  </cols>
  <sheetData>
    <row r="1" spans="1:6" ht="9.9499999999999993" customHeight="1" x14ac:dyDescent="0.25">
      <c r="A1" s="118"/>
      <c r="B1" s="118"/>
      <c r="C1" s="119"/>
      <c r="D1" s="119"/>
      <c r="E1" s="119"/>
      <c r="F1" s="119"/>
    </row>
    <row r="2" spans="1:6" x14ac:dyDescent="0.25">
      <c r="A2" s="58" t="s">
        <v>129</v>
      </c>
      <c r="B2" s="59"/>
      <c r="C2" s="59"/>
      <c r="D2" s="59"/>
      <c r="E2" s="59"/>
      <c r="F2" s="59"/>
    </row>
    <row r="7" spans="1:6" x14ac:dyDescent="0.25">
      <c r="A7" s="24"/>
    </row>
    <row r="8" spans="1:6" x14ac:dyDescent="0.25">
      <c r="A8" s="25"/>
      <c r="D8" s="26"/>
    </row>
    <row r="9" spans="1:6" x14ac:dyDescent="0.25">
      <c r="A9" s="25"/>
    </row>
    <row r="10" spans="1:6" x14ac:dyDescent="0.25">
      <c r="A10" s="27"/>
      <c r="B10" s="28"/>
    </row>
    <row r="11" spans="1:6" x14ac:dyDescent="0.25">
      <c r="A11" s="27"/>
      <c r="B11" s="28"/>
    </row>
    <row r="12" spans="1:6" x14ac:dyDescent="0.25">
      <c r="A12" s="27"/>
      <c r="B12" s="28"/>
    </row>
    <row r="13" spans="1:6" x14ac:dyDescent="0.25">
      <c r="A13" s="27"/>
      <c r="B13" s="28"/>
    </row>
    <row r="14" spans="1:6" x14ac:dyDescent="0.25">
      <c r="A14" s="25"/>
      <c r="C14" s="26"/>
    </row>
    <row r="15" spans="1:6" x14ac:dyDescent="0.25">
      <c r="A15" s="25"/>
      <c r="C15" s="26"/>
    </row>
    <row r="16" spans="1:6" x14ac:dyDescent="0.25">
      <c r="A16" s="25"/>
    </row>
    <row r="17" spans="1:4" x14ac:dyDescent="0.25">
      <c r="A17" s="24"/>
    </row>
    <row r="18" spans="1:4" x14ac:dyDescent="0.25">
      <c r="A18" s="25"/>
      <c r="D18" s="26"/>
    </row>
    <row r="19" spans="1:4" x14ac:dyDescent="0.25">
      <c r="A19" s="25"/>
    </row>
    <row r="20" spans="1:4" x14ac:dyDescent="0.25">
      <c r="A20" s="24"/>
    </row>
    <row r="21" spans="1:4" x14ac:dyDescent="0.25">
      <c r="A21" s="25"/>
    </row>
    <row r="22" spans="1:4" x14ac:dyDescent="0.25">
      <c r="A22" s="24"/>
    </row>
    <row r="44" spans="2:6" ht="15.75" thickBot="1" x14ac:dyDescent="0.3"/>
    <row r="45" spans="2:6" x14ac:dyDescent="0.25">
      <c r="B45" s="29" t="s">
        <v>26</v>
      </c>
      <c r="C45" s="30"/>
      <c r="D45" s="30"/>
      <c r="E45" s="30"/>
      <c r="F45" s="31"/>
    </row>
    <row r="46" spans="2:6" x14ac:dyDescent="0.25">
      <c r="B46" s="32" t="s">
        <v>108</v>
      </c>
      <c r="C46" s="33"/>
      <c r="D46" s="33"/>
      <c r="E46" s="33"/>
      <c r="F46" s="34"/>
    </row>
    <row r="47" spans="2:6" x14ac:dyDescent="0.25">
      <c r="B47" s="32" t="s">
        <v>109</v>
      </c>
      <c r="C47" s="33"/>
      <c r="D47" s="33"/>
      <c r="E47" s="33"/>
      <c r="F47" s="34"/>
    </row>
    <row r="48" spans="2:6" ht="15.75" thickBot="1" x14ac:dyDescent="0.3">
      <c r="B48" s="35"/>
      <c r="C48" s="36"/>
      <c r="D48" s="36"/>
      <c r="E48" s="36"/>
      <c r="F48" s="37"/>
    </row>
  </sheetData>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1025" r:id="rId4">
          <objectPr defaultSize="0" r:id="rId5">
            <anchor moveWithCells="1">
              <from>
                <xdr:col>0</xdr:col>
                <xdr:colOff>142875</xdr:colOff>
                <xdr:row>2</xdr:row>
                <xdr:rowOff>142875</xdr:rowOff>
              </from>
              <to>
                <xdr:col>5</xdr:col>
                <xdr:colOff>933450</xdr:colOff>
                <xdr:row>42</xdr:row>
                <xdr:rowOff>9525</xdr:rowOff>
              </to>
            </anchor>
          </objectPr>
        </oleObject>
      </mc:Choice>
      <mc:Fallback>
        <oleObject progId="Visio.Drawing.11"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E171"/>
  <sheetViews>
    <sheetView workbookViewId="0">
      <pane xSplit="1" ySplit="5" topLeftCell="B15" activePane="bottomRight" state="frozen"/>
      <selection pane="topRight" activeCell="B1" sqref="B1"/>
      <selection pane="bottomLeft" activeCell="A6" sqref="A6"/>
      <selection pane="bottomRight" activeCell="B183" sqref="B183"/>
    </sheetView>
  </sheetViews>
  <sheetFormatPr defaultRowHeight="12.75" x14ac:dyDescent="0.2"/>
  <cols>
    <col min="1" max="1" width="6.140625" customWidth="1"/>
    <col min="2" max="2" width="28.28515625" customWidth="1"/>
    <col min="3" max="4" width="7.140625" customWidth="1"/>
    <col min="5" max="5" width="53.7109375" customWidth="1"/>
  </cols>
  <sheetData>
    <row r="1" spans="1:5" ht="15" x14ac:dyDescent="0.25">
      <c r="B1" s="605" t="s">
        <v>636</v>
      </c>
    </row>
    <row r="2" spans="1:5" ht="15" x14ac:dyDescent="0.25">
      <c r="B2" s="605" t="s">
        <v>637</v>
      </c>
    </row>
    <row r="3" spans="1:5" ht="15" x14ac:dyDescent="0.2">
      <c r="A3" s="606"/>
      <c r="B3" s="606"/>
      <c r="C3" s="607" t="s">
        <v>534</v>
      </c>
      <c r="D3" s="606"/>
      <c r="E3" s="606"/>
    </row>
    <row r="4" spans="1:5" ht="15" x14ac:dyDescent="0.2">
      <c r="A4" s="606"/>
      <c r="B4" s="606"/>
      <c r="C4" s="607" t="s">
        <v>535</v>
      </c>
      <c r="D4" s="606"/>
      <c r="E4" s="606"/>
    </row>
    <row r="5" spans="1:5" ht="15" x14ac:dyDescent="0.2">
      <c r="A5" s="606" t="s">
        <v>638</v>
      </c>
      <c r="B5" s="606" t="s">
        <v>536</v>
      </c>
      <c r="C5" s="606" t="s">
        <v>537</v>
      </c>
      <c r="D5" s="606" t="s">
        <v>538</v>
      </c>
      <c r="E5" s="606" t="s">
        <v>539</v>
      </c>
    </row>
    <row r="6" spans="1:5" ht="15" x14ac:dyDescent="0.2">
      <c r="A6" s="608">
        <v>1</v>
      </c>
      <c r="B6" s="609" t="s">
        <v>540</v>
      </c>
      <c r="C6" s="609" t="s">
        <v>541</v>
      </c>
      <c r="D6" s="609" t="s">
        <v>124</v>
      </c>
      <c r="E6" s="609" t="s">
        <v>542</v>
      </c>
    </row>
    <row r="7" spans="1:5" ht="15" x14ac:dyDescent="0.2">
      <c r="A7" s="610">
        <v>2</v>
      </c>
      <c r="B7" s="609" t="s">
        <v>540</v>
      </c>
      <c r="C7" s="609" t="s">
        <v>543</v>
      </c>
      <c r="D7" s="609" t="s">
        <v>541</v>
      </c>
      <c r="E7" s="609" t="s">
        <v>544</v>
      </c>
    </row>
    <row r="8" spans="1:5" ht="15" x14ac:dyDescent="0.2">
      <c r="A8" s="610">
        <v>3</v>
      </c>
      <c r="B8" s="609" t="s">
        <v>540</v>
      </c>
      <c r="C8" s="609" t="s">
        <v>545</v>
      </c>
      <c r="D8" s="609" t="s">
        <v>124</v>
      </c>
      <c r="E8" s="609" t="s">
        <v>546</v>
      </c>
    </row>
    <row r="9" spans="1:5" ht="15" x14ac:dyDescent="0.2">
      <c r="A9" s="610">
        <v>4</v>
      </c>
      <c r="B9" s="609" t="s">
        <v>540</v>
      </c>
      <c r="C9" s="609" t="s">
        <v>545</v>
      </c>
      <c r="D9" s="609" t="s">
        <v>543</v>
      </c>
      <c r="E9" s="609" t="s">
        <v>544</v>
      </c>
    </row>
    <row r="10" spans="1:5" ht="15" x14ac:dyDescent="0.2">
      <c r="A10" s="610">
        <v>5</v>
      </c>
      <c r="B10" s="609" t="s">
        <v>540</v>
      </c>
      <c r="C10" s="609" t="s">
        <v>547</v>
      </c>
      <c r="D10" s="609" t="s">
        <v>545</v>
      </c>
      <c r="E10" s="609" t="s">
        <v>544</v>
      </c>
    </row>
    <row r="11" spans="1:5" ht="30" x14ac:dyDescent="0.2">
      <c r="A11" s="610">
        <v>6</v>
      </c>
      <c r="B11" s="609" t="s">
        <v>540</v>
      </c>
      <c r="C11" s="609"/>
      <c r="D11" s="609"/>
      <c r="E11" s="609" t="s">
        <v>548</v>
      </c>
    </row>
    <row r="12" spans="1:5" ht="15" x14ac:dyDescent="0.2">
      <c r="A12" s="610">
        <v>7</v>
      </c>
      <c r="B12" s="609" t="s">
        <v>540</v>
      </c>
      <c r="C12" s="609"/>
      <c r="D12" s="609"/>
      <c r="E12" s="609" t="s">
        <v>549</v>
      </c>
    </row>
    <row r="13" spans="1:5" ht="15" x14ac:dyDescent="0.2">
      <c r="A13" s="610">
        <v>8</v>
      </c>
      <c r="B13" s="609" t="s">
        <v>540</v>
      </c>
      <c r="C13" s="609" t="s">
        <v>124</v>
      </c>
      <c r="D13" s="609" t="s">
        <v>550</v>
      </c>
      <c r="E13" s="609" t="s">
        <v>551</v>
      </c>
    </row>
    <row r="14" spans="1:5" ht="15" x14ac:dyDescent="0.2">
      <c r="A14" s="610">
        <v>9</v>
      </c>
      <c r="B14" s="609" t="s">
        <v>540</v>
      </c>
      <c r="C14" s="609" t="s">
        <v>552</v>
      </c>
      <c r="D14" s="609" t="s">
        <v>547</v>
      </c>
      <c r="E14" s="609" t="s">
        <v>544</v>
      </c>
    </row>
    <row r="15" spans="1:5" ht="15" x14ac:dyDescent="0.2">
      <c r="A15" s="610">
        <v>10</v>
      </c>
      <c r="B15" s="609" t="s">
        <v>540</v>
      </c>
      <c r="C15" s="609"/>
      <c r="D15" s="609"/>
      <c r="E15" s="609" t="s">
        <v>549</v>
      </c>
    </row>
    <row r="16" spans="1:5" ht="15" x14ac:dyDescent="0.2">
      <c r="A16" s="610">
        <v>11</v>
      </c>
      <c r="B16" s="609" t="s">
        <v>540</v>
      </c>
      <c r="C16" s="609" t="s">
        <v>553</v>
      </c>
      <c r="D16" s="609" t="s">
        <v>552</v>
      </c>
      <c r="E16" s="609" t="s">
        <v>544</v>
      </c>
    </row>
    <row r="17" spans="1:5" ht="15" x14ac:dyDescent="0.2">
      <c r="A17" s="610">
        <v>12</v>
      </c>
      <c r="B17" s="609" t="s">
        <v>540</v>
      </c>
      <c r="C17" s="609"/>
      <c r="D17" s="609"/>
      <c r="E17" s="609" t="s">
        <v>549</v>
      </c>
    </row>
    <row r="18" spans="1:5" ht="15" x14ac:dyDescent="0.2">
      <c r="A18" s="610">
        <v>13</v>
      </c>
      <c r="B18" s="609" t="s">
        <v>540</v>
      </c>
      <c r="C18" s="609" t="s">
        <v>554</v>
      </c>
      <c r="D18" s="609" t="s">
        <v>553</v>
      </c>
      <c r="E18" s="609" t="s">
        <v>544</v>
      </c>
    </row>
    <row r="19" spans="1:5" ht="15" x14ac:dyDescent="0.2">
      <c r="A19" s="610">
        <v>14</v>
      </c>
      <c r="B19" s="609" t="s">
        <v>540</v>
      </c>
      <c r="C19" s="609"/>
      <c r="D19" s="609"/>
      <c r="E19" s="609" t="s">
        <v>555</v>
      </c>
    </row>
    <row r="20" spans="1:5" ht="15" x14ac:dyDescent="0.2">
      <c r="A20" s="610">
        <v>15</v>
      </c>
      <c r="B20" s="609" t="s">
        <v>540</v>
      </c>
      <c r="C20" s="609" t="s">
        <v>556</v>
      </c>
      <c r="D20" s="609" t="s">
        <v>554</v>
      </c>
      <c r="E20" s="609" t="s">
        <v>544</v>
      </c>
    </row>
    <row r="21" spans="1:5" ht="15" x14ac:dyDescent="0.2">
      <c r="A21" s="610">
        <v>16</v>
      </c>
      <c r="B21" s="609" t="s">
        <v>540</v>
      </c>
      <c r="C21" s="609"/>
      <c r="D21" s="609"/>
      <c r="E21" s="609" t="s">
        <v>555</v>
      </c>
    </row>
    <row r="22" spans="1:5" ht="15" x14ac:dyDescent="0.2">
      <c r="A22" s="610">
        <v>17</v>
      </c>
      <c r="B22" s="609" t="s">
        <v>540</v>
      </c>
      <c r="C22" s="609" t="s">
        <v>557</v>
      </c>
      <c r="D22" s="609" t="s">
        <v>556</v>
      </c>
      <c r="E22" s="609" t="s">
        <v>544</v>
      </c>
    </row>
    <row r="23" spans="1:5" ht="15" x14ac:dyDescent="0.2">
      <c r="A23" s="610">
        <v>18</v>
      </c>
      <c r="B23" s="609" t="s">
        <v>540</v>
      </c>
      <c r="C23" s="609"/>
      <c r="D23" s="609"/>
      <c r="E23" s="609" t="s">
        <v>555</v>
      </c>
    </row>
    <row r="24" spans="1:5" ht="15" x14ac:dyDescent="0.2">
      <c r="A24" s="610">
        <v>19</v>
      </c>
      <c r="B24" s="609" t="s">
        <v>540</v>
      </c>
      <c r="C24" s="609" t="s">
        <v>558</v>
      </c>
      <c r="D24" s="609" t="s">
        <v>557</v>
      </c>
      <c r="E24" s="609" t="s">
        <v>544</v>
      </c>
    </row>
    <row r="25" spans="1:5" ht="15" x14ac:dyDescent="0.2">
      <c r="A25" s="610">
        <v>20</v>
      </c>
      <c r="B25" s="609" t="s">
        <v>540</v>
      </c>
      <c r="C25" s="609"/>
      <c r="D25" s="609"/>
      <c r="E25" s="609" t="s">
        <v>555</v>
      </c>
    </row>
    <row r="26" spans="1:5" ht="15" x14ac:dyDescent="0.2">
      <c r="A26" s="610">
        <v>21</v>
      </c>
      <c r="B26" s="609" t="s">
        <v>540</v>
      </c>
      <c r="C26" s="609" t="s">
        <v>559</v>
      </c>
      <c r="D26" s="609" t="s">
        <v>558</v>
      </c>
      <c r="E26" s="609" t="s">
        <v>544</v>
      </c>
    </row>
    <row r="27" spans="1:5" ht="15" x14ac:dyDescent="0.2">
      <c r="A27" s="610">
        <v>22</v>
      </c>
      <c r="B27" s="609" t="s">
        <v>540</v>
      </c>
      <c r="C27" s="609"/>
      <c r="D27" s="609"/>
      <c r="E27" s="609" t="s">
        <v>560</v>
      </c>
    </row>
    <row r="28" spans="1:5" ht="15" x14ac:dyDescent="0.2">
      <c r="A28" s="610">
        <v>23</v>
      </c>
      <c r="B28" s="609" t="s">
        <v>540</v>
      </c>
      <c r="C28" s="609"/>
      <c r="D28" s="609"/>
      <c r="E28" s="609" t="s">
        <v>561</v>
      </c>
    </row>
    <row r="29" spans="1:5" ht="15" x14ac:dyDescent="0.2">
      <c r="A29" s="610">
        <v>24</v>
      </c>
      <c r="B29" s="609" t="s">
        <v>562</v>
      </c>
      <c r="C29" s="609" t="s">
        <v>541</v>
      </c>
      <c r="D29" s="609" t="s">
        <v>124</v>
      </c>
      <c r="E29" s="609" t="s">
        <v>544</v>
      </c>
    </row>
    <row r="30" spans="1:5" ht="15" x14ac:dyDescent="0.2">
      <c r="A30" s="610">
        <v>25</v>
      </c>
      <c r="B30" s="609" t="s">
        <v>562</v>
      </c>
      <c r="C30" s="609"/>
      <c r="D30" s="609"/>
      <c r="E30" s="609" t="s">
        <v>563</v>
      </c>
    </row>
    <row r="31" spans="1:5" ht="15" x14ac:dyDescent="0.2">
      <c r="A31" s="610">
        <v>26</v>
      </c>
      <c r="B31" s="609" t="s">
        <v>562</v>
      </c>
      <c r="C31" s="609"/>
      <c r="D31" s="609"/>
      <c r="E31" s="609" t="s">
        <v>564</v>
      </c>
    </row>
    <row r="32" spans="1:5" ht="15" x14ac:dyDescent="0.2">
      <c r="A32" s="610">
        <v>27</v>
      </c>
      <c r="B32" s="609" t="s">
        <v>562</v>
      </c>
      <c r="C32" s="609"/>
      <c r="D32" s="609"/>
      <c r="E32" s="609" t="s">
        <v>561</v>
      </c>
    </row>
    <row r="33" spans="1:5" ht="15" x14ac:dyDescent="0.2">
      <c r="A33" s="610">
        <v>28</v>
      </c>
      <c r="B33" s="609" t="s">
        <v>562</v>
      </c>
      <c r="C33" s="609" t="s">
        <v>543</v>
      </c>
      <c r="D33" s="609" t="s">
        <v>124</v>
      </c>
      <c r="E33" s="609" t="s">
        <v>565</v>
      </c>
    </row>
    <row r="34" spans="1:5" ht="15" x14ac:dyDescent="0.2">
      <c r="A34" s="610">
        <v>29</v>
      </c>
      <c r="B34" s="609" t="s">
        <v>562</v>
      </c>
      <c r="C34" s="609" t="s">
        <v>545</v>
      </c>
      <c r="D34" s="609" t="s">
        <v>543</v>
      </c>
      <c r="E34" s="609" t="s">
        <v>544</v>
      </c>
    </row>
    <row r="35" spans="1:5" ht="15" x14ac:dyDescent="0.2">
      <c r="A35" s="610">
        <v>30</v>
      </c>
      <c r="B35" s="609" t="s">
        <v>562</v>
      </c>
      <c r="C35" s="609"/>
      <c r="D35" s="609"/>
      <c r="E35" s="609" t="s">
        <v>566</v>
      </c>
    </row>
    <row r="36" spans="1:5" ht="15" x14ac:dyDescent="0.2">
      <c r="A36" s="610">
        <v>31</v>
      </c>
      <c r="B36" s="609" t="s">
        <v>562</v>
      </c>
      <c r="C36" s="609" t="s">
        <v>550</v>
      </c>
      <c r="D36" s="609" t="s">
        <v>545</v>
      </c>
      <c r="E36" s="609" t="s">
        <v>544</v>
      </c>
    </row>
    <row r="37" spans="1:5" ht="15" x14ac:dyDescent="0.2">
      <c r="A37" s="610">
        <v>32</v>
      </c>
      <c r="B37" s="609" t="s">
        <v>562</v>
      </c>
      <c r="C37" s="609" t="s">
        <v>547</v>
      </c>
      <c r="D37" s="609" t="s">
        <v>550</v>
      </c>
      <c r="E37" s="609" t="s">
        <v>544</v>
      </c>
    </row>
    <row r="38" spans="1:5" ht="15" x14ac:dyDescent="0.2">
      <c r="A38" s="610">
        <v>33</v>
      </c>
      <c r="B38" s="609" t="s">
        <v>562</v>
      </c>
      <c r="C38" s="609" t="s">
        <v>552</v>
      </c>
      <c r="D38" s="609" t="s">
        <v>547</v>
      </c>
      <c r="E38" s="609" t="s">
        <v>544</v>
      </c>
    </row>
    <row r="39" spans="1:5" ht="15" x14ac:dyDescent="0.2">
      <c r="A39" s="610">
        <v>34</v>
      </c>
      <c r="B39" s="609" t="s">
        <v>562</v>
      </c>
      <c r="C39" s="609"/>
      <c r="D39" s="609"/>
      <c r="E39" s="609" t="s">
        <v>567</v>
      </c>
    </row>
    <row r="40" spans="1:5" ht="15" x14ac:dyDescent="0.2">
      <c r="A40" s="610">
        <v>35</v>
      </c>
      <c r="B40" s="609" t="s">
        <v>562</v>
      </c>
      <c r="C40" s="609" t="s">
        <v>553</v>
      </c>
      <c r="D40" s="609" t="s">
        <v>552</v>
      </c>
      <c r="E40" s="609" t="s">
        <v>544</v>
      </c>
    </row>
    <row r="41" spans="1:5" ht="15" x14ac:dyDescent="0.2">
      <c r="A41" s="610">
        <v>36</v>
      </c>
      <c r="B41" s="609" t="s">
        <v>562</v>
      </c>
      <c r="C41" s="609"/>
      <c r="D41" s="609"/>
      <c r="E41" s="609" t="s">
        <v>561</v>
      </c>
    </row>
    <row r="42" spans="1:5" ht="15" x14ac:dyDescent="0.2">
      <c r="A42" s="610">
        <v>37</v>
      </c>
      <c r="B42" s="609" t="s">
        <v>562</v>
      </c>
      <c r="C42" s="609" t="s">
        <v>554</v>
      </c>
      <c r="D42" s="609" t="s">
        <v>553</v>
      </c>
      <c r="E42" s="609" t="s">
        <v>544</v>
      </c>
    </row>
    <row r="43" spans="1:5" ht="15" x14ac:dyDescent="0.2">
      <c r="A43" s="610">
        <v>38</v>
      </c>
      <c r="B43" s="609" t="s">
        <v>562</v>
      </c>
      <c r="C43" s="609" t="s">
        <v>556</v>
      </c>
      <c r="D43" s="609" t="s">
        <v>554</v>
      </c>
      <c r="E43" s="609" t="s">
        <v>544</v>
      </c>
    </row>
    <row r="44" spans="1:5" ht="15" x14ac:dyDescent="0.2">
      <c r="A44" s="610">
        <v>39</v>
      </c>
      <c r="B44" s="609" t="s">
        <v>562</v>
      </c>
      <c r="C44" s="609" t="s">
        <v>557</v>
      </c>
      <c r="D44" s="609" t="s">
        <v>556</v>
      </c>
      <c r="E44" s="609" t="s">
        <v>544</v>
      </c>
    </row>
    <row r="45" spans="1:5" ht="15" x14ac:dyDescent="0.2">
      <c r="A45" s="610">
        <v>40</v>
      </c>
      <c r="B45" s="609" t="s">
        <v>562</v>
      </c>
      <c r="C45" s="609" t="s">
        <v>558</v>
      </c>
      <c r="D45" s="609" t="s">
        <v>557</v>
      </c>
      <c r="E45" s="609" t="s">
        <v>544</v>
      </c>
    </row>
    <row r="46" spans="1:5" ht="15" x14ac:dyDescent="0.2">
      <c r="A46" s="610">
        <v>41</v>
      </c>
      <c r="B46" s="609" t="s">
        <v>562</v>
      </c>
      <c r="C46" s="609" t="s">
        <v>559</v>
      </c>
      <c r="D46" s="609" t="s">
        <v>558</v>
      </c>
      <c r="E46" s="609" t="s">
        <v>544</v>
      </c>
    </row>
    <row r="47" spans="1:5" ht="15" x14ac:dyDescent="0.2">
      <c r="A47" s="610">
        <v>42</v>
      </c>
      <c r="B47" s="609" t="s">
        <v>562</v>
      </c>
      <c r="C47" s="609" t="s">
        <v>568</v>
      </c>
      <c r="D47" s="609" t="s">
        <v>559</v>
      </c>
      <c r="E47" s="609" t="s">
        <v>544</v>
      </c>
    </row>
    <row r="48" spans="1:5" ht="15" x14ac:dyDescent="0.2">
      <c r="A48" s="610">
        <v>43</v>
      </c>
      <c r="B48" s="609" t="s">
        <v>569</v>
      </c>
      <c r="C48" s="609" t="s">
        <v>543</v>
      </c>
      <c r="D48" s="609" t="s">
        <v>124</v>
      </c>
      <c r="E48" s="609" t="s">
        <v>565</v>
      </c>
    </row>
    <row r="49" spans="1:5" ht="15" x14ac:dyDescent="0.2">
      <c r="A49" s="610">
        <v>44</v>
      </c>
      <c r="B49" s="609" t="s">
        <v>569</v>
      </c>
      <c r="C49" s="609" t="s">
        <v>545</v>
      </c>
      <c r="D49" s="609" t="s">
        <v>543</v>
      </c>
      <c r="E49" s="609" t="s">
        <v>544</v>
      </c>
    </row>
    <row r="50" spans="1:5" ht="15" x14ac:dyDescent="0.2">
      <c r="A50" s="610">
        <v>45</v>
      </c>
      <c r="B50" s="609" t="s">
        <v>569</v>
      </c>
      <c r="C50" s="609" t="s">
        <v>550</v>
      </c>
      <c r="D50" s="609" t="s">
        <v>545</v>
      </c>
      <c r="E50" s="609" t="s">
        <v>544</v>
      </c>
    </row>
    <row r="51" spans="1:5" ht="15" x14ac:dyDescent="0.2">
      <c r="A51" s="610">
        <v>46</v>
      </c>
      <c r="B51" s="609" t="s">
        <v>569</v>
      </c>
      <c r="C51" s="609" t="s">
        <v>547</v>
      </c>
      <c r="D51" s="609" t="s">
        <v>550</v>
      </c>
      <c r="E51" s="609" t="s">
        <v>544</v>
      </c>
    </row>
    <row r="52" spans="1:5" ht="15" x14ac:dyDescent="0.2">
      <c r="A52" s="610">
        <v>47</v>
      </c>
      <c r="B52" s="609" t="s">
        <v>569</v>
      </c>
      <c r="C52" s="609" t="s">
        <v>552</v>
      </c>
      <c r="D52" s="609" t="s">
        <v>547</v>
      </c>
      <c r="E52" s="609" t="s">
        <v>544</v>
      </c>
    </row>
    <row r="53" spans="1:5" ht="15" x14ac:dyDescent="0.2">
      <c r="A53" s="610">
        <v>48</v>
      </c>
      <c r="B53" s="609" t="s">
        <v>569</v>
      </c>
      <c r="C53" s="609" t="s">
        <v>553</v>
      </c>
      <c r="D53" s="609" t="s">
        <v>552</v>
      </c>
      <c r="E53" s="609" t="s">
        <v>544</v>
      </c>
    </row>
    <row r="54" spans="1:5" ht="15" x14ac:dyDescent="0.2">
      <c r="A54" s="610">
        <v>49</v>
      </c>
      <c r="B54" s="609" t="s">
        <v>569</v>
      </c>
      <c r="C54" s="609"/>
      <c r="D54" s="609"/>
      <c r="E54" s="609" t="s">
        <v>570</v>
      </c>
    </row>
    <row r="55" spans="1:5" ht="15" x14ac:dyDescent="0.2">
      <c r="A55" s="610">
        <v>50</v>
      </c>
      <c r="B55" s="609" t="s">
        <v>569</v>
      </c>
      <c r="C55" s="609"/>
      <c r="D55" s="609"/>
      <c r="E55" s="609" t="s">
        <v>571</v>
      </c>
    </row>
    <row r="56" spans="1:5" ht="15" x14ac:dyDescent="0.2">
      <c r="A56" s="610">
        <v>51</v>
      </c>
      <c r="B56" s="609" t="s">
        <v>569</v>
      </c>
      <c r="C56" s="609" t="s">
        <v>554</v>
      </c>
      <c r="D56" s="609" t="s">
        <v>124</v>
      </c>
      <c r="E56" s="609" t="s">
        <v>572</v>
      </c>
    </row>
    <row r="57" spans="1:5" ht="15" x14ac:dyDescent="0.2">
      <c r="A57" s="610">
        <v>52</v>
      </c>
      <c r="B57" s="609" t="s">
        <v>569</v>
      </c>
      <c r="C57" s="609" t="s">
        <v>556</v>
      </c>
      <c r="D57" s="609" t="s">
        <v>553</v>
      </c>
      <c r="E57" s="609" t="s">
        <v>544</v>
      </c>
    </row>
    <row r="58" spans="1:5" ht="15" x14ac:dyDescent="0.2">
      <c r="A58" s="610">
        <v>53</v>
      </c>
      <c r="B58" s="609" t="s">
        <v>569</v>
      </c>
      <c r="C58" s="609"/>
      <c r="D58" s="609"/>
      <c r="E58" s="609" t="s">
        <v>566</v>
      </c>
    </row>
    <row r="59" spans="1:5" ht="15" x14ac:dyDescent="0.2">
      <c r="A59" s="610">
        <v>54</v>
      </c>
      <c r="B59" s="609" t="s">
        <v>569</v>
      </c>
      <c r="C59" s="609" t="s">
        <v>557</v>
      </c>
      <c r="D59" s="609" t="s">
        <v>554</v>
      </c>
      <c r="E59" s="609" t="s">
        <v>544</v>
      </c>
    </row>
    <row r="60" spans="1:5" ht="15" x14ac:dyDescent="0.2">
      <c r="A60" s="610">
        <v>55</v>
      </c>
      <c r="B60" s="609" t="s">
        <v>569</v>
      </c>
      <c r="C60" s="609" t="s">
        <v>558</v>
      </c>
      <c r="D60" s="609" t="s">
        <v>556</v>
      </c>
      <c r="E60" s="609" t="s">
        <v>544</v>
      </c>
    </row>
    <row r="61" spans="1:5" ht="15" x14ac:dyDescent="0.2">
      <c r="A61" s="610">
        <v>56</v>
      </c>
      <c r="B61" s="609" t="s">
        <v>569</v>
      </c>
      <c r="C61" s="609" t="s">
        <v>559</v>
      </c>
      <c r="D61" s="609" t="s">
        <v>557</v>
      </c>
      <c r="E61" s="609" t="s">
        <v>544</v>
      </c>
    </row>
    <row r="62" spans="1:5" ht="15" x14ac:dyDescent="0.2">
      <c r="A62" s="610">
        <v>57</v>
      </c>
      <c r="B62" s="609" t="s">
        <v>569</v>
      </c>
      <c r="C62" s="609" t="s">
        <v>568</v>
      </c>
      <c r="D62" s="609" t="s">
        <v>558</v>
      </c>
      <c r="E62" s="609" t="s">
        <v>544</v>
      </c>
    </row>
    <row r="63" spans="1:5" ht="15" x14ac:dyDescent="0.2">
      <c r="A63" s="610">
        <v>58</v>
      </c>
      <c r="B63" s="609" t="s">
        <v>569</v>
      </c>
      <c r="C63" s="609"/>
      <c r="D63" s="609"/>
      <c r="E63" s="609" t="s">
        <v>573</v>
      </c>
    </row>
    <row r="64" spans="1:5" ht="15" x14ac:dyDescent="0.2">
      <c r="A64" s="610">
        <v>59</v>
      </c>
      <c r="B64" s="609" t="s">
        <v>569</v>
      </c>
      <c r="C64" s="609" t="s">
        <v>574</v>
      </c>
      <c r="D64" s="609" t="s">
        <v>559</v>
      </c>
      <c r="E64" s="609" t="s">
        <v>544</v>
      </c>
    </row>
    <row r="65" spans="1:5" ht="15" x14ac:dyDescent="0.2">
      <c r="A65" s="610">
        <v>60</v>
      </c>
      <c r="B65" s="609" t="s">
        <v>569</v>
      </c>
      <c r="C65" s="609"/>
      <c r="D65" s="609"/>
      <c r="E65" s="609" t="s">
        <v>575</v>
      </c>
    </row>
    <row r="66" spans="1:5" ht="15" x14ac:dyDescent="0.2">
      <c r="A66" s="610">
        <v>61</v>
      </c>
      <c r="B66" s="609" t="s">
        <v>569</v>
      </c>
      <c r="C66" s="609" t="s">
        <v>576</v>
      </c>
      <c r="D66" s="609" t="s">
        <v>568</v>
      </c>
      <c r="E66" s="609" t="s">
        <v>544</v>
      </c>
    </row>
    <row r="67" spans="1:5" ht="15" x14ac:dyDescent="0.2">
      <c r="A67" s="610">
        <v>62</v>
      </c>
      <c r="B67" s="609" t="s">
        <v>569</v>
      </c>
      <c r="C67" s="609"/>
      <c r="D67" s="609"/>
      <c r="E67" s="609" t="s">
        <v>549</v>
      </c>
    </row>
    <row r="68" spans="1:5" ht="15" x14ac:dyDescent="0.2">
      <c r="A68" s="610">
        <v>63</v>
      </c>
      <c r="B68" s="609" t="s">
        <v>569</v>
      </c>
      <c r="C68" s="609" t="s">
        <v>577</v>
      </c>
      <c r="D68" s="609" t="s">
        <v>574</v>
      </c>
      <c r="E68" s="609" t="s">
        <v>544</v>
      </c>
    </row>
    <row r="69" spans="1:5" ht="15" x14ac:dyDescent="0.2">
      <c r="A69" s="610">
        <v>64</v>
      </c>
      <c r="B69" s="609" t="s">
        <v>569</v>
      </c>
      <c r="C69" s="609" t="s">
        <v>578</v>
      </c>
      <c r="D69" s="609" t="s">
        <v>576</v>
      </c>
      <c r="E69" s="609" t="s">
        <v>544</v>
      </c>
    </row>
    <row r="70" spans="1:5" ht="15" x14ac:dyDescent="0.2">
      <c r="A70" s="610">
        <v>65</v>
      </c>
      <c r="B70" s="609" t="s">
        <v>569</v>
      </c>
      <c r="C70" s="609" t="s">
        <v>579</v>
      </c>
      <c r="D70" s="609" t="s">
        <v>577</v>
      </c>
      <c r="E70" s="609" t="s">
        <v>544</v>
      </c>
    </row>
    <row r="71" spans="1:5" ht="15" x14ac:dyDescent="0.2">
      <c r="A71" s="610">
        <v>66</v>
      </c>
      <c r="B71" s="609" t="s">
        <v>569</v>
      </c>
      <c r="C71" s="609" t="s">
        <v>580</v>
      </c>
      <c r="D71" s="609" t="s">
        <v>578</v>
      </c>
      <c r="E71" s="609" t="s">
        <v>544</v>
      </c>
    </row>
    <row r="72" spans="1:5" ht="15" x14ac:dyDescent="0.2">
      <c r="A72" s="610">
        <v>67</v>
      </c>
      <c r="B72" s="609" t="s">
        <v>569</v>
      </c>
      <c r="C72" s="609" t="s">
        <v>581</v>
      </c>
      <c r="D72" s="609" t="s">
        <v>579</v>
      </c>
      <c r="E72" s="609" t="s">
        <v>544</v>
      </c>
    </row>
    <row r="73" spans="1:5" ht="15" x14ac:dyDescent="0.2">
      <c r="A73" s="610">
        <v>68</v>
      </c>
      <c r="B73" s="609" t="s">
        <v>569</v>
      </c>
      <c r="C73" s="609" t="s">
        <v>582</v>
      </c>
      <c r="D73" s="609" t="s">
        <v>580</v>
      </c>
      <c r="E73" s="609" t="s">
        <v>544</v>
      </c>
    </row>
    <row r="74" spans="1:5" ht="15" x14ac:dyDescent="0.2">
      <c r="A74" s="610">
        <v>69</v>
      </c>
      <c r="B74" s="609" t="s">
        <v>569</v>
      </c>
      <c r="C74" s="609" t="s">
        <v>583</v>
      </c>
      <c r="D74" s="609" t="s">
        <v>581</v>
      </c>
      <c r="E74" s="609" t="s">
        <v>544</v>
      </c>
    </row>
    <row r="75" spans="1:5" ht="15" x14ac:dyDescent="0.2">
      <c r="A75" s="610">
        <v>70</v>
      </c>
      <c r="B75" s="609" t="s">
        <v>584</v>
      </c>
      <c r="C75" s="609" t="s">
        <v>585</v>
      </c>
      <c r="D75" s="609" t="s">
        <v>124</v>
      </c>
      <c r="E75" s="609" t="s">
        <v>575</v>
      </c>
    </row>
    <row r="76" spans="1:5" ht="15" x14ac:dyDescent="0.2">
      <c r="A76" s="610">
        <v>71</v>
      </c>
      <c r="B76" s="609" t="s">
        <v>584</v>
      </c>
      <c r="C76" s="609" t="s">
        <v>541</v>
      </c>
      <c r="D76" s="609" t="s">
        <v>124</v>
      </c>
      <c r="E76" s="609" t="s">
        <v>586</v>
      </c>
    </row>
    <row r="77" spans="1:5" ht="15" x14ac:dyDescent="0.2">
      <c r="A77" s="610">
        <v>72</v>
      </c>
      <c r="B77" s="609" t="s">
        <v>584</v>
      </c>
      <c r="C77" s="609" t="s">
        <v>587</v>
      </c>
      <c r="D77" s="609" t="s">
        <v>124</v>
      </c>
      <c r="E77" s="609" t="s">
        <v>588</v>
      </c>
    </row>
    <row r="78" spans="1:5" ht="15" x14ac:dyDescent="0.2">
      <c r="A78" s="610">
        <v>73</v>
      </c>
      <c r="B78" s="609" t="s">
        <v>584</v>
      </c>
      <c r="C78" s="609" t="s">
        <v>589</v>
      </c>
      <c r="D78" s="609" t="s">
        <v>124</v>
      </c>
      <c r="E78" s="609" t="s">
        <v>588</v>
      </c>
    </row>
    <row r="79" spans="1:5" ht="15" x14ac:dyDescent="0.2">
      <c r="A79" s="610">
        <v>74</v>
      </c>
      <c r="B79" s="609" t="s">
        <v>584</v>
      </c>
      <c r="C79" s="609" t="s">
        <v>545</v>
      </c>
      <c r="D79" s="609" t="s">
        <v>124</v>
      </c>
      <c r="E79" s="609" t="s">
        <v>590</v>
      </c>
    </row>
    <row r="80" spans="1:5" ht="15" x14ac:dyDescent="0.2">
      <c r="A80" s="610">
        <v>75</v>
      </c>
      <c r="B80" s="609" t="s">
        <v>584</v>
      </c>
      <c r="C80" s="609" t="s">
        <v>550</v>
      </c>
      <c r="D80" s="609" t="s">
        <v>124</v>
      </c>
      <c r="E80" s="609" t="s">
        <v>591</v>
      </c>
    </row>
    <row r="81" spans="1:5" ht="15" x14ac:dyDescent="0.2">
      <c r="A81" s="610">
        <v>76</v>
      </c>
      <c r="B81" s="609" t="s">
        <v>584</v>
      </c>
      <c r="C81" s="609" t="s">
        <v>547</v>
      </c>
      <c r="D81" s="609" t="s">
        <v>124</v>
      </c>
      <c r="E81" s="609" t="s">
        <v>590</v>
      </c>
    </row>
    <row r="82" spans="1:5" ht="15" x14ac:dyDescent="0.2">
      <c r="A82" s="610">
        <v>77</v>
      </c>
      <c r="B82" s="609" t="s">
        <v>584</v>
      </c>
      <c r="C82" s="609" t="s">
        <v>552</v>
      </c>
      <c r="D82" s="609" t="s">
        <v>124</v>
      </c>
      <c r="E82" s="609" t="s">
        <v>590</v>
      </c>
    </row>
    <row r="83" spans="1:5" ht="15" x14ac:dyDescent="0.2">
      <c r="A83" s="610">
        <v>78</v>
      </c>
      <c r="B83" s="609" t="s">
        <v>584</v>
      </c>
      <c r="C83" s="609" t="s">
        <v>553</v>
      </c>
      <c r="D83" s="609" t="s">
        <v>124</v>
      </c>
      <c r="E83" s="609" t="s">
        <v>590</v>
      </c>
    </row>
    <row r="84" spans="1:5" ht="15" x14ac:dyDescent="0.2">
      <c r="A84" s="610">
        <v>79</v>
      </c>
      <c r="B84" s="609" t="s">
        <v>584</v>
      </c>
      <c r="C84" s="609" t="s">
        <v>554</v>
      </c>
      <c r="D84" s="609" t="s">
        <v>124</v>
      </c>
      <c r="E84" s="609" t="s">
        <v>590</v>
      </c>
    </row>
    <row r="85" spans="1:5" ht="15" x14ac:dyDescent="0.2">
      <c r="A85" s="610">
        <v>80</v>
      </c>
      <c r="B85" s="609" t="s">
        <v>584</v>
      </c>
      <c r="C85" s="609" t="s">
        <v>556</v>
      </c>
      <c r="D85" s="609" t="s">
        <v>124</v>
      </c>
      <c r="E85" s="609" t="s">
        <v>590</v>
      </c>
    </row>
    <row r="86" spans="1:5" ht="15" x14ac:dyDescent="0.2">
      <c r="A86" s="610">
        <v>81</v>
      </c>
      <c r="B86" s="609" t="s">
        <v>584</v>
      </c>
      <c r="C86" s="609" t="s">
        <v>557</v>
      </c>
      <c r="D86" s="609" t="s">
        <v>124</v>
      </c>
      <c r="E86" s="609" t="s">
        <v>590</v>
      </c>
    </row>
    <row r="87" spans="1:5" ht="15" x14ac:dyDescent="0.2">
      <c r="A87" s="610">
        <v>82</v>
      </c>
      <c r="B87" s="609" t="s">
        <v>584</v>
      </c>
      <c r="C87" s="609" t="s">
        <v>592</v>
      </c>
      <c r="D87" s="609" t="s">
        <v>124</v>
      </c>
      <c r="E87" s="609" t="s">
        <v>593</v>
      </c>
    </row>
    <row r="88" spans="1:5" ht="15" x14ac:dyDescent="0.2">
      <c r="A88" s="610">
        <v>83</v>
      </c>
      <c r="B88" s="609" t="s">
        <v>584</v>
      </c>
      <c r="C88" s="609" t="s">
        <v>594</v>
      </c>
      <c r="D88" s="609" t="s">
        <v>592</v>
      </c>
      <c r="E88" s="609" t="s">
        <v>544</v>
      </c>
    </row>
    <row r="89" spans="1:5" ht="15" x14ac:dyDescent="0.2">
      <c r="A89" s="610">
        <v>84</v>
      </c>
      <c r="B89" s="609" t="s">
        <v>584</v>
      </c>
      <c r="C89" s="609"/>
      <c r="D89" s="609"/>
      <c r="E89" s="609" t="s">
        <v>595</v>
      </c>
    </row>
    <row r="90" spans="1:5" ht="15" x14ac:dyDescent="0.2">
      <c r="A90" s="610">
        <v>85</v>
      </c>
      <c r="B90" s="609" t="s">
        <v>584</v>
      </c>
      <c r="C90" s="609" t="s">
        <v>596</v>
      </c>
      <c r="D90" s="609" t="s">
        <v>594</v>
      </c>
      <c r="E90" s="609" t="s">
        <v>544</v>
      </c>
    </row>
    <row r="91" spans="1:5" ht="15" x14ac:dyDescent="0.2">
      <c r="A91" s="610">
        <v>86</v>
      </c>
      <c r="B91" s="609" t="s">
        <v>584</v>
      </c>
      <c r="C91" s="609"/>
      <c r="D91" s="609"/>
      <c r="E91" s="609" t="s">
        <v>595</v>
      </c>
    </row>
    <row r="92" spans="1:5" ht="15" x14ac:dyDescent="0.2">
      <c r="A92" s="610">
        <v>87</v>
      </c>
      <c r="B92" s="609" t="s">
        <v>584</v>
      </c>
      <c r="C92" s="609" t="s">
        <v>559</v>
      </c>
      <c r="D92" s="609" t="s">
        <v>124</v>
      </c>
      <c r="E92" s="609" t="s">
        <v>590</v>
      </c>
    </row>
    <row r="93" spans="1:5" ht="15" x14ac:dyDescent="0.2">
      <c r="A93" s="610">
        <v>88</v>
      </c>
      <c r="B93" s="609" t="s">
        <v>584</v>
      </c>
      <c r="C93" s="609" t="s">
        <v>568</v>
      </c>
      <c r="D93" s="609" t="s">
        <v>124</v>
      </c>
      <c r="E93" s="609" t="s">
        <v>561</v>
      </c>
    </row>
    <row r="94" spans="1:5" ht="15" x14ac:dyDescent="0.2">
      <c r="A94" s="610">
        <v>89</v>
      </c>
      <c r="B94" s="609" t="s">
        <v>584</v>
      </c>
      <c r="C94" s="609" t="s">
        <v>574</v>
      </c>
      <c r="D94" s="609" t="s">
        <v>124</v>
      </c>
      <c r="E94" s="609" t="s">
        <v>597</v>
      </c>
    </row>
    <row r="95" spans="1:5" ht="15" x14ac:dyDescent="0.2">
      <c r="A95" s="610">
        <v>90</v>
      </c>
      <c r="B95" s="609" t="s">
        <v>584</v>
      </c>
      <c r="C95" s="609" t="s">
        <v>576</v>
      </c>
      <c r="D95" s="609" t="s">
        <v>574</v>
      </c>
      <c r="E95" s="609" t="s">
        <v>544</v>
      </c>
    </row>
    <row r="96" spans="1:5" ht="15" x14ac:dyDescent="0.2">
      <c r="A96" s="610">
        <v>91</v>
      </c>
      <c r="B96" s="609" t="s">
        <v>598</v>
      </c>
      <c r="C96" s="609" t="s">
        <v>599</v>
      </c>
      <c r="D96" s="609" t="s">
        <v>124</v>
      </c>
      <c r="E96" s="609" t="s">
        <v>555</v>
      </c>
    </row>
    <row r="97" spans="1:5" ht="15" x14ac:dyDescent="0.2">
      <c r="A97" s="610">
        <v>92</v>
      </c>
      <c r="B97" s="609" t="s">
        <v>598</v>
      </c>
      <c r="C97" s="609" t="s">
        <v>600</v>
      </c>
      <c r="D97" s="609" t="s">
        <v>124</v>
      </c>
      <c r="E97" s="609" t="s">
        <v>601</v>
      </c>
    </row>
    <row r="98" spans="1:5" ht="15" x14ac:dyDescent="0.2">
      <c r="A98" s="610">
        <v>93</v>
      </c>
      <c r="B98" s="609" t="s">
        <v>598</v>
      </c>
      <c r="C98" s="609" t="s">
        <v>541</v>
      </c>
      <c r="D98" s="609" t="s">
        <v>124</v>
      </c>
      <c r="E98" s="609" t="s">
        <v>510</v>
      </c>
    </row>
    <row r="99" spans="1:5" ht="15" x14ac:dyDescent="0.2">
      <c r="A99" s="610">
        <v>94</v>
      </c>
      <c r="B99" s="609" t="s">
        <v>598</v>
      </c>
      <c r="C99" s="609" t="s">
        <v>543</v>
      </c>
      <c r="D99" s="609" t="s">
        <v>124</v>
      </c>
      <c r="E99" s="609" t="s">
        <v>510</v>
      </c>
    </row>
    <row r="100" spans="1:5" ht="15" x14ac:dyDescent="0.2">
      <c r="A100" s="610">
        <v>95</v>
      </c>
      <c r="B100" s="609" t="s">
        <v>598</v>
      </c>
      <c r="C100" s="609" t="s">
        <v>602</v>
      </c>
      <c r="D100" s="609" t="s">
        <v>124</v>
      </c>
      <c r="E100" s="609" t="s">
        <v>603</v>
      </c>
    </row>
    <row r="101" spans="1:5" ht="15" x14ac:dyDescent="0.2">
      <c r="A101" s="610">
        <v>96</v>
      </c>
      <c r="B101" s="609" t="s">
        <v>598</v>
      </c>
      <c r="C101" s="609" t="s">
        <v>604</v>
      </c>
      <c r="D101" s="609" t="s">
        <v>124</v>
      </c>
      <c r="E101" s="609" t="s">
        <v>603</v>
      </c>
    </row>
    <row r="102" spans="1:5" ht="15" x14ac:dyDescent="0.2">
      <c r="A102" s="610">
        <v>97</v>
      </c>
      <c r="B102" s="609" t="s">
        <v>598</v>
      </c>
      <c r="C102" s="609" t="s">
        <v>550</v>
      </c>
      <c r="D102" s="609" t="s">
        <v>124</v>
      </c>
      <c r="E102" s="609" t="s">
        <v>570</v>
      </c>
    </row>
    <row r="103" spans="1:5" ht="15" x14ac:dyDescent="0.2">
      <c r="A103" s="610">
        <v>98</v>
      </c>
      <c r="B103" s="609" t="s">
        <v>598</v>
      </c>
      <c r="C103" s="609"/>
      <c r="D103" s="609"/>
      <c r="E103" s="609" t="s">
        <v>605</v>
      </c>
    </row>
    <row r="104" spans="1:5" ht="15" x14ac:dyDescent="0.2">
      <c r="A104" s="610">
        <v>99</v>
      </c>
      <c r="B104" s="609" t="s">
        <v>598</v>
      </c>
      <c r="C104" s="609" t="s">
        <v>547</v>
      </c>
      <c r="D104" s="609" t="s">
        <v>124</v>
      </c>
      <c r="E104" s="609" t="s">
        <v>570</v>
      </c>
    </row>
    <row r="105" spans="1:5" ht="15" x14ac:dyDescent="0.2">
      <c r="A105" s="610">
        <v>100</v>
      </c>
      <c r="B105" s="609" t="s">
        <v>598</v>
      </c>
      <c r="C105" s="609"/>
      <c r="D105" s="609"/>
      <c r="E105" s="609" t="s">
        <v>573</v>
      </c>
    </row>
    <row r="106" spans="1:5" ht="15" x14ac:dyDescent="0.2">
      <c r="A106" s="610">
        <v>101</v>
      </c>
      <c r="B106" s="609" t="s">
        <v>598</v>
      </c>
      <c r="C106" s="609" t="s">
        <v>552</v>
      </c>
      <c r="D106" s="609" t="s">
        <v>124</v>
      </c>
      <c r="E106" s="609" t="s">
        <v>606</v>
      </c>
    </row>
    <row r="107" spans="1:5" ht="15" x14ac:dyDescent="0.2">
      <c r="A107" s="610">
        <v>102</v>
      </c>
      <c r="B107" s="609" t="s">
        <v>598</v>
      </c>
      <c r="C107" s="609" t="s">
        <v>553</v>
      </c>
      <c r="D107" s="609" t="s">
        <v>552</v>
      </c>
      <c r="E107" s="609" t="s">
        <v>544</v>
      </c>
    </row>
    <row r="108" spans="1:5" ht="15" x14ac:dyDescent="0.2">
      <c r="A108" s="610">
        <v>103</v>
      </c>
      <c r="B108" s="609" t="s">
        <v>598</v>
      </c>
      <c r="C108" s="609"/>
      <c r="D108" s="609"/>
      <c r="E108" s="609" t="s">
        <v>510</v>
      </c>
    </row>
    <row r="109" spans="1:5" ht="15" x14ac:dyDescent="0.2">
      <c r="A109" s="610">
        <v>104</v>
      </c>
      <c r="B109" s="609" t="s">
        <v>598</v>
      </c>
      <c r="C109" s="609"/>
      <c r="D109" s="609"/>
      <c r="E109" s="609" t="s">
        <v>595</v>
      </c>
    </row>
    <row r="110" spans="1:5" ht="15" x14ac:dyDescent="0.2">
      <c r="A110" s="610">
        <v>105</v>
      </c>
      <c r="B110" s="609" t="s">
        <v>598</v>
      </c>
      <c r="C110" s="609" t="s">
        <v>554</v>
      </c>
      <c r="D110" s="609" t="s">
        <v>124</v>
      </c>
      <c r="E110" s="609" t="s">
        <v>572</v>
      </c>
    </row>
    <row r="111" spans="1:5" ht="15" x14ac:dyDescent="0.2">
      <c r="A111" s="610">
        <v>106</v>
      </c>
      <c r="B111" s="609" t="s">
        <v>598</v>
      </c>
      <c r="C111" s="609" t="s">
        <v>556</v>
      </c>
      <c r="D111" s="609" t="s">
        <v>124</v>
      </c>
      <c r="E111" s="609" t="s">
        <v>607</v>
      </c>
    </row>
    <row r="112" spans="1:5" ht="15" x14ac:dyDescent="0.2">
      <c r="A112" s="610">
        <v>107</v>
      </c>
      <c r="B112" s="609" t="s">
        <v>598</v>
      </c>
      <c r="C112" s="609" t="s">
        <v>557</v>
      </c>
      <c r="D112" s="609" t="s">
        <v>553</v>
      </c>
      <c r="E112" s="609" t="s">
        <v>544</v>
      </c>
    </row>
    <row r="113" spans="1:5" ht="15" x14ac:dyDescent="0.2">
      <c r="A113" s="610">
        <v>108</v>
      </c>
      <c r="B113" s="609" t="s">
        <v>598</v>
      </c>
      <c r="C113" s="609"/>
      <c r="D113" s="609"/>
      <c r="E113" s="609" t="s">
        <v>608</v>
      </c>
    </row>
    <row r="114" spans="1:5" ht="15" x14ac:dyDescent="0.2">
      <c r="A114" s="610">
        <v>109</v>
      </c>
      <c r="B114" s="609" t="s">
        <v>598</v>
      </c>
      <c r="C114" s="609" t="s">
        <v>558</v>
      </c>
      <c r="D114" s="609" t="s">
        <v>554</v>
      </c>
      <c r="E114" s="609" t="s">
        <v>544</v>
      </c>
    </row>
    <row r="115" spans="1:5" ht="15" x14ac:dyDescent="0.2">
      <c r="A115" s="610">
        <v>110</v>
      </c>
      <c r="B115" s="609" t="s">
        <v>598</v>
      </c>
      <c r="C115" s="609"/>
      <c r="D115" s="609"/>
      <c r="E115" s="609" t="s">
        <v>570</v>
      </c>
    </row>
    <row r="116" spans="1:5" ht="15" x14ac:dyDescent="0.2">
      <c r="A116" s="610">
        <v>111</v>
      </c>
      <c r="B116" s="609" t="s">
        <v>598</v>
      </c>
      <c r="C116" s="609" t="s">
        <v>559</v>
      </c>
      <c r="D116" s="609" t="s">
        <v>556</v>
      </c>
      <c r="E116" s="609" t="s">
        <v>544</v>
      </c>
    </row>
    <row r="117" spans="1:5" ht="15" x14ac:dyDescent="0.2">
      <c r="A117" s="610">
        <v>112</v>
      </c>
      <c r="B117" s="609" t="s">
        <v>598</v>
      </c>
      <c r="C117" s="609" t="s">
        <v>609</v>
      </c>
      <c r="D117" s="609" t="s">
        <v>610</v>
      </c>
      <c r="E117" s="609" t="s">
        <v>544</v>
      </c>
    </row>
    <row r="118" spans="1:5" ht="15" x14ac:dyDescent="0.2">
      <c r="A118" s="610">
        <v>113</v>
      </c>
      <c r="B118" s="609" t="s">
        <v>598</v>
      </c>
      <c r="C118" s="609"/>
      <c r="D118" s="609"/>
      <c r="E118" s="609" t="s">
        <v>573</v>
      </c>
    </row>
    <row r="119" spans="1:5" ht="15" x14ac:dyDescent="0.2">
      <c r="A119" s="610">
        <v>114</v>
      </c>
      <c r="B119" s="609" t="s">
        <v>598</v>
      </c>
      <c r="C119" s="609" t="s">
        <v>611</v>
      </c>
      <c r="D119" s="609" t="s">
        <v>612</v>
      </c>
      <c r="E119" s="609" t="s">
        <v>544</v>
      </c>
    </row>
    <row r="120" spans="1:5" ht="15" x14ac:dyDescent="0.2">
      <c r="A120" s="610">
        <v>115</v>
      </c>
      <c r="B120" s="609" t="s">
        <v>598</v>
      </c>
      <c r="C120" s="609"/>
      <c r="D120" s="609"/>
      <c r="E120" s="609" t="s">
        <v>510</v>
      </c>
    </row>
    <row r="121" spans="1:5" ht="15" x14ac:dyDescent="0.2">
      <c r="A121" s="610">
        <v>116</v>
      </c>
      <c r="B121" s="609" t="s">
        <v>598</v>
      </c>
      <c r="C121" s="609"/>
      <c r="D121" s="609"/>
      <c r="E121" s="609" t="s">
        <v>613</v>
      </c>
    </row>
    <row r="122" spans="1:5" ht="15" x14ac:dyDescent="0.2">
      <c r="A122" s="610">
        <v>117</v>
      </c>
      <c r="B122" s="609" t="s">
        <v>598</v>
      </c>
      <c r="C122" s="609" t="s">
        <v>574</v>
      </c>
      <c r="D122" s="609" t="s">
        <v>124</v>
      </c>
      <c r="E122" s="609" t="s">
        <v>597</v>
      </c>
    </row>
    <row r="123" spans="1:5" ht="15" x14ac:dyDescent="0.2">
      <c r="A123" s="610">
        <v>118</v>
      </c>
      <c r="B123" s="609" t="s">
        <v>598</v>
      </c>
      <c r="C123" s="609" t="s">
        <v>124</v>
      </c>
      <c r="D123" s="609" t="s">
        <v>558</v>
      </c>
      <c r="E123" s="609" t="s">
        <v>614</v>
      </c>
    </row>
    <row r="124" spans="1:5" ht="15" x14ac:dyDescent="0.2">
      <c r="A124" s="610">
        <v>119</v>
      </c>
      <c r="B124" s="609" t="s">
        <v>598</v>
      </c>
      <c r="C124" s="609" t="s">
        <v>124</v>
      </c>
      <c r="D124" s="609" t="s">
        <v>559</v>
      </c>
      <c r="E124" s="609" t="s">
        <v>615</v>
      </c>
    </row>
    <row r="125" spans="1:5" ht="15" x14ac:dyDescent="0.2">
      <c r="A125" s="610">
        <v>120</v>
      </c>
      <c r="B125" s="609" t="s">
        <v>598</v>
      </c>
      <c r="C125" s="609" t="s">
        <v>124</v>
      </c>
      <c r="D125" s="609" t="s">
        <v>568</v>
      </c>
      <c r="E125" s="609" t="s">
        <v>616</v>
      </c>
    </row>
    <row r="126" spans="1:5" ht="15" x14ac:dyDescent="0.2">
      <c r="A126" s="610">
        <v>121</v>
      </c>
      <c r="B126" s="609" t="s">
        <v>598</v>
      </c>
      <c r="C126" s="609" t="s">
        <v>124</v>
      </c>
      <c r="D126" s="609" t="s">
        <v>574</v>
      </c>
      <c r="E126" s="609" t="s">
        <v>617</v>
      </c>
    </row>
    <row r="127" spans="1:5" ht="15" x14ac:dyDescent="0.2">
      <c r="A127" s="610">
        <v>122</v>
      </c>
      <c r="B127" s="609" t="s">
        <v>598</v>
      </c>
      <c r="C127" s="609" t="s">
        <v>124</v>
      </c>
      <c r="D127" s="609" t="s">
        <v>576</v>
      </c>
      <c r="E127" s="609" t="s">
        <v>618</v>
      </c>
    </row>
    <row r="128" spans="1:5" ht="15" x14ac:dyDescent="0.2">
      <c r="A128" s="610">
        <v>123</v>
      </c>
      <c r="B128" s="609" t="s">
        <v>598</v>
      </c>
      <c r="C128" s="609" t="s">
        <v>124</v>
      </c>
      <c r="D128" s="609" t="s">
        <v>577</v>
      </c>
      <c r="E128" s="609" t="s">
        <v>619</v>
      </c>
    </row>
    <row r="129" spans="1:5" ht="15" x14ac:dyDescent="0.2">
      <c r="A129" s="610">
        <v>124</v>
      </c>
      <c r="B129" s="609" t="s">
        <v>598</v>
      </c>
      <c r="C129" s="609" t="s">
        <v>124</v>
      </c>
      <c r="D129" s="609" t="s">
        <v>578</v>
      </c>
      <c r="E129" s="609" t="s">
        <v>620</v>
      </c>
    </row>
    <row r="130" spans="1:5" ht="15" x14ac:dyDescent="0.2">
      <c r="A130" s="610">
        <v>125</v>
      </c>
      <c r="B130" s="609" t="s">
        <v>621</v>
      </c>
      <c r="C130" s="609" t="s">
        <v>599</v>
      </c>
      <c r="D130" s="609" t="s">
        <v>124</v>
      </c>
      <c r="E130" s="609" t="s">
        <v>590</v>
      </c>
    </row>
    <row r="131" spans="1:5" ht="15" x14ac:dyDescent="0.2">
      <c r="A131" s="610">
        <v>126</v>
      </c>
      <c r="B131" s="609" t="s">
        <v>621</v>
      </c>
      <c r="C131" s="609" t="s">
        <v>600</v>
      </c>
      <c r="D131" s="609" t="s">
        <v>124</v>
      </c>
      <c r="E131" s="609" t="s">
        <v>590</v>
      </c>
    </row>
    <row r="132" spans="1:5" ht="15" x14ac:dyDescent="0.2">
      <c r="A132" s="610">
        <v>127</v>
      </c>
      <c r="B132" s="609" t="s">
        <v>621</v>
      </c>
      <c r="C132" s="609" t="s">
        <v>622</v>
      </c>
      <c r="D132" s="609" t="s">
        <v>124</v>
      </c>
      <c r="E132" s="609" t="s">
        <v>590</v>
      </c>
    </row>
    <row r="133" spans="1:5" ht="15" x14ac:dyDescent="0.2">
      <c r="A133" s="610">
        <v>128</v>
      </c>
      <c r="B133" s="609" t="s">
        <v>621</v>
      </c>
      <c r="C133" s="609" t="s">
        <v>541</v>
      </c>
      <c r="D133" s="609" t="s">
        <v>124</v>
      </c>
      <c r="E133" s="609" t="s">
        <v>510</v>
      </c>
    </row>
    <row r="134" spans="1:5" ht="15" x14ac:dyDescent="0.2">
      <c r="A134" s="610">
        <v>129</v>
      </c>
      <c r="B134" s="609" t="s">
        <v>621</v>
      </c>
      <c r="C134" s="609"/>
      <c r="D134" s="609"/>
      <c r="E134" s="609" t="s">
        <v>555</v>
      </c>
    </row>
    <row r="135" spans="1:5" ht="15" x14ac:dyDescent="0.2">
      <c r="A135" s="610">
        <v>130</v>
      </c>
      <c r="B135" s="609" t="s">
        <v>621</v>
      </c>
      <c r="C135" s="609" t="s">
        <v>543</v>
      </c>
      <c r="D135" s="609" t="s">
        <v>124</v>
      </c>
      <c r="E135" s="609" t="s">
        <v>623</v>
      </c>
    </row>
    <row r="136" spans="1:5" ht="15" x14ac:dyDescent="0.2">
      <c r="A136" s="610">
        <v>131</v>
      </c>
      <c r="B136" s="609" t="s">
        <v>621</v>
      </c>
      <c r="C136" s="609" t="s">
        <v>545</v>
      </c>
      <c r="D136" s="609" t="s">
        <v>124</v>
      </c>
      <c r="E136" s="609" t="s">
        <v>570</v>
      </c>
    </row>
    <row r="137" spans="1:5" ht="15" x14ac:dyDescent="0.2">
      <c r="A137" s="610">
        <v>132</v>
      </c>
      <c r="B137" s="609" t="s">
        <v>621</v>
      </c>
      <c r="C137" s="609"/>
      <c r="D137" s="609"/>
      <c r="E137" s="609" t="s">
        <v>555</v>
      </c>
    </row>
    <row r="138" spans="1:5" ht="15" x14ac:dyDescent="0.2">
      <c r="A138" s="610">
        <v>133</v>
      </c>
      <c r="B138" s="609" t="s">
        <v>621</v>
      </c>
      <c r="C138" s="609" t="s">
        <v>550</v>
      </c>
      <c r="D138" s="609" t="s">
        <v>124</v>
      </c>
      <c r="E138" s="609" t="s">
        <v>624</v>
      </c>
    </row>
    <row r="139" spans="1:5" ht="15" x14ac:dyDescent="0.2">
      <c r="A139" s="610">
        <v>134</v>
      </c>
      <c r="B139" s="609" t="s">
        <v>621</v>
      </c>
      <c r="C139" s="609"/>
      <c r="D139" s="609"/>
      <c r="E139" s="609" t="s">
        <v>625</v>
      </c>
    </row>
    <row r="140" spans="1:5" ht="15" x14ac:dyDescent="0.2">
      <c r="A140" s="610">
        <v>135</v>
      </c>
      <c r="B140" s="609" t="s">
        <v>621</v>
      </c>
      <c r="C140" s="609"/>
      <c r="D140" s="609"/>
      <c r="E140" s="609" t="s">
        <v>626</v>
      </c>
    </row>
    <row r="141" spans="1:5" ht="15" x14ac:dyDescent="0.2">
      <c r="A141" s="610">
        <v>136</v>
      </c>
      <c r="B141" s="609" t="s">
        <v>621</v>
      </c>
      <c r="C141" s="609" t="s">
        <v>547</v>
      </c>
      <c r="D141" s="609" t="s">
        <v>124</v>
      </c>
      <c r="E141" s="609" t="s">
        <v>564</v>
      </c>
    </row>
    <row r="142" spans="1:5" ht="15" x14ac:dyDescent="0.2">
      <c r="A142" s="610">
        <v>137</v>
      </c>
      <c r="B142" s="609" t="s">
        <v>621</v>
      </c>
      <c r="C142" s="609" t="s">
        <v>552</v>
      </c>
      <c r="D142" s="609" t="s">
        <v>124</v>
      </c>
      <c r="E142" s="609" t="s">
        <v>606</v>
      </c>
    </row>
    <row r="143" spans="1:5" ht="15" x14ac:dyDescent="0.2">
      <c r="A143" s="610">
        <v>138</v>
      </c>
      <c r="B143" s="609" t="s">
        <v>621</v>
      </c>
      <c r="C143" s="609" t="s">
        <v>553</v>
      </c>
      <c r="D143" s="609" t="s">
        <v>552</v>
      </c>
      <c r="E143" s="609" t="s">
        <v>544</v>
      </c>
    </row>
    <row r="144" spans="1:5" ht="15" x14ac:dyDescent="0.2">
      <c r="A144" s="610">
        <v>139</v>
      </c>
      <c r="B144" s="609" t="s">
        <v>621</v>
      </c>
      <c r="C144" s="609"/>
      <c r="D144" s="609"/>
      <c r="E144" s="609" t="s">
        <v>627</v>
      </c>
    </row>
    <row r="145" spans="1:5" ht="15" x14ac:dyDescent="0.2">
      <c r="A145" s="610">
        <v>140</v>
      </c>
      <c r="B145" s="609" t="s">
        <v>621</v>
      </c>
      <c r="C145" s="609"/>
      <c r="D145" s="609"/>
      <c r="E145" s="609" t="s">
        <v>570</v>
      </c>
    </row>
    <row r="146" spans="1:5" ht="15" x14ac:dyDescent="0.2">
      <c r="A146" s="610">
        <v>141</v>
      </c>
      <c r="B146" s="609" t="s">
        <v>621</v>
      </c>
      <c r="C146" s="609" t="s">
        <v>554</v>
      </c>
      <c r="D146" s="609" t="s">
        <v>553</v>
      </c>
      <c r="E146" s="609" t="s">
        <v>544</v>
      </c>
    </row>
    <row r="147" spans="1:5" ht="15" x14ac:dyDescent="0.2">
      <c r="A147" s="610">
        <v>142</v>
      </c>
      <c r="B147" s="609" t="s">
        <v>621</v>
      </c>
      <c r="C147" s="609"/>
      <c r="D147" s="609"/>
      <c r="E147" s="609" t="s">
        <v>564</v>
      </c>
    </row>
    <row r="148" spans="1:5" ht="15" x14ac:dyDescent="0.2">
      <c r="A148" s="610">
        <v>143</v>
      </c>
      <c r="B148" s="609" t="s">
        <v>621</v>
      </c>
      <c r="C148" s="609"/>
      <c r="D148" s="609"/>
      <c r="E148" s="609" t="s">
        <v>561</v>
      </c>
    </row>
    <row r="149" spans="1:5" ht="15" x14ac:dyDescent="0.2">
      <c r="A149" s="610">
        <v>144</v>
      </c>
      <c r="B149" s="609" t="s">
        <v>621</v>
      </c>
      <c r="C149" s="609" t="s">
        <v>556</v>
      </c>
      <c r="D149" s="609" t="s">
        <v>554</v>
      </c>
      <c r="E149" s="609" t="s">
        <v>544</v>
      </c>
    </row>
    <row r="150" spans="1:5" ht="15" x14ac:dyDescent="0.2">
      <c r="A150" s="610">
        <v>145</v>
      </c>
      <c r="B150" s="609" t="s">
        <v>621</v>
      </c>
      <c r="C150" s="609"/>
      <c r="D150" s="609"/>
      <c r="E150" s="609" t="s">
        <v>564</v>
      </c>
    </row>
    <row r="151" spans="1:5" ht="15" x14ac:dyDescent="0.2">
      <c r="A151" s="610">
        <v>146</v>
      </c>
      <c r="B151" s="609" t="s">
        <v>621</v>
      </c>
      <c r="C151" s="609"/>
      <c r="D151" s="609"/>
      <c r="E151" s="609" t="s">
        <v>561</v>
      </c>
    </row>
    <row r="152" spans="1:5" ht="15" x14ac:dyDescent="0.2">
      <c r="A152" s="610">
        <v>147</v>
      </c>
      <c r="B152" s="609" t="s">
        <v>621</v>
      </c>
      <c r="C152" s="609" t="s">
        <v>557</v>
      </c>
      <c r="D152" s="609" t="s">
        <v>556</v>
      </c>
      <c r="E152" s="609" t="s">
        <v>544</v>
      </c>
    </row>
    <row r="153" spans="1:5" ht="15" x14ac:dyDescent="0.2">
      <c r="A153" s="610">
        <v>148</v>
      </c>
      <c r="B153" s="609" t="s">
        <v>621</v>
      </c>
      <c r="C153" s="609"/>
      <c r="D153" s="609"/>
      <c r="E153" s="609" t="s">
        <v>561</v>
      </c>
    </row>
    <row r="154" spans="1:5" ht="15" x14ac:dyDescent="0.2">
      <c r="A154" s="610">
        <v>149</v>
      </c>
      <c r="B154" s="609" t="s">
        <v>621</v>
      </c>
      <c r="C154" s="609" t="s">
        <v>558</v>
      </c>
      <c r="D154" s="609" t="s">
        <v>557</v>
      </c>
      <c r="E154" s="609" t="s">
        <v>544</v>
      </c>
    </row>
    <row r="155" spans="1:5" ht="15" x14ac:dyDescent="0.2">
      <c r="A155" s="610">
        <v>150</v>
      </c>
      <c r="B155" s="609" t="s">
        <v>621</v>
      </c>
      <c r="C155" s="609"/>
      <c r="D155" s="609"/>
      <c r="E155" s="609" t="s">
        <v>603</v>
      </c>
    </row>
    <row r="156" spans="1:5" ht="15" x14ac:dyDescent="0.2">
      <c r="A156" s="610">
        <v>151</v>
      </c>
      <c r="B156" s="609" t="s">
        <v>621</v>
      </c>
      <c r="C156" s="609" t="s">
        <v>559</v>
      </c>
      <c r="D156" s="609" t="s">
        <v>558</v>
      </c>
      <c r="E156" s="609" t="s">
        <v>544</v>
      </c>
    </row>
    <row r="157" spans="1:5" ht="15" x14ac:dyDescent="0.2">
      <c r="A157" s="610">
        <v>152</v>
      </c>
      <c r="B157" s="609" t="s">
        <v>621</v>
      </c>
      <c r="C157" s="609"/>
      <c r="D157" s="609"/>
      <c r="E157" s="609" t="s">
        <v>510</v>
      </c>
    </row>
    <row r="158" spans="1:5" ht="15" x14ac:dyDescent="0.2">
      <c r="A158" s="610">
        <v>153</v>
      </c>
      <c r="B158" s="609" t="s">
        <v>621</v>
      </c>
      <c r="C158" s="609"/>
      <c r="D158" s="609"/>
      <c r="E158" s="609" t="s">
        <v>628</v>
      </c>
    </row>
    <row r="159" spans="1:5" ht="15" x14ac:dyDescent="0.2">
      <c r="A159" s="610">
        <v>154</v>
      </c>
      <c r="B159" s="609" t="s">
        <v>621</v>
      </c>
      <c r="C159" s="609" t="s">
        <v>568</v>
      </c>
      <c r="D159" s="609" t="s">
        <v>124</v>
      </c>
      <c r="E159" s="609" t="s">
        <v>590</v>
      </c>
    </row>
    <row r="160" spans="1:5" ht="15" x14ac:dyDescent="0.2">
      <c r="A160" s="610">
        <v>155</v>
      </c>
      <c r="B160" s="609" t="s">
        <v>621</v>
      </c>
      <c r="C160" s="609" t="s">
        <v>574</v>
      </c>
      <c r="D160" s="609" t="s">
        <v>124</v>
      </c>
      <c r="E160" s="609" t="s">
        <v>629</v>
      </c>
    </row>
    <row r="161" spans="1:5" ht="15" x14ac:dyDescent="0.2">
      <c r="A161" s="610">
        <v>156</v>
      </c>
      <c r="B161" s="609" t="s">
        <v>621</v>
      </c>
      <c r="C161" s="609"/>
      <c r="D161" s="609"/>
      <c r="E161" s="609" t="s">
        <v>630</v>
      </c>
    </row>
    <row r="162" spans="1:5" ht="15" x14ac:dyDescent="0.2">
      <c r="A162" s="610">
        <v>157</v>
      </c>
      <c r="B162" s="609" t="s">
        <v>631</v>
      </c>
      <c r="C162" s="609" t="s">
        <v>585</v>
      </c>
      <c r="D162" s="609" t="s">
        <v>124</v>
      </c>
      <c r="E162" s="609" t="s">
        <v>561</v>
      </c>
    </row>
    <row r="163" spans="1:5" ht="15" x14ac:dyDescent="0.2">
      <c r="A163" s="610">
        <v>158</v>
      </c>
      <c r="B163" s="609" t="s">
        <v>631</v>
      </c>
      <c r="C163" s="609" t="s">
        <v>541</v>
      </c>
      <c r="D163" s="609" t="s">
        <v>124</v>
      </c>
      <c r="E163" s="609" t="s">
        <v>590</v>
      </c>
    </row>
    <row r="164" spans="1:5" ht="15" x14ac:dyDescent="0.2">
      <c r="A164" s="610">
        <v>159</v>
      </c>
      <c r="B164" s="609" t="s">
        <v>631</v>
      </c>
      <c r="C164" s="609" t="s">
        <v>543</v>
      </c>
      <c r="D164" s="609" t="s">
        <v>124</v>
      </c>
      <c r="E164" s="609" t="s">
        <v>590</v>
      </c>
    </row>
    <row r="165" spans="1:5" ht="15" x14ac:dyDescent="0.2">
      <c r="A165" s="610">
        <v>160</v>
      </c>
      <c r="B165" s="609" t="s">
        <v>631</v>
      </c>
      <c r="C165" s="609" t="s">
        <v>545</v>
      </c>
      <c r="D165" s="609" t="s">
        <v>124</v>
      </c>
      <c r="E165" s="609" t="s">
        <v>590</v>
      </c>
    </row>
    <row r="166" spans="1:5" ht="15" x14ac:dyDescent="0.2">
      <c r="A166" s="610">
        <v>161</v>
      </c>
      <c r="B166" s="609" t="s">
        <v>631</v>
      </c>
      <c r="C166" s="609" t="s">
        <v>550</v>
      </c>
      <c r="D166" s="609" t="s">
        <v>124</v>
      </c>
      <c r="E166" s="609" t="s">
        <v>632</v>
      </c>
    </row>
    <row r="167" spans="1:5" ht="15" x14ac:dyDescent="0.2">
      <c r="A167" s="610">
        <v>162</v>
      </c>
      <c r="B167" s="609" t="s">
        <v>631</v>
      </c>
      <c r="C167" s="609" t="s">
        <v>547</v>
      </c>
      <c r="D167" s="609" t="s">
        <v>124</v>
      </c>
      <c r="E167" s="609" t="s">
        <v>590</v>
      </c>
    </row>
    <row r="168" spans="1:5" ht="15" x14ac:dyDescent="0.2">
      <c r="A168" s="610">
        <v>163</v>
      </c>
      <c r="B168" s="609" t="s">
        <v>631</v>
      </c>
      <c r="C168" s="609" t="s">
        <v>552</v>
      </c>
      <c r="D168" s="609" t="s">
        <v>124</v>
      </c>
      <c r="E168" s="609" t="s">
        <v>590</v>
      </c>
    </row>
    <row r="169" spans="1:5" ht="15" x14ac:dyDescent="0.2">
      <c r="A169" s="610">
        <v>164</v>
      </c>
      <c r="B169" s="609" t="s">
        <v>631</v>
      </c>
      <c r="C169" s="609" t="s">
        <v>633</v>
      </c>
      <c r="D169" s="609" t="s">
        <v>124</v>
      </c>
      <c r="E169" s="609" t="s">
        <v>590</v>
      </c>
    </row>
    <row r="170" spans="1:5" ht="15" x14ac:dyDescent="0.2">
      <c r="A170" s="610">
        <v>165</v>
      </c>
      <c r="B170" s="609" t="s">
        <v>631</v>
      </c>
      <c r="C170" s="609" t="s">
        <v>634</v>
      </c>
      <c r="D170" s="609" t="s">
        <v>124</v>
      </c>
      <c r="E170" s="609" t="s">
        <v>590</v>
      </c>
    </row>
    <row r="171" spans="1:5" ht="15" x14ac:dyDescent="0.2">
      <c r="A171" s="610">
        <v>166</v>
      </c>
      <c r="B171" s="609" t="s">
        <v>631</v>
      </c>
      <c r="C171" s="609" t="s">
        <v>635</v>
      </c>
      <c r="D171" s="609" t="s">
        <v>124</v>
      </c>
      <c r="E171" s="609" t="s">
        <v>590</v>
      </c>
    </row>
  </sheetData>
  <autoFilter ref="A5:E171" xr:uid="{00000000-0009-0000-0000-000002000000}">
    <sortState xmlns:xlrd2="http://schemas.microsoft.com/office/spreadsheetml/2017/richdata2" ref="A162:E171">
      <sortCondition ref="A5:A171"/>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U58"/>
  <sheetViews>
    <sheetView showGridLines="0" tabSelected="1" zoomScaleNormal="100" zoomScaleSheetLayoutView="95" workbookViewId="0">
      <pane ySplit="4" topLeftCell="A5" activePane="bottomLeft" state="frozen"/>
      <selection pane="bottomLeft" activeCell="B5" sqref="B5"/>
    </sheetView>
  </sheetViews>
  <sheetFormatPr defaultRowHeight="15" x14ac:dyDescent="0.2"/>
  <cols>
    <col min="1" max="1" width="6.85546875" style="215" customWidth="1"/>
    <col min="2" max="2" width="6.7109375" style="215" customWidth="1"/>
    <col min="3" max="3" width="18.7109375" style="215" customWidth="1"/>
    <col min="4" max="4" width="18.7109375" style="220" customWidth="1"/>
    <col min="5" max="5" width="18" style="215" customWidth="1"/>
    <col min="6" max="6" width="20.7109375" style="215" customWidth="1"/>
    <col min="7" max="7" width="3.7109375" style="215" customWidth="1"/>
    <col min="8" max="12" width="6.7109375" style="215" customWidth="1"/>
    <col min="13" max="13" width="12.7109375" style="215" customWidth="1"/>
    <col min="14" max="16" width="6.7109375" style="215" customWidth="1"/>
    <col min="17" max="16384" width="9.140625" style="215"/>
  </cols>
  <sheetData>
    <row r="1" spans="1:21" ht="9.9499999999999993" customHeight="1" x14ac:dyDescent="0.2">
      <c r="A1" s="312"/>
      <c r="B1" s="313"/>
      <c r="C1" s="313"/>
      <c r="D1" s="314"/>
      <c r="E1" s="313"/>
      <c r="F1" s="313"/>
      <c r="G1" s="313"/>
      <c r="H1" s="313"/>
      <c r="I1" s="313"/>
      <c r="J1" s="313"/>
      <c r="K1" s="313"/>
      <c r="L1" s="301"/>
      <c r="N1" s="189"/>
      <c r="O1" s="189"/>
      <c r="P1" s="189"/>
      <c r="Q1" s="189"/>
      <c r="R1" s="189"/>
      <c r="S1" s="189"/>
      <c r="T1" s="189"/>
      <c r="U1" s="189"/>
    </row>
    <row r="2" spans="1:21" x14ac:dyDescent="0.2">
      <c r="A2" s="316" t="s">
        <v>207</v>
      </c>
      <c r="B2" s="144"/>
      <c r="C2" s="291"/>
      <c r="D2" s="292"/>
      <c r="E2" s="293"/>
      <c r="F2" s="196"/>
      <c r="G2" s="315"/>
      <c r="H2" s="315"/>
      <c r="I2" s="315"/>
      <c r="J2" s="315"/>
      <c r="K2" s="315"/>
      <c r="L2" s="303"/>
      <c r="N2" s="628" t="s">
        <v>671</v>
      </c>
      <c r="O2" s="189"/>
      <c r="P2" s="189"/>
      <c r="Q2" s="189"/>
      <c r="R2" s="189"/>
      <c r="S2" s="189"/>
      <c r="T2" s="189"/>
      <c r="U2" s="189"/>
    </row>
    <row r="3" spans="1:21" ht="15" customHeight="1" x14ac:dyDescent="0.2">
      <c r="A3" s="527" t="s">
        <v>184</v>
      </c>
      <c r="B3" s="528"/>
      <c r="C3" s="664" t="s">
        <v>371</v>
      </c>
      <c r="D3" s="664"/>
      <c r="E3" s="664"/>
      <c r="F3" s="664"/>
      <c r="G3" s="664"/>
      <c r="H3" s="664"/>
      <c r="I3" s="664"/>
      <c r="J3" s="189"/>
      <c r="K3" s="189"/>
      <c r="L3" s="303"/>
      <c r="N3" s="628" t="s">
        <v>672</v>
      </c>
      <c r="O3" s="189"/>
      <c r="P3" s="189"/>
      <c r="Q3" s="189"/>
      <c r="R3" s="189"/>
      <c r="S3" s="189"/>
      <c r="T3" s="189"/>
      <c r="U3" s="189"/>
    </row>
    <row r="4" spans="1:21" x14ac:dyDescent="0.2">
      <c r="A4" s="529" t="s">
        <v>185</v>
      </c>
      <c r="B4" s="530"/>
      <c r="C4" s="665" t="s">
        <v>639</v>
      </c>
      <c r="D4" s="665"/>
      <c r="E4" s="665"/>
      <c r="F4" s="665"/>
      <c r="G4" s="665"/>
      <c r="H4" s="665"/>
      <c r="I4" s="665"/>
      <c r="J4" s="189"/>
      <c r="K4" s="189"/>
      <c r="L4" s="303"/>
      <c r="N4" s="628" t="s">
        <v>669</v>
      </c>
      <c r="O4" s="189"/>
      <c r="P4" s="189"/>
      <c r="Q4" s="189"/>
      <c r="R4" s="189"/>
      <c r="S4" s="189"/>
      <c r="T4" s="189"/>
      <c r="U4" s="189"/>
    </row>
    <row r="5" spans="1:21" x14ac:dyDescent="0.2">
      <c r="A5" s="537"/>
      <c r="B5" s="538"/>
      <c r="C5" s="539"/>
      <c r="D5" s="353"/>
      <c r="E5" s="540"/>
      <c r="F5" s="541"/>
      <c r="G5" s="541"/>
      <c r="H5" s="354"/>
      <c r="I5" s="354"/>
      <c r="J5" s="354"/>
      <c r="K5" s="354"/>
      <c r="L5" s="354"/>
    </row>
    <row r="6" spans="1:21" x14ac:dyDescent="0.2">
      <c r="A6" s="542"/>
      <c r="B6" s="543"/>
      <c r="C6" s="544"/>
      <c r="D6" s="545"/>
      <c r="E6" s="546"/>
      <c r="F6" s="547"/>
      <c r="G6" s="547"/>
      <c r="H6" s="548"/>
      <c r="I6" s="548"/>
      <c r="J6" s="548"/>
      <c r="K6" s="548"/>
      <c r="L6" s="548"/>
    </row>
    <row r="7" spans="1:21" ht="15" customHeight="1" x14ac:dyDescent="0.2">
      <c r="A7" s="531" t="s">
        <v>210</v>
      </c>
      <c r="B7" s="526"/>
      <c r="C7" s="532"/>
      <c r="D7" s="366"/>
      <c r="E7" s="515"/>
      <c r="F7" s="368"/>
      <c r="G7" s="369"/>
      <c r="H7" s="668" t="s">
        <v>19</v>
      </c>
      <c r="I7" s="669"/>
      <c r="J7" s="669"/>
      <c r="K7" s="669"/>
      <c r="L7" s="670"/>
    </row>
    <row r="8" spans="1:21" ht="15" customHeight="1" x14ac:dyDescent="0.2">
      <c r="A8" s="535" t="s">
        <v>209</v>
      </c>
      <c r="B8" s="522" t="s">
        <v>222</v>
      </c>
      <c r="C8" s="523"/>
      <c r="D8" s="365"/>
      <c r="E8" s="524"/>
      <c r="F8" s="525"/>
      <c r="G8" s="189"/>
      <c r="H8" s="671"/>
      <c r="I8" s="672"/>
      <c r="J8" s="672"/>
      <c r="K8" s="672"/>
      <c r="L8" s="673"/>
    </row>
    <row r="9" spans="1:21" ht="15" customHeight="1" x14ac:dyDescent="0.2">
      <c r="A9" s="536" t="s">
        <v>336</v>
      </c>
      <c r="B9" s="518" t="s">
        <v>194</v>
      </c>
      <c r="C9" s="207"/>
      <c r="D9" s="302"/>
      <c r="E9" s="294" t="str">
        <f>IF(A8="Yes",Risk_Pre_Charter!G79,"Not Scored")</f>
        <v>Not Scored</v>
      </c>
      <c r="F9" s="319" t="str">
        <f>IF(AND(E9&gt;=99,E9&lt;234),"Low Risk",IF(AND(E9&gt;=234,E9&lt;368),"Medium Risk",IF(AND(E9&gt;=368,E9&lt;=500),"High Risk","")))</f>
        <v/>
      </c>
      <c r="G9" s="189"/>
      <c r="H9" s="189"/>
      <c r="I9" s="189"/>
      <c r="J9" s="189"/>
      <c r="K9" s="189"/>
      <c r="L9" s="303"/>
    </row>
    <row r="10" spans="1:21" ht="15" customHeight="1" x14ac:dyDescent="0.2">
      <c r="A10" s="661" t="s">
        <v>335</v>
      </c>
      <c r="B10" s="519" t="s">
        <v>195</v>
      </c>
      <c r="C10" s="207"/>
      <c r="D10" s="302"/>
      <c r="E10" s="294" t="str">
        <f>IF(A8="Yes",Complexity_Pre_Charter!G83,"Not Scored")</f>
        <v>Not Scored</v>
      </c>
      <c r="F10" s="320" t="str">
        <f>IF(AND(E10&gt;=99,E10&lt;234),"Low Complexity",IF(AND(E10&gt;=234,E10&lt;368),"Medium Complexity",IF(AND(E10&gt;=368,E10&lt;=500),"High Complexity","")))</f>
        <v/>
      </c>
      <c r="G10" s="189"/>
      <c r="H10" s="189"/>
      <c r="I10" s="189"/>
      <c r="J10" s="189"/>
      <c r="K10" s="189"/>
      <c r="L10" s="303"/>
    </row>
    <row r="11" spans="1:21" ht="15" customHeight="1" x14ac:dyDescent="0.2">
      <c r="A11" s="662"/>
      <c r="B11" s="519"/>
      <c r="C11" s="304"/>
      <c r="D11" s="305"/>
      <c r="E11" s="181"/>
      <c r="F11" s="294"/>
      <c r="G11" s="189"/>
      <c r="H11" s="189"/>
      <c r="I11" s="189"/>
      <c r="J11" s="189"/>
      <c r="K11" s="189"/>
      <c r="L11" s="303"/>
    </row>
    <row r="12" spans="1:21" ht="15" customHeight="1" x14ac:dyDescent="0.2">
      <c r="A12" s="663"/>
      <c r="B12" s="520" t="s">
        <v>19</v>
      </c>
      <c r="C12" s="378"/>
      <c r="D12" s="379"/>
      <c r="E12" s="380"/>
      <c r="F12" s="306" t="str">
        <f>'Project Category Lookup Table'!D10</f>
        <v>Not Scored</v>
      </c>
      <c r="G12" s="189"/>
      <c r="H12" s="189"/>
      <c r="I12" s="189"/>
      <c r="J12" s="189"/>
      <c r="K12" s="189"/>
      <c r="L12" s="303"/>
    </row>
    <row r="13" spans="1:21" ht="15" customHeight="1" x14ac:dyDescent="0.2">
      <c r="A13" s="348"/>
      <c r="B13" s="349"/>
      <c r="C13" s="350"/>
      <c r="D13" s="351"/>
      <c r="E13" s="352"/>
      <c r="F13" s="353"/>
      <c r="G13" s="354"/>
      <c r="H13" s="354"/>
      <c r="I13" s="354"/>
      <c r="J13" s="354"/>
      <c r="K13" s="354"/>
      <c r="L13" s="354"/>
    </row>
    <row r="14" spans="1:21" ht="15" customHeight="1" x14ac:dyDescent="0.2">
      <c r="A14" s="355"/>
      <c r="B14" s="361"/>
      <c r="C14" s="341"/>
      <c r="D14" s="342"/>
      <c r="E14" s="343"/>
      <c r="F14" s="298"/>
      <c r="G14" s="206"/>
      <c r="H14" s="206"/>
      <c r="I14" s="206"/>
      <c r="J14" s="206"/>
      <c r="K14" s="206"/>
      <c r="L14" s="206"/>
    </row>
    <row r="15" spans="1:21" ht="15" customHeight="1" x14ac:dyDescent="0.2">
      <c r="A15" s="531" t="s">
        <v>210</v>
      </c>
      <c r="B15" s="526"/>
      <c r="C15" s="532"/>
      <c r="D15" s="366"/>
      <c r="E15" s="367"/>
      <c r="F15" s="368"/>
      <c r="G15" s="369"/>
      <c r="H15" s="668" t="s">
        <v>19</v>
      </c>
      <c r="I15" s="669"/>
      <c r="J15" s="669"/>
      <c r="K15" s="669"/>
      <c r="L15" s="670"/>
    </row>
    <row r="16" spans="1:21" ht="15" customHeight="1" x14ac:dyDescent="0.2">
      <c r="A16" s="535" t="s">
        <v>209</v>
      </c>
      <c r="B16" s="516" t="s">
        <v>223</v>
      </c>
      <c r="C16" s="362"/>
      <c r="D16" s="363"/>
      <c r="E16" s="364"/>
      <c r="F16" s="365"/>
      <c r="G16" s="189"/>
      <c r="H16" s="671"/>
      <c r="I16" s="672"/>
      <c r="J16" s="672"/>
      <c r="K16" s="672"/>
      <c r="L16" s="673"/>
    </row>
    <row r="17" spans="1:12" ht="15" customHeight="1" x14ac:dyDescent="0.2">
      <c r="A17" s="536" t="s">
        <v>336</v>
      </c>
      <c r="B17" s="518" t="s">
        <v>196</v>
      </c>
      <c r="C17" s="207"/>
      <c r="D17" s="302"/>
      <c r="E17" s="294" t="str">
        <f>IF(AND(A8="No",A16="Yes"),"See Pre-Charter",IF(A16="Yes",Risk_Initiation_Gate!G128,"Not Scored"))</f>
        <v>Not Scored</v>
      </c>
      <c r="F17" s="319" t="str">
        <f>IF(AND(E17&gt;=99,E17&lt;234),"Low Risk",IF(AND(E17&gt;=234,E17&lt;368),"Medium Risk",IF(AND(E17&gt;=368,E17&lt;=500),"High Risk","")))</f>
        <v/>
      </c>
      <c r="G17" s="189"/>
      <c r="H17" s="189"/>
      <c r="I17" s="189"/>
      <c r="J17" s="189"/>
      <c r="K17" s="189"/>
      <c r="L17" s="303"/>
    </row>
    <row r="18" spans="1:12" ht="15" customHeight="1" x14ac:dyDescent="0.2">
      <c r="A18" s="661" t="s">
        <v>335</v>
      </c>
      <c r="B18" s="519" t="s">
        <v>197</v>
      </c>
      <c r="C18" s="207"/>
      <c r="D18" s="302"/>
      <c r="E18" s="294" t="str">
        <f>IF(AND(A8="No",A16="Yes"),"See Pre-Charter",IF(A16="Yes",Complexity_Initiation_Gate!G108,"Not Scored"))</f>
        <v>Not Scored</v>
      </c>
      <c r="F18" s="320" t="str">
        <f>IF(AND(E18&gt;=99,E18&lt;234),"Low Complexity",IF(AND(E18&gt;=234,E18&lt;368),"Medium Complexity",IF(AND(E18&gt;=368,E18&lt;=500),"High Complexity","")))</f>
        <v/>
      </c>
      <c r="G18" s="189"/>
      <c r="H18" s="189"/>
      <c r="I18" s="189"/>
      <c r="J18" s="189"/>
      <c r="K18" s="189"/>
      <c r="L18" s="303"/>
    </row>
    <row r="19" spans="1:12" ht="15" customHeight="1" x14ac:dyDescent="0.2">
      <c r="A19" s="662"/>
      <c r="B19" s="519"/>
      <c r="C19" s="304"/>
      <c r="D19" s="305"/>
      <c r="E19" s="181"/>
      <c r="F19" s="294"/>
      <c r="G19" s="189"/>
      <c r="H19" s="189"/>
      <c r="I19" s="189"/>
      <c r="J19" s="189"/>
      <c r="K19" s="189"/>
      <c r="L19" s="303"/>
    </row>
    <row r="20" spans="1:12" ht="15" customHeight="1" x14ac:dyDescent="0.2">
      <c r="A20" s="663"/>
      <c r="B20" s="521" t="s">
        <v>19</v>
      </c>
      <c r="C20" s="377"/>
      <c r="D20" s="381"/>
      <c r="E20" s="380"/>
      <c r="F20" s="306" t="str">
        <f>'Project Category Lookup Table'!D11</f>
        <v>Not Scored</v>
      </c>
      <c r="G20" s="189"/>
      <c r="H20" s="189"/>
      <c r="I20" s="189"/>
      <c r="J20" s="189"/>
      <c r="K20" s="189"/>
      <c r="L20" s="303"/>
    </row>
    <row r="21" spans="1:12" ht="15" customHeight="1" x14ac:dyDescent="0.2">
      <c r="A21" s="357"/>
      <c r="B21" s="354"/>
      <c r="C21" s="358"/>
      <c r="D21" s="359"/>
      <c r="E21" s="360"/>
      <c r="F21" s="353"/>
      <c r="G21" s="354"/>
      <c r="H21" s="354"/>
      <c r="I21" s="354"/>
      <c r="J21" s="354"/>
      <c r="K21" s="354"/>
      <c r="L21" s="354"/>
    </row>
    <row r="22" spans="1:12" ht="15" customHeight="1" x14ac:dyDescent="0.2">
      <c r="A22" s="356"/>
      <c r="B22" s="206"/>
      <c r="C22" s="346"/>
      <c r="D22" s="344"/>
      <c r="E22" s="345"/>
      <c r="F22" s="298"/>
      <c r="G22" s="206"/>
      <c r="H22" s="206"/>
      <c r="I22" s="206"/>
      <c r="J22" s="206"/>
      <c r="K22" s="206"/>
      <c r="L22" s="206"/>
    </row>
    <row r="23" spans="1:12" ht="15" customHeight="1" x14ac:dyDescent="0.2">
      <c r="A23" s="531" t="s">
        <v>210</v>
      </c>
      <c r="B23" s="526"/>
      <c r="C23" s="532"/>
      <c r="D23" s="366"/>
      <c r="E23" s="367"/>
      <c r="F23" s="368"/>
      <c r="G23" s="369"/>
      <c r="H23" s="668" t="s">
        <v>19</v>
      </c>
      <c r="I23" s="669"/>
      <c r="J23" s="669"/>
      <c r="K23" s="669"/>
      <c r="L23" s="670"/>
    </row>
    <row r="24" spans="1:12" ht="15" customHeight="1" x14ac:dyDescent="0.2">
      <c r="A24" s="535" t="s">
        <v>209</v>
      </c>
      <c r="B24" s="517" t="s">
        <v>224</v>
      </c>
      <c r="C24" s="309"/>
      <c r="D24" s="310"/>
      <c r="E24" s="311"/>
      <c r="F24" s="307"/>
      <c r="G24" s="308"/>
      <c r="H24" s="671"/>
      <c r="I24" s="672"/>
      <c r="J24" s="672"/>
      <c r="K24" s="672"/>
      <c r="L24" s="673"/>
    </row>
    <row r="25" spans="1:12" ht="15" customHeight="1" x14ac:dyDescent="0.2">
      <c r="A25" s="536" t="s">
        <v>336</v>
      </c>
      <c r="B25" s="518" t="s">
        <v>198</v>
      </c>
      <c r="C25" s="207"/>
      <c r="D25" s="302"/>
      <c r="E25" s="294" t="str">
        <f>IF(AND(A8="No",A24="Yes"),"See Initiation",IF(AND(A16="No",A24="Yes"),"See Initiation",IF(A24="Yes",Risk_Planning_Gate!G123,"Not Scored")))</f>
        <v>Not Scored</v>
      </c>
      <c r="F25" s="319" t="str">
        <f>IF(AND(E25&gt;=99,E25&lt;234),"Low Risk",IF(AND(E25&gt;=234,E25&lt;368),"Medium Risk",IF(AND(E25&gt;=368,E25&lt;=500),"High Risk","")))</f>
        <v/>
      </c>
      <c r="G25" s="189"/>
      <c r="H25" s="189"/>
      <c r="I25" s="189"/>
      <c r="J25" s="189"/>
      <c r="K25" s="189"/>
      <c r="L25" s="303"/>
    </row>
    <row r="26" spans="1:12" ht="15" customHeight="1" x14ac:dyDescent="0.2">
      <c r="A26" s="661" t="s">
        <v>335</v>
      </c>
      <c r="B26" s="519" t="s">
        <v>199</v>
      </c>
      <c r="C26" s="207"/>
      <c r="D26" s="302"/>
      <c r="E26" s="294" t="str">
        <f>IF(AND(A8="No",A24="Yes"),"See Initiation",IF(AND(A16="No",A24="Yes"),"See Initiation",IF(A24="Yes",Complexity_Planning_Gate!G109,"Not Scored")))</f>
        <v>Not Scored</v>
      </c>
      <c r="F26" s="320" t="str">
        <f>IF(AND(E26&gt;=99,E26&lt;234),"Low Complexity",IF(AND(E26&gt;=234,E26&lt;368),"Medium Complexity",IF(AND(E26&gt;=368,E26&lt;=500),"High Complexity","")))</f>
        <v/>
      </c>
      <c r="G26" s="189"/>
      <c r="H26" s="189"/>
      <c r="I26" s="189"/>
      <c r="J26" s="189"/>
      <c r="K26" s="189"/>
      <c r="L26" s="303"/>
    </row>
    <row r="27" spans="1:12" ht="15" customHeight="1" x14ac:dyDescent="0.2">
      <c r="A27" s="662"/>
      <c r="B27" s="519"/>
      <c r="C27" s="384" t="s">
        <v>221</v>
      </c>
      <c r="D27" s="305"/>
      <c r="E27" s="181"/>
      <c r="F27" s="294"/>
      <c r="G27" s="189"/>
      <c r="H27" s="189"/>
      <c r="I27" s="189"/>
      <c r="J27" s="189"/>
      <c r="K27" s="189"/>
      <c r="L27" s="303"/>
    </row>
    <row r="28" spans="1:12" ht="15" customHeight="1" x14ac:dyDescent="0.2">
      <c r="A28" s="663"/>
      <c r="B28" s="520" t="s">
        <v>19</v>
      </c>
      <c r="C28" s="378"/>
      <c r="D28" s="379"/>
      <c r="E28" s="380"/>
      <c r="F28" s="347" t="str">
        <f>'Project Category Lookup Table'!D12</f>
        <v>Not Scored</v>
      </c>
      <c r="G28" s="189"/>
      <c r="H28" s="189"/>
      <c r="I28" s="189"/>
      <c r="J28" s="189"/>
      <c r="K28" s="189"/>
      <c r="L28" s="303"/>
    </row>
    <row r="29" spans="1:12" ht="15" customHeight="1" x14ac:dyDescent="0.2">
      <c r="A29" s="357"/>
      <c r="B29" s="354"/>
      <c r="C29" s="358"/>
      <c r="D29" s="359"/>
      <c r="E29" s="360"/>
      <c r="F29" s="353"/>
      <c r="G29" s="354"/>
      <c r="H29" s="354"/>
      <c r="I29" s="354"/>
      <c r="J29" s="354"/>
      <c r="K29" s="354"/>
      <c r="L29" s="354"/>
    </row>
    <row r="30" spans="1:12" ht="15" customHeight="1" x14ac:dyDescent="0.2">
      <c r="A30" s="356"/>
      <c r="B30" s="206"/>
      <c r="C30" s="346"/>
      <c r="D30" s="344"/>
      <c r="E30" s="345"/>
      <c r="F30" s="298"/>
      <c r="G30" s="206"/>
      <c r="H30" s="206"/>
      <c r="I30" s="206"/>
      <c r="J30" s="206"/>
      <c r="K30" s="206"/>
      <c r="L30" s="206"/>
    </row>
    <row r="31" spans="1:12" ht="15" customHeight="1" x14ac:dyDescent="0.2">
      <c r="A31" s="531" t="s">
        <v>210</v>
      </c>
      <c r="B31" s="526"/>
      <c r="C31" s="532"/>
      <c r="D31" s="366"/>
      <c r="E31" s="367"/>
      <c r="F31" s="368"/>
      <c r="G31" s="369"/>
      <c r="H31" s="668" t="s">
        <v>19</v>
      </c>
      <c r="I31" s="669"/>
      <c r="J31" s="669"/>
      <c r="K31" s="669"/>
      <c r="L31" s="670"/>
    </row>
    <row r="32" spans="1:12" ht="15" customHeight="1" x14ac:dyDescent="0.2">
      <c r="A32" s="535" t="s">
        <v>209</v>
      </c>
      <c r="B32" s="516" t="s">
        <v>225</v>
      </c>
      <c r="C32" s="362"/>
      <c r="D32" s="363"/>
      <c r="E32" s="364"/>
      <c r="F32" s="365"/>
      <c r="G32" s="189"/>
      <c r="H32" s="671"/>
      <c r="I32" s="672"/>
      <c r="J32" s="672"/>
      <c r="K32" s="672"/>
      <c r="L32" s="673"/>
    </row>
    <row r="33" spans="1:13" ht="15" customHeight="1" x14ac:dyDescent="0.2">
      <c r="A33" s="536" t="s">
        <v>336</v>
      </c>
      <c r="B33" s="518" t="s">
        <v>200</v>
      </c>
      <c r="C33" s="207"/>
      <c r="D33" s="302"/>
      <c r="E33" s="294" t="str">
        <f>IF(AND(A8="No",A32="Yes"),"See Planning",IF(AND(A16="No",A32="Yes"),"See Planning",IF(AND(A24="No",A32="Yes"),"See Planning",IF(A32="Yes",'Risk_Event-Driven'!G57,"Not Scored"))))</f>
        <v>Not Scored</v>
      </c>
      <c r="F33" s="319" t="str">
        <f>IF(AND(E33&gt;=99,E33&lt;234),"Low Risk",IF(AND(E33&gt;=234,E33&lt;368),"Medium Risk",IF(AND(E33&gt;=368,E33&lt;=500),"High Risk","")))</f>
        <v/>
      </c>
      <c r="G33" s="189"/>
      <c r="H33" s="189"/>
      <c r="I33" s="189"/>
      <c r="J33" s="189"/>
      <c r="K33" s="189"/>
      <c r="L33" s="303"/>
    </row>
    <row r="34" spans="1:13" ht="15" customHeight="1" x14ac:dyDescent="0.2">
      <c r="A34" s="661" t="s">
        <v>335</v>
      </c>
      <c r="B34" s="519" t="s">
        <v>215</v>
      </c>
      <c r="C34" s="207"/>
      <c r="D34" s="302"/>
      <c r="E34" s="294" t="str">
        <f>IF(AND(A8="No",A32="Yes"),"See Planning",IF(AND(A16="No",A32="Yes"),"See Planning",IF(AND(A24="No",A32="Yes"),"See Planning",IF(A32="Yes",'Risk_Event-Driven'!G73,"Not Scored"))))</f>
        <v>Not Scored</v>
      </c>
      <c r="F34" s="387" t="str">
        <f>IF(AND(E34&gt;=99,E34&lt;234),"Low Complexity",IF(AND(E34&gt;=234,E34&lt;368),"Medium Complexity",IF(AND(E34&gt;=368,E34&lt;=500),"High Complexity","")))</f>
        <v/>
      </c>
      <c r="G34" s="189"/>
      <c r="H34" s="189"/>
      <c r="I34" s="189"/>
      <c r="J34" s="189"/>
      <c r="K34" s="189"/>
      <c r="L34" s="303"/>
    </row>
    <row r="35" spans="1:13" ht="15" customHeight="1" x14ac:dyDescent="0.2">
      <c r="A35" s="662"/>
      <c r="B35" s="519"/>
      <c r="C35" s="384" t="s">
        <v>226</v>
      </c>
      <c r="D35" s="305"/>
      <c r="E35" s="181"/>
      <c r="F35" s="294"/>
      <c r="G35" s="189"/>
      <c r="H35" s="189"/>
      <c r="I35" s="189"/>
      <c r="J35" s="189"/>
      <c r="K35" s="189"/>
      <c r="L35" s="303"/>
    </row>
    <row r="36" spans="1:13" ht="15" customHeight="1" x14ac:dyDescent="0.2">
      <c r="A36" s="663"/>
      <c r="B36" s="520" t="s">
        <v>19</v>
      </c>
      <c r="C36" s="378"/>
      <c r="D36" s="379"/>
      <c r="E36" s="380"/>
      <c r="F36" s="306" t="str">
        <f>'Project Category Lookup Table'!D13</f>
        <v>Not Scored</v>
      </c>
      <c r="G36" s="382"/>
      <c r="H36" s="382"/>
      <c r="I36" s="382"/>
      <c r="J36" s="382"/>
      <c r="K36" s="382"/>
      <c r="L36" s="383"/>
    </row>
    <row r="37" spans="1:13" ht="15" customHeight="1" x14ac:dyDescent="0.2">
      <c r="B37" s="182"/>
      <c r="C37" s="296"/>
      <c r="D37" s="297"/>
      <c r="E37" s="182"/>
      <c r="F37" s="298"/>
    </row>
    <row r="38" spans="1:13" ht="15" customHeight="1" x14ac:dyDescent="0.2">
      <c r="B38" s="182"/>
      <c r="C38" s="296"/>
      <c r="D38" s="297"/>
      <c r="E38" s="182"/>
      <c r="F38" s="298"/>
    </row>
    <row r="39" spans="1:13" ht="15" customHeight="1" x14ac:dyDescent="0.2">
      <c r="A39" s="371" t="s">
        <v>218</v>
      </c>
      <c r="B39" s="372"/>
      <c r="C39" s="373"/>
      <c r="D39" s="374"/>
      <c r="E39" s="375"/>
      <c r="F39" s="376"/>
      <c r="G39" s="375"/>
      <c r="H39" s="666" t="s">
        <v>334</v>
      </c>
      <c r="I39" s="666"/>
      <c r="J39" s="666"/>
      <c r="K39" s="666"/>
      <c r="L39" s="667"/>
    </row>
    <row r="40" spans="1:13" ht="15" customHeight="1" x14ac:dyDescent="0.2">
      <c r="A40" s="533"/>
      <c r="B40" s="519" t="s">
        <v>216</v>
      </c>
      <c r="C40" s="207"/>
      <c r="D40" s="302"/>
      <c r="E40" s="294" t="str">
        <f>IF('Risk_Event-Driven'!G76=0,"Not Scored",'Risk_Event-Driven'!G76)</f>
        <v>Not Scored</v>
      </c>
      <c r="F40" s="370" t="str">
        <f>IF(AND(E40&gt;=99,E40&lt;234),"Low Risk",IF(AND(E40&gt;=234,E40&lt;368),"Medium Risk",IF(AND(E40&gt;=368,E40&lt;=500),"High Risk","")))</f>
        <v/>
      </c>
      <c r="G40" s="189"/>
      <c r="H40" s="189"/>
      <c r="I40" s="189"/>
      <c r="J40" s="189"/>
      <c r="K40" s="189"/>
      <c r="L40" s="303"/>
    </row>
    <row r="41" spans="1:13" ht="15" customHeight="1" x14ac:dyDescent="0.2">
      <c r="A41" s="533"/>
      <c r="B41" s="519" t="s">
        <v>217</v>
      </c>
      <c r="C41" s="207"/>
      <c r="D41" s="302"/>
      <c r="E41" s="294" t="str">
        <f>IF(Complexity_Planning_Gate!G124&gt;0,Complexity_Planning_Gate!G124,"Not Scored")</f>
        <v>Not Scored</v>
      </c>
      <c r="F41" s="320" t="str">
        <f>IF(AND(E41&gt;=99,E41&lt;234),"Low Complexity",IF(AND(E41&gt;=234,E41&lt;368),"Medium Complexity",IF(AND(E41&gt;=368,E41&lt;=500),"High Complexity","")))</f>
        <v/>
      </c>
      <c r="G41" s="189"/>
      <c r="H41" s="189"/>
      <c r="I41" s="189"/>
      <c r="J41" s="189"/>
      <c r="K41" s="189"/>
      <c r="L41" s="303"/>
    </row>
    <row r="42" spans="1:13" ht="15" customHeight="1" x14ac:dyDescent="0.2">
      <c r="A42" s="533"/>
      <c r="B42" s="519"/>
      <c r="C42" s="304"/>
      <c r="D42" s="305"/>
      <c r="E42" s="181"/>
      <c r="F42" s="294"/>
      <c r="G42" s="189"/>
      <c r="H42" s="189"/>
      <c r="I42" s="189"/>
      <c r="J42" s="189"/>
      <c r="K42" s="189"/>
      <c r="L42" s="303"/>
    </row>
    <row r="43" spans="1:13" ht="15" customHeight="1" x14ac:dyDescent="0.2">
      <c r="A43" s="534"/>
      <c r="B43" s="520" t="s">
        <v>19</v>
      </c>
      <c r="C43" s="378"/>
      <c r="D43" s="379"/>
      <c r="E43" s="380"/>
      <c r="F43" s="306" t="str">
        <f>'Project Category Lookup Table'!D13</f>
        <v>Not Scored</v>
      </c>
      <c r="G43" s="382"/>
      <c r="H43" s="382"/>
      <c r="I43" s="382"/>
      <c r="J43" s="382"/>
      <c r="K43" s="382"/>
      <c r="L43" s="383"/>
    </row>
    <row r="44" spans="1:13" ht="15" customHeight="1" x14ac:dyDescent="0.2">
      <c r="B44" s="182"/>
      <c r="C44" s="296"/>
      <c r="D44" s="297"/>
      <c r="E44" s="182"/>
      <c r="F44" s="298"/>
    </row>
    <row r="45" spans="1:13" ht="15" customHeight="1" x14ac:dyDescent="0.2">
      <c r="B45" s="182"/>
      <c r="C45" s="296"/>
      <c r="D45" s="297"/>
      <c r="E45" s="182"/>
      <c r="F45" s="298"/>
    </row>
    <row r="46" spans="1:13" ht="15" customHeight="1" x14ac:dyDescent="0.2">
      <c r="B46" s="182"/>
      <c r="C46" s="296"/>
      <c r="D46" s="297"/>
      <c r="E46" s="182"/>
      <c r="F46" s="298"/>
    </row>
    <row r="47" spans="1:13" ht="15.75" thickBot="1" x14ac:dyDescent="0.25">
      <c r="A47" s="336" t="s">
        <v>211</v>
      </c>
      <c r="B47" s="337"/>
      <c r="C47" s="338"/>
      <c r="D47" s="339"/>
      <c r="E47" s="338"/>
      <c r="F47" s="338"/>
      <c r="G47" s="338"/>
      <c r="H47" s="338"/>
      <c r="I47" s="338"/>
      <c r="J47" s="338"/>
      <c r="K47" s="338"/>
      <c r="L47" s="340"/>
    </row>
    <row r="48" spans="1:13" customFormat="1" ht="6" customHeight="1" x14ac:dyDescent="0.3">
      <c r="A48" s="395" t="s">
        <v>3</v>
      </c>
      <c r="B48" s="396"/>
      <c r="C48" s="397"/>
      <c r="D48" s="397"/>
      <c r="E48" s="397"/>
      <c r="F48" s="397"/>
      <c r="G48" s="397"/>
      <c r="H48" s="397"/>
      <c r="I48" s="397"/>
      <c r="J48" s="398"/>
      <c r="K48" s="398"/>
      <c r="L48" s="399"/>
      <c r="M48" s="3"/>
    </row>
    <row r="49" spans="1:13" customFormat="1" ht="15" customHeight="1" x14ac:dyDescent="0.2">
      <c r="A49" s="674" t="s">
        <v>227</v>
      </c>
      <c r="B49" s="677"/>
      <c r="C49" s="677"/>
      <c r="D49" s="677"/>
      <c r="E49" s="677"/>
      <c r="F49" s="677"/>
      <c r="G49" s="677"/>
      <c r="H49" s="677"/>
      <c r="I49" s="677"/>
      <c r="J49" s="677"/>
      <c r="K49" s="677"/>
      <c r="L49" s="678"/>
      <c r="M49" s="3"/>
    </row>
    <row r="50" spans="1:13" customFormat="1" ht="15" customHeight="1" x14ac:dyDescent="0.2">
      <c r="A50" s="679"/>
      <c r="B50" s="677"/>
      <c r="C50" s="677"/>
      <c r="D50" s="677"/>
      <c r="E50" s="677"/>
      <c r="F50" s="677"/>
      <c r="G50" s="677"/>
      <c r="H50" s="677"/>
      <c r="I50" s="677"/>
      <c r="J50" s="677"/>
      <c r="K50" s="677"/>
      <c r="L50" s="678"/>
      <c r="M50" s="3"/>
    </row>
    <row r="51" spans="1:13" customFormat="1" ht="149.25" customHeight="1" x14ac:dyDescent="0.2">
      <c r="A51" s="679"/>
      <c r="B51" s="677"/>
      <c r="C51" s="677"/>
      <c r="D51" s="677"/>
      <c r="E51" s="677"/>
      <c r="F51" s="677"/>
      <c r="G51" s="677"/>
      <c r="H51" s="677"/>
      <c r="I51" s="677"/>
      <c r="J51" s="677"/>
      <c r="K51" s="677"/>
      <c r="L51" s="678"/>
      <c r="M51" s="3"/>
    </row>
    <row r="52" spans="1:13" customFormat="1" x14ac:dyDescent="0.2">
      <c r="A52" s="680" t="s">
        <v>343</v>
      </c>
      <c r="B52" s="681"/>
      <c r="C52" s="681"/>
      <c r="D52" s="681"/>
      <c r="E52" s="681"/>
      <c r="F52" s="681"/>
      <c r="G52" s="681"/>
      <c r="H52" s="681"/>
      <c r="I52" s="681"/>
      <c r="J52" s="681"/>
      <c r="K52" s="681"/>
      <c r="L52" s="682"/>
      <c r="M52" s="3"/>
    </row>
    <row r="53" spans="1:13" customFormat="1" ht="30" customHeight="1" x14ac:dyDescent="0.2">
      <c r="A53" s="680" t="s">
        <v>344</v>
      </c>
      <c r="B53" s="681"/>
      <c r="C53" s="681"/>
      <c r="D53" s="681"/>
      <c r="E53" s="681"/>
      <c r="F53" s="681"/>
      <c r="G53" s="681"/>
      <c r="H53" s="681"/>
      <c r="I53" s="681"/>
      <c r="J53" s="681"/>
      <c r="K53" s="681"/>
      <c r="L53" s="682"/>
      <c r="M53" s="3"/>
    </row>
    <row r="54" spans="1:13" customFormat="1" ht="30" customHeight="1" x14ac:dyDescent="0.2">
      <c r="A54" s="680" t="s">
        <v>345</v>
      </c>
      <c r="B54" s="681"/>
      <c r="C54" s="681"/>
      <c r="D54" s="681"/>
      <c r="E54" s="681"/>
      <c r="F54" s="681"/>
      <c r="G54" s="681"/>
      <c r="H54" s="681"/>
      <c r="I54" s="681"/>
      <c r="J54" s="681"/>
      <c r="K54" s="681"/>
      <c r="L54" s="682"/>
      <c r="M54" s="3"/>
    </row>
    <row r="55" spans="1:13" customFormat="1" x14ac:dyDescent="0.2">
      <c r="A55" s="680" t="s">
        <v>346</v>
      </c>
      <c r="B55" s="681"/>
      <c r="C55" s="681"/>
      <c r="D55" s="681"/>
      <c r="E55" s="681"/>
      <c r="F55" s="681"/>
      <c r="G55" s="681"/>
      <c r="H55" s="681"/>
      <c r="I55" s="681"/>
      <c r="J55" s="681"/>
      <c r="K55" s="681"/>
      <c r="L55" s="682"/>
      <c r="M55" s="3"/>
    </row>
    <row r="56" spans="1:13" customFormat="1" x14ac:dyDescent="0.2">
      <c r="A56" s="404"/>
      <c r="B56" s="405"/>
      <c r="C56" s="405"/>
      <c r="D56" s="405"/>
      <c r="E56" s="405"/>
      <c r="F56" s="405"/>
      <c r="G56" s="405"/>
      <c r="H56" s="405"/>
      <c r="I56" s="405"/>
      <c r="J56" s="405"/>
      <c r="K56" s="405"/>
      <c r="L56" s="406"/>
      <c r="M56" s="3"/>
    </row>
    <row r="57" spans="1:13" customFormat="1" ht="60" customHeight="1" x14ac:dyDescent="0.2">
      <c r="A57" s="674" t="s">
        <v>301</v>
      </c>
      <c r="B57" s="675"/>
      <c r="C57" s="675"/>
      <c r="D57" s="675"/>
      <c r="E57" s="675"/>
      <c r="F57" s="675"/>
      <c r="G57" s="675"/>
      <c r="H57" s="675"/>
      <c r="I57" s="675"/>
      <c r="J57" s="675"/>
      <c r="K57" s="675"/>
      <c r="L57" s="676"/>
      <c r="M57" s="3"/>
    </row>
    <row r="58" spans="1:13" customFormat="1" ht="12.75" x14ac:dyDescent="0.2">
      <c r="A58" s="400"/>
      <c r="B58" s="401"/>
      <c r="C58" s="401"/>
      <c r="D58" s="401"/>
      <c r="E58" s="401"/>
      <c r="F58" s="401"/>
      <c r="G58" s="401"/>
      <c r="H58" s="401"/>
      <c r="I58" s="401"/>
      <c r="J58" s="402"/>
      <c r="K58" s="402"/>
      <c r="L58" s="403"/>
      <c r="M58" s="3"/>
    </row>
  </sheetData>
  <sheetProtection algorithmName="SHA-512" hashValue="2AYdPAST5XZJ5ayuWbTUnq6a923x3Ln46075Pm4ht0LMEYu056QchLCNvUIIzSw6nZdVlsMLTA/VHgQp4ZWg8w==" saltValue="VKdPOBgMc9xbQBqVOZ6bYQ==" spinCount="100000" sheet="1" selectLockedCells="1"/>
  <mergeCells count="17">
    <mergeCell ref="A57:L57"/>
    <mergeCell ref="A49:L51"/>
    <mergeCell ref="A52:L52"/>
    <mergeCell ref="A53:L53"/>
    <mergeCell ref="A54:L54"/>
    <mergeCell ref="A55:L55"/>
    <mergeCell ref="H39:L39"/>
    <mergeCell ref="H7:L8"/>
    <mergeCell ref="H15:L16"/>
    <mergeCell ref="H23:L24"/>
    <mergeCell ref="H31:L32"/>
    <mergeCell ref="A10:A12"/>
    <mergeCell ref="A18:A20"/>
    <mergeCell ref="A34:A36"/>
    <mergeCell ref="A26:A28"/>
    <mergeCell ref="C3:I3"/>
    <mergeCell ref="C4:I4"/>
  </mergeCells>
  <conditionalFormatting sqref="F12">
    <cfRule type="containsText" dxfId="686" priority="62" operator="containsText" text="Not Scored">
      <formula>NOT(ISERROR(SEARCH("Not Scored",F12)))</formula>
    </cfRule>
    <cfRule type="cellIs" dxfId="685" priority="119" operator="between">
      <formula>1</formula>
      <formula>1</formula>
    </cfRule>
    <cfRule type="cellIs" dxfId="684" priority="120" operator="between">
      <formula>2</formula>
      <formula>3</formula>
    </cfRule>
    <cfRule type="cellIs" dxfId="683" priority="121" operator="between">
      <formula>4</formula>
      <formula>4</formula>
    </cfRule>
  </conditionalFormatting>
  <conditionalFormatting sqref="F9">
    <cfRule type="containsText" dxfId="682" priority="84" operator="containsText" text="Not Scored">
      <formula>NOT(ISERROR(SEARCH("Not Scored",F9)))</formula>
    </cfRule>
    <cfRule type="containsText" dxfId="681" priority="103" operator="containsText" text="Low">
      <formula>NOT(ISERROR(SEARCH("Low",F9)))</formula>
    </cfRule>
    <cfRule type="containsText" dxfId="680" priority="104" operator="containsText" text="Medium">
      <formula>NOT(ISERROR(SEARCH("Medium",F9)))</formula>
    </cfRule>
    <cfRule type="containsText" dxfId="679" priority="105" operator="containsText" text="High">
      <formula>NOT(ISERROR(SEARCH("High",F9)))</formula>
    </cfRule>
  </conditionalFormatting>
  <conditionalFormatting sqref="F10">
    <cfRule type="containsText" dxfId="678" priority="83" operator="containsText" text="Not Scored">
      <formula>NOT(ISERROR(SEARCH("Not Scored",F10)))</formula>
    </cfRule>
    <cfRule type="containsText" dxfId="677" priority="100" operator="containsText" text="Low">
      <formula>NOT(ISERROR(SEARCH("Low",F10)))</formula>
    </cfRule>
    <cfRule type="containsText" dxfId="676" priority="101" operator="containsText" text="Medium">
      <formula>NOT(ISERROR(SEARCH("Medium",F10)))</formula>
    </cfRule>
    <cfRule type="containsText" dxfId="675" priority="102" operator="containsText" text="High">
      <formula>NOT(ISERROR(SEARCH("High",F10)))</formula>
    </cfRule>
  </conditionalFormatting>
  <conditionalFormatting sqref="F17">
    <cfRule type="containsText" dxfId="674" priority="76" operator="containsText" text="Not Scored">
      <formula>NOT(ISERROR(SEARCH("Not Scored",F17)))</formula>
    </cfRule>
    <cfRule type="containsText" dxfId="673" priority="80" operator="containsText" text="Low">
      <formula>NOT(ISERROR(SEARCH("Low",F17)))</formula>
    </cfRule>
    <cfRule type="containsText" dxfId="672" priority="81" operator="containsText" text="Medium">
      <formula>NOT(ISERROR(SEARCH("Medium",F17)))</formula>
    </cfRule>
    <cfRule type="containsText" dxfId="671" priority="82" operator="containsText" text="High">
      <formula>NOT(ISERROR(SEARCH("High",F17)))</formula>
    </cfRule>
  </conditionalFormatting>
  <conditionalFormatting sqref="F18">
    <cfRule type="containsText" dxfId="670" priority="75" operator="containsText" text="Not Scored">
      <formula>NOT(ISERROR(SEARCH("Not Scored",F18)))</formula>
    </cfRule>
    <cfRule type="containsText" dxfId="669" priority="77" operator="containsText" text="Low">
      <formula>NOT(ISERROR(SEARCH("Low",F18)))</formula>
    </cfRule>
    <cfRule type="containsText" dxfId="668" priority="78" operator="containsText" text="Medium">
      <formula>NOT(ISERROR(SEARCH("Medium",F18)))</formula>
    </cfRule>
    <cfRule type="containsText" dxfId="667" priority="79" operator="containsText" text="High">
      <formula>NOT(ISERROR(SEARCH("High",F18)))</formula>
    </cfRule>
  </conditionalFormatting>
  <conditionalFormatting sqref="F25">
    <cfRule type="containsText" dxfId="666" priority="68" operator="containsText" text="Not Scored">
      <formula>NOT(ISERROR(SEARCH("Not Scored",F25)))</formula>
    </cfRule>
    <cfRule type="containsText" dxfId="665" priority="72" operator="containsText" text="Low">
      <formula>NOT(ISERROR(SEARCH("Low",F25)))</formula>
    </cfRule>
    <cfRule type="containsText" dxfId="664" priority="73" operator="containsText" text="Medium">
      <formula>NOT(ISERROR(SEARCH("Medium",F25)))</formula>
    </cfRule>
    <cfRule type="containsText" dxfId="663" priority="74" operator="containsText" text="High">
      <formula>NOT(ISERROR(SEARCH("High",F25)))</formula>
    </cfRule>
  </conditionalFormatting>
  <conditionalFormatting sqref="F26">
    <cfRule type="containsText" dxfId="662" priority="67" operator="containsText" text="Not Scored">
      <formula>NOT(ISERROR(SEARCH("Not Scored",F26)))</formula>
    </cfRule>
    <cfRule type="containsText" dxfId="661" priority="69" operator="containsText" text="Low">
      <formula>NOT(ISERROR(SEARCH("Low",F26)))</formula>
    </cfRule>
    <cfRule type="containsText" dxfId="660" priority="70" operator="containsText" text="Medium">
      <formula>NOT(ISERROR(SEARCH("Medium",F26)))</formula>
    </cfRule>
    <cfRule type="containsText" dxfId="659" priority="71" operator="containsText" text="High">
      <formula>NOT(ISERROR(SEARCH("High",F26)))</formula>
    </cfRule>
  </conditionalFormatting>
  <conditionalFormatting sqref="F33">
    <cfRule type="containsText" dxfId="658" priority="63" operator="containsText" text="Not Scored">
      <formula>NOT(ISERROR(SEARCH("Not Scored",F33)))</formula>
    </cfRule>
    <cfRule type="containsText" dxfId="657" priority="64" operator="containsText" text="Low">
      <formula>NOT(ISERROR(SEARCH("Low",F33)))</formula>
    </cfRule>
    <cfRule type="containsText" dxfId="656" priority="65" operator="containsText" text="Medium">
      <formula>NOT(ISERROR(SEARCH("Medium",F33)))</formula>
    </cfRule>
    <cfRule type="containsText" dxfId="655" priority="66" operator="containsText" text="High">
      <formula>NOT(ISERROR(SEARCH("High",F33)))</formula>
    </cfRule>
  </conditionalFormatting>
  <conditionalFormatting sqref="F34">
    <cfRule type="containsText" dxfId="654" priority="18" operator="containsText" text="See Planning">
      <formula>NOT(ISERROR(SEARCH("See Planning",F34)))</formula>
    </cfRule>
    <cfRule type="containsText" dxfId="653" priority="55" operator="containsText" text="Not Scored">
      <formula>NOT(ISERROR(SEARCH("Not Scored",F34)))</formula>
    </cfRule>
    <cfRule type="containsText" dxfId="652" priority="56" operator="containsText" text="Low">
      <formula>NOT(ISERROR(SEARCH("Low",F34)))</formula>
    </cfRule>
    <cfRule type="containsText" dxfId="651" priority="57" operator="containsText" text="Medium">
      <formula>NOT(ISERROR(SEARCH("Medium",F34)))</formula>
    </cfRule>
    <cfRule type="containsText" dxfId="650" priority="58" operator="containsText" text="High">
      <formula>NOT(ISERROR(SEARCH("High",F34)))</formula>
    </cfRule>
  </conditionalFormatting>
  <conditionalFormatting sqref="F41">
    <cfRule type="containsText" dxfId="649" priority="35" operator="containsText" text="Not Scored">
      <formula>NOT(ISERROR(SEARCH("Not Scored",F41)))</formula>
    </cfRule>
    <cfRule type="containsText" dxfId="648" priority="36" operator="containsText" text="Low">
      <formula>NOT(ISERROR(SEARCH("Low",F41)))</formula>
    </cfRule>
    <cfRule type="containsText" dxfId="647" priority="37" operator="containsText" text="Medium">
      <formula>NOT(ISERROR(SEARCH("Medium",F41)))</formula>
    </cfRule>
    <cfRule type="containsText" dxfId="646" priority="38" operator="containsText" text="High">
      <formula>NOT(ISERROR(SEARCH("High",F41)))</formula>
    </cfRule>
  </conditionalFormatting>
  <conditionalFormatting sqref="F40">
    <cfRule type="containsText" dxfId="645" priority="39" operator="containsText" text="Not Scored">
      <formula>NOT(ISERROR(SEARCH("Not Scored",F40)))</formula>
    </cfRule>
    <cfRule type="containsText" dxfId="644" priority="40" operator="containsText" text="Low">
      <formula>NOT(ISERROR(SEARCH("Low",F40)))</formula>
    </cfRule>
    <cfRule type="containsText" dxfId="643" priority="41" operator="containsText" text="Medium">
      <formula>NOT(ISERROR(SEARCH("Medium",F40)))</formula>
    </cfRule>
    <cfRule type="containsText" dxfId="642" priority="42" operator="containsText" text="High">
      <formula>NOT(ISERROR(SEARCH("High",F40)))</formula>
    </cfRule>
  </conditionalFormatting>
  <conditionalFormatting sqref="F20">
    <cfRule type="containsText" dxfId="641" priority="31" operator="containsText" text="Not Scored">
      <formula>NOT(ISERROR(SEARCH("Not Scored",F20)))</formula>
    </cfRule>
    <cfRule type="cellIs" dxfId="640" priority="32" operator="between">
      <formula>1</formula>
      <formula>1</formula>
    </cfRule>
    <cfRule type="cellIs" dxfId="639" priority="33" operator="between">
      <formula>2</formula>
      <formula>3</formula>
    </cfRule>
    <cfRule type="cellIs" dxfId="638" priority="34" operator="between">
      <formula>4</formula>
      <formula>4</formula>
    </cfRule>
  </conditionalFormatting>
  <conditionalFormatting sqref="F28">
    <cfRule type="containsText" dxfId="637" priority="27" operator="containsText" text="Not Scored">
      <formula>NOT(ISERROR(SEARCH("Not Scored",F28)))</formula>
    </cfRule>
    <cfRule type="cellIs" dxfId="636" priority="28" operator="between">
      <formula>1</formula>
      <formula>1</formula>
    </cfRule>
    <cfRule type="cellIs" dxfId="635" priority="29" operator="between">
      <formula>2</formula>
      <formula>3</formula>
    </cfRule>
    <cfRule type="cellIs" dxfId="634" priority="30" operator="between">
      <formula>4</formula>
      <formula>4</formula>
    </cfRule>
  </conditionalFormatting>
  <conditionalFormatting sqref="F36">
    <cfRule type="containsText" dxfId="633" priority="23" operator="containsText" text="Not Scored">
      <formula>NOT(ISERROR(SEARCH("Not Scored",F36)))</formula>
    </cfRule>
    <cfRule type="cellIs" dxfId="632" priority="24" operator="between">
      <formula>1</formula>
      <formula>1</formula>
    </cfRule>
    <cfRule type="cellIs" dxfId="631" priority="25" operator="between">
      <formula>2</formula>
      <formula>3</formula>
    </cfRule>
    <cfRule type="cellIs" dxfId="630" priority="26" operator="between">
      <formula>4</formula>
      <formula>4</formula>
    </cfRule>
  </conditionalFormatting>
  <conditionalFormatting sqref="F43">
    <cfRule type="containsText" dxfId="629" priority="19" operator="containsText" text="Not Scored">
      <formula>NOT(ISERROR(SEARCH("Not Scored",F43)))</formula>
    </cfRule>
    <cfRule type="cellIs" dxfId="628" priority="20" operator="between">
      <formula>1</formula>
      <formula>1</formula>
    </cfRule>
    <cfRule type="cellIs" dxfId="627" priority="21" operator="between">
      <formula>2</formula>
      <formula>3</formula>
    </cfRule>
    <cfRule type="cellIs" dxfId="626" priority="22" operator="between">
      <formula>4</formula>
      <formula>4</formula>
    </cfRule>
  </conditionalFormatting>
  <conditionalFormatting sqref="E34">
    <cfRule type="containsText" dxfId="625" priority="3" operator="containsText" text="Not">
      <formula>NOT(ISERROR(SEARCH("Not",E34)))</formula>
    </cfRule>
    <cfRule type="containsText" dxfId="624" priority="16" operator="containsText" text="See">
      <formula>NOT(ISERROR(SEARCH("See",E34)))</formula>
    </cfRule>
  </conditionalFormatting>
  <conditionalFormatting sqref="E17">
    <cfRule type="containsText" dxfId="623" priority="8" operator="containsText" text="Not">
      <formula>NOT(ISERROR(SEARCH("Not",E17)))</formula>
    </cfRule>
    <cfRule type="containsText" dxfId="622" priority="15" operator="containsText" text="See">
      <formula>NOT(ISERROR(SEARCH("See",E17)))</formula>
    </cfRule>
  </conditionalFormatting>
  <conditionalFormatting sqref="E18">
    <cfRule type="containsText" dxfId="621" priority="7" operator="containsText" text="Not">
      <formula>NOT(ISERROR(SEARCH("Not",E18)))</formula>
    </cfRule>
    <cfRule type="containsText" dxfId="620" priority="14" operator="containsText" text="See">
      <formula>NOT(ISERROR(SEARCH("See",E18)))</formula>
    </cfRule>
  </conditionalFormatting>
  <conditionalFormatting sqref="E25">
    <cfRule type="containsText" dxfId="619" priority="6" operator="containsText" text="Not">
      <formula>NOT(ISERROR(SEARCH("Not",E25)))</formula>
    </cfRule>
    <cfRule type="containsText" dxfId="618" priority="13" operator="containsText" text="See">
      <formula>NOT(ISERROR(SEARCH("See",E25)))</formula>
    </cfRule>
  </conditionalFormatting>
  <conditionalFormatting sqref="E26">
    <cfRule type="containsText" dxfId="617" priority="5" operator="containsText" text="Not">
      <formula>NOT(ISERROR(SEARCH("Not",E26)))</formula>
    </cfRule>
    <cfRule type="containsText" dxfId="616" priority="12" operator="containsText" text="See">
      <formula>NOT(ISERROR(SEARCH("See",E26)))</formula>
    </cfRule>
  </conditionalFormatting>
  <conditionalFormatting sqref="E33">
    <cfRule type="containsText" dxfId="615" priority="4" operator="containsText" text="Not">
      <formula>NOT(ISERROR(SEARCH("Not",E33)))</formula>
    </cfRule>
    <cfRule type="containsText" dxfId="614" priority="11" operator="containsText" text="See">
      <formula>NOT(ISERROR(SEARCH("See",E33)))</formula>
    </cfRule>
  </conditionalFormatting>
  <conditionalFormatting sqref="E9">
    <cfRule type="containsText" dxfId="613" priority="10" operator="containsText" text="Not">
      <formula>NOT(ISERROR(SEARCH("Not",E9)))</formula>
    </cfRule>
  </conditionalFormatting>
  <conditionalFormatting sqref="E10">
    <cfRule type="containsText" dxfId="612" priority="9" operator="containsText" text="Not">
      <formula>NOT(ISERROR(SEARCH("Not",E10)))</formula>
    </cfRule>
  </conditionalFormatting>
  <conditionalFormatting sqref="E40">
    <cfRule type="containsText" dxfId="611" priority="2" operator="containsText" text="Not">
      <formula>NOT(ISERROR(SEARCH("Not",E40)))</formula>
    </cfRule>
  </conditionalFormatting>
  <conditionalFormatting sqref="E41">
    <cfRule type="containsText" dxfId="610" priority="1" operator="containsText" text="Not">
      <formula>NOT(ISERROR(SEARCH("Not",E41)))</formula>
    </cfRule>
  </conditionalFormatting>
  <pageMargins left="0.5" right="0.5" top="1" bottom="1" header="0.5" footer="0.5"/>
  <pageSetup scale="63" fitToHeight="0" orientation="landscape" r:id="rId1"/>
  <headerFooter alignWithMargins="0">
    <oddHeader>&amp;C&amp;"Calibri,Bold"&amp;12DMS Risk &amp; Complexity Assessment Summary</oddHeader>
    <oddFooter>&amp;L&amp;D&amp;RPage &amp;P of &amp;N</oddFooter>
  </headerFooter>
  <rowBreaks count="1" manualBreakCount="1">
    <brk id="45" max="16383" man="1"/>
  </rowBreaks>
  <drawing r:id="rId2"/>
  <extLst>
    <ext xmlns:x14="http://schemas.microsoft.com/office/spreadsheetml/2009/9/main" uri="{CCE6A557-97BC-4b89-ADB6-D9C93CAAB3DF}">
      <x14:dataValidations xmlns:xm="http://schemas.microsoft.com/office/excel/2006/main" count="2">
        <x14:dataValidation type="list" allowBlank="1" showErrorMessage="1" xr:uid="{00000000-0002-0000-0300-000000000000}">
          <x14:formula1>
            <xm:f>'L_Answer Select'!$A$43:$A$45</xm:f>
          </x14:formula1>
          <xm:sqref>A8 A16 A24 A32</xm:sqref>
        </x14:dataValidation>
        <x14:dataValidation type="list" allowBlank="1" xr:uid="{00000000-0002-0000-0300-000001000000}">
          <x14:formula1>
            <xm:f>L_DEPT!$B$3:$B$31</xm:f>
          </x14:formula1>
          <xm:sqref>C3:I3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K106"/>
  <sheetViews>
    <sheetView showGridLines="0" zoomScaleNormal="100" workbookViewId="0">
      <pane ySplit="2" topLeftCell="A3" activePane="bottomLeft" state="frozen"/>
      <selection activeCell="B4" sqref="B4"/>
      <selection pane="bottomLeft" activeCell="B7" sqref="B7:B12"/>
    </sheetView>
  </sheetViews>
  <sheetFormatPr defaultRowHeight="15" x14ac:dyDescent="0.2"/>
  <cols>
    <col min="1" max="1" width="100.7109375" style="42" customWidth="1"/>
    <col min="2" max="2" width="40.7109375" style="60" customWidth="1"/>
    <col min="3" max="3" width="6.7109375" style="414" hidden="1" customWidth="1"/>
    <col min="4" max="4" width="12.7109375" style="136" hidden="1" customWidth="1"/>
    <col min="5" max="5" width="14.7109375" style="113" customWidth="1"/>
    <col min="6" max="6" width="15.7109375" style="60" customWidth="1"/>
    <col min="7" max="7" width="15.7109375" style="60" hidden="1" customWidth="1"/>
    <col min="8" max="8" width="12.7109375" style="60" customWidth="1"/>
    <col min="9" max="11" width="14.7109375" style="42" customWidth="1"/>
    <col min="12" max="16384" width="9.140625" style="42"/>
  </cols>
  <sheetData>
    <row r="1" spans="1:8" ht="9.9499999999999993" customHeight="1" x14ac:dyDescent="0.2">
      <c r="A1" s="118"/>
      <c r="B1" s="119"/>
      <c r="C1" s="408"/>
      <c r="D1" s="409"/>
      <c r="E1" s="126"/>
      <c r="F1" s="119"/>
      <c r="G1" s="119"/>
    </row>
    <row r="2" spans="1:8" ht="30" customHeight="1" x14ac:dyDescent="0.2">
      <c r="A2" s="56" t="s">
        <v>150</v>
      </c>
      <c r="B2" s="393" t="s">
        <v>7</v>
      </c>
      <c r="C2" s="424"/>
      <c r="D2" s="147" t="s">
        <v>228</v>
      </c>
      <c r="E2" s="133" t="s">
        <v>8</v>
      </c>
      <c r="F2" s="385" t="s">
        <v>245</v>
      </c>
      <c r="G2" s="57" t="s">
        <v>125</v>
      </c>
    </row>
    <row r="3" spans="1:8" ht="8.1" customHeight="1" x14ac:dyDescent="0.2">
      <c r="A3" s="61"/>
      <c r="B3" s="62"/>
      <c r="C3" s="410"/>
      <c r="D3" s="411"/>
      <c r="E3" s="127"/>
      <c r="F3" s="64"/>
      <c r="G3" s="63"/>
    </row>
    <row r="4" spans="1:8" ht="75" customHeight="1" x14ac:dyDescent="0.2">
      <c r="A4" s="246" t="s">
        <v>337</v>
      </c>
      <c r="B4" s="683" t="s">
        <v>670</v>
      </c>
      <c r="C4" s="683"/>
      <c r="D4" s="683"/>
      <c r="E4" s="683"/>
      <c r="F4" s="683"/>
      <c r="G4" s="120"/>
    </row>
    <row r="5" spans="1:8" ht="15" customHeight="1" x14ac:dyDescent="0.2">
      <c r="A5" s="246"/>
      <c r="B5" s="565"/>
      <c r="C5" s="410"/>
      <c r="D5" s="198"/>
      <c r="E5" s="128"/>
      <c r="F5" s="318"/>
      <c r="G5" s="120"/>
    </row>
    <row r="6" spans="1:8" x14ac:dyDescent="0.2">
      <c r="A6" s="61"/>
      <c r="B6" s="565"/>
      <c r="C6" s="410"/>
      <c r="D6" s="198"/>
      <c r="E6" s="127"/>
      <c r="F6" s="120"/>
      <c r="G6" s="121"/>
    </row>
    <row r="7" spans="1:8" x14ac:dyDescent="0.2">
      <c r="A7" s="473" t="s">
        <v>303</v>
      </c>
      <c r="B7" s="684"/>
      <c r="C7" s="412">
        <v>35</v>
      </c>
      <c r="D7" s="168">
        <f>IF(F8="NA","",C7)</f>
        <v>35</v>
      </c>
      <c r="E7" s="130"/>
      <c r="F7" s="77"/>
      <c r="G7" s="466"/>
    </row>
    <row r="8" spans="1:8" x14ac:dyDescent="0.2">
      <c r="A8" s="446" t="s">
        <v>38</v>
      </c>
      <c r="B8" s="684"/>
      <c r="C8" s="447"/>
      <c r="D8" s="448"/>
      <c r="E8" s="130">
        <f>$D$87</f>
        <v>3.8461538461538463</v>
      </c>
      <c r="F8" s="616" t="s">
        <v>123</v>
      </c>
      <c r="G8" s="614">
        <f>IF($D$7="","Not Scored",IF(F8="",$D$7*E8,IF(F8="a",$D$7*E8,(IF(F8="b",$D$7*E9,IF(F8="c",$D$7*E10,IF(F8="d",$D$7*E11,IF(F8="e",$D$7*E12))))))))</f>
        <v>26.923076923076923</v>
      </c>
    </row>
    <row r="9" spans="1:8" x14ac:dyDescent="0.2">
      <c r="A9" s="446" t="s">
        <v>39</v>
      </c>
      <c r="B9" s="684"/>
      <c r="C9" s="449"/>
      <c r="D9" s="448"/>
      <c r="E9" s="450">
        <f>AVERAGE(E8,E10)</f>
        <v>3.0769230769230771</v>
      </c>
      <c r="F9" s="617"/>
      <c r="G9" s="615" t="str">
        <f>IF(F8="","BLANK",IF(F8="a","High",IF(F8="b","Medium - High",IF(F8="c","Medium",IF(F8="d","Medium - Low",IF(F8="e","Low",IF(F8="NA","Not Applicable")))))))</f>
        <v>Low</v>
      </c>
    </row>
    <row r="10" spans="1:8" x14ac:dyDescent="0.2">
      <c r="A10" s="446" t="s">
        <v>40</v>
      </c>
      <c r="B10" s="684"/>
      <c r="C10" s="449"/>
      <c r="D10" s="448"/>
      <c r="E10" s="450">
        <f>AVERAGE(E8,E12)</f>
        <v>2.3076923076923079</v>
      </c>
      <c r="F10" s="618"/>
      <c r="G10" s="97"/>
    </row>
    <row r="11" spans="1:8" x14ac:dyDescent="0.2">
      <c r="A11" s="446" t="s">
        <v>41</v>
      </c>
      <c r="B11" s="684"/>
      <c r="C11" s="447"/>
      <c r="D11" s="448"/>
      <c r="E11" s="450">
        <f>AVERAGE(E10,E12)</f>
        <v>1.5384615384615385</v>
      </c>
      <c r="F11" s="618"/>
      <c r="G11" s="97"/>
      <c r="H11" s="115"/>
    </row>
    <row r="12" spans="1:8" x14ac:dyDescent="0.2">
      <c r="A12" s="446" t="s">
        <v>42</v>
      </c>
      <c r="B12" s="684"/>
      <c r="C12" s="447"/>
      <c r="D12" s="448"/>
      <c r="E12" s="130">
        <f>$D$88</f>
        <v>0.76923076923076927</v>
      </c>
      <c r="F12" s="619"/>
      <c r="G12" s="112"/>
      <c r="H12" s="114"/>
    </row>
    <row r="13" spans="1:8" x14ac:dyDescent="0.2">
      <c r="A13" s="73"/>
      <c r="B13" s="581"/>
      <c r="C13" s="413"/>
      <c r="D13" s="169"/>
      <c r="F13" s="442"/>
      <c r="G13" s="61"/>
      <c r="H13" s="272"/>
    </row>
    <row r="14" spans="1:8" x14ac:dyDescent="0.2">
      <c r="A14" s="66"/>
      <c r="B14" s="581"/>
      <c r="D14" s="138"/>
      <c r="F14" s="67"/>
      <c r="H14" s="61"/>
    </row>
    <row r="15" spans="1:8" x14ac:dyDescent="0.2">
      <c r="A15" s="467" t="s">
        <v>413</v>
      </c>
      <c r="B15" s="684"/>
      <c r="C15" s="412">
        <v>5</v>
      </c>
      <c r="D15" s="168">
        <f>IF(F16="NA","",C15)</f>
        <v>5</v>
      </c>
      <c r="E15" s="130"/>
      <c r="F15" s="469"/>
      <c r="G15" s="77"/>
    </row>
    <row r="16" spans="1:8" ht="15" customHeight="1" x14ac:dyDescent="0.2">
      <c r="A16" s="471" t="s">
        <v>231</v>
      </c>
      <c r="B16" s="684"/>
      <c r="C16" s="419"/>
      <c r="D16" s="176"/>
      <c r="E16" s="130">
        <f>$D$87</f>
        <v>3.8461538461538463</v>
      </c>
      <c r="F16" s="616" t="s">
        <v>122</v>
      </c>
      <c r="G16" s="614">
        <f>IF($D$15="","Not Scored",IF(F16="",$D$15*E16,IF(F16="a",$D$15*E16,(IF(F16="b",$D$15*E17,IF(F16="c",$D$15*E18,IF(F16="d",$D$15*E19)))))))</f>
        <v>3.8461538461538463</v>
      </c>
    </row>
    <row r="17" spans="1:8" ht="15" customHeight="1" x14ac:dyDescent="0.2">
      <c r="A17" s="549" t="s">
        <v>347</v>
      </c>
      <c r="B17" s="684"/>
      <c r="C17" s="419"/>
      <c r="D17" s="176"/>
      <c r="E17" s="450">
        <f>AVERAGE(E16,AVERAGE(E16,E19))</f>
        <v>3.0769230769230771</v>
      </c>
      <c r="F17" s="617"/>
      <c r="G17" s="615" t="str">
        <f>IF(F16="","BLANK",IF(F16="a","High",IF(F16="b","Medium - High",IF(F16="c","Medium - Low",IF(F16="d","Low",IF(F16="NA","Not Applicable"))))))</f>
        <v>Low</v>
      </c>
    </row>
    <row r="18" spans="1:8" ht="15" customHeight="1" x14ac:dyDescent="0.2">
      <c r="A18" s="471" t="s">
        <v>232</v>
      </c>
      <c r="B18" s="684"/>
      <c r="C18" s="419"/>
      <c r="D18" s="176"/>
      <c r="E18" s="450">
        <f>AVERAGE(E19,AVERAGE(E16,E19))</f>
        <v>1.5384615384615385</v>
      </c>
      <c r="F18" s="618"/>
      <c r="G18" s="97"/>
      <c r="H18" s="115"/>
    </row>
    <row r="19" spans="1:8" ht="15" customHeight="1" x14ac:dyDescent="0.2">
      <c r="A19" s="471" t="s">
        <v>233</v>
      </c>
      <c r="B19" s="684"/>
      <c r="C19" s="419"/>
      <c r="D19" s="176"/>
      <c r="E19" s="130">
        <f>$D$88</f>
        <v>0.76923076923076927</v>
      </c>
      <c r="F19" s="619"/>
      <c r="G19" s="98"/>
      <c r="H19" s="114"/>
    </row>
    <row r="20" spans="1:8" x14ac:dyDescent="0.2">
      <c r="A20" s="66"/>
      <c r="B20" s="581"/>
      <c r="D20" s="138"/>
      <c r="F20" s="67"/>
      <c r="H20" s="61"/>
    </row>
    <row r="21" spans="1:8" x14ac:dyDescent="0.2">
      <c r="A21" s="68"/>
      <c r="B21" s="581"/>
      <c r="D21" s="138"/>
      <c r="F21" s="67"/>
      <c r="H21" s="61"/>
    </row>
    <row r="22" spans="1:8" ht="30" x14ac:dyDescent="0.2">
      <c r="A22" s="467" t="s">
        <v>414</v>
      </c>
      <c r="B22" s="684"/>
      <c r="C22" s="412">
        <v>5</v>
      </c>
      <c r="D22" s="168">
        <f>IF(F23="NA","",C22)</f>
        <v>5</v>
      </c>
      <c r="E22" s="130"/>
      <c r="F22" s="469"/>
      <c r="G22" s="77"/>
    </row>
    <row r="23" spans="1:8" x14ac:dyDescent="0.2">
      <c r="A23" s="472" t="s">
        <v>136</v>
      </c>
      <c r="B23" s="684"/>
      <c r="C23" s="419"/>
      <c r="D23" s="176"/>
      <c r="E23" s="130">
        <f>$D$87</f>
        <v>3.8461538461538463</v>
      </c>
      <c r="F23" s="616" t="s">
        <v>121</v>
      </c>
      <c r="G23" s="620">
        <f>IF($D$22="","Not Scored",IF(F23="",$D$22*E23,IF(F23="a",$D$22*E23,(IF(F23="b",$D$22*E24,IF(F23="c",$D$22*E25))))))</f>
        <v>3.8461538461538463</v>
      </c>
    </row>
    <row r="24" spans="1:8" x14ac:dyDescent="0.25">
      <c r="A24" s="472" t="s">
        <v>137</v>
      </c>
      <c r="B24" s="684"/>
      <c r="C24" s="419"/>
      <c r="D24" s="176"/>
      <c r="E24" s="470">
        <f>AVERAGE(E23,E25)</f>
        <v>2.3076923076923079</v>
      </c>
      <c r="F24" s="617"/>
      <c r="G24" s="615" t="str">
        <f>IF(F23="","BLANK",IF(F23="a","High",IF(F23="b","Medium",IF(F23="c","Low",IF(F23="NA","Not Applicable")))))</f>
        <v>Low</v>
      </c>
    </row>
    <row r="25" spans="1:8" x14ac:dyDescent="0.2">
      <c r="A25" s="510" t="s">
        <v>302</v>
      </c>
      <c r="B25" s="684"/>
      <c r="C25" s="419"/>
      <c r="D25" s="176"/>
      <c r="E25" s="130">
        <f>$D$88</f>
        <v>0.76923076923076927</v>
      </c>
      <c r="F25" s="619"/>
      <c r="G25" s="98"/>
      <c r="H25" s="115"/>
    </row>
    <row r="26" spans="1:8" x14ac:dyDescent="0.2">
      <c r="A26" s="66"/>
      <c r="B26" s="582"/>
      <c r="D26" s="138"/>
      <c r="F26" s="67"/>
      <c r="H26" s="61"/>
    </row>
    <row r="27" spans="1:8" x14ac:dyDescent="0.2">
      <c r="A27" s="66"/>
      <c r="B27" s="582"/>
      <c r="D27" s="138"/>
      <c r="F27" s="67"/>
      <c r="H27" s="61"/>
    </row>
    <row r="28" spans="1:8" ht="30" x14ac:dyDescent="0.2">
      <c r="A28" s="467" t="s">
        <v>507</v>
      </c>
      <c r="B28" s="684"/>
      <c r="C28" s="412">
        <v>10</v>
      </c>
      <c r="D28" s="168">
        <f>IF(F29="NA","",C28)</f>
        <v>10</v>
      </c>
      <c r="E28" s="130"/>
      <c r="F28" s="469"/>
      <c r="G28" s="77"/>
    </row>
    <row r="29" spans="1:8" x14ac:dyDescent="0.2">
      <c r="A29" s="468" t="s">
        <v>234</v>
      </c>
      <c r="B29" s="684"/>
      <c r="C29" s="419"/>
      <c r="D29" s="176"/>
      <c r="E29" s="130">
        <f>$D$87</f>
        <v>3.8461538461538463</v>
      </c>
      <c r="F29" s="616" t="s">
        <v>120</v>
      </c>
      <c r="G29" s="620">
        <f>IF($D$28="","Not Scored",IF(F29="",$D$28*E29,IF(F29="a",$D$28*E29,(IF(F29="b",$D$28*E30)))))</f>
        <v>7.6923076923076925</v>
      </c>
    </row>
    <row r="30" spans="1:8" x14ac:dyDescent="0.2">
      <c r="A30" s="471" t="s">
        <v>235</v>
      </c>
      <c r="B30" s="684"/>
      <c r="C30" s="419"/>
      <c r="D30" s="176"/>
      <c r="E30" s="130">
        <f>$D$88</f>
        <v>0.76923076923076927</v>
      </c>
      <c r="F30" s="621"/>
      <c r="G30" s="615" t="str">
        <f>IF(F29="","BLANK",IF(F29="a","High",IF(F29="b","Low",IF(F29="NA","Not Applicable"))))</f>
        <v>Low</v>
      </c>
    </row>
    <row r="31" spans="1:8" x14ac:dyDescent="0.2">
      <c r="A31" s="66"/>
      <c r="B31" s="582"/>
      <c r="D31" s="138"/>
      <c r="F31" s="67"/>
      <c r="H31" s="61"/>
    </row>
    <row r="32" spans="1:8" x14ac:dyDescent="0.2">
      <c r="A32" s="66"/>
      <c r="B32" s="582"/>
      <c r="D32" s="138"/>
      <c r="F32" s="67"/>
      <c r="H32" s="61"/>
    </row>
    <row r="33" spans="1:8" x14ac:dyDescent="0.2">
      <c r="A33" s="467" t="s">
        <v>415</v>
      </c>
      <c r="B33" s="684"/>
      <c r="C33" s="412">
        <v>15</v>
      </c>
      <c r="D33" s="168">
        <f>IF(F34="NA","",C33)</f>
        <v>15</v>
      </c>
      <c r="E33" s="130"/>
      <c r="F33" s="469"/>
      <c r="G33" s="77"/>
      <c r="H33" s="61"/>
    </row>
    <row r="34" spans="1:8" x14ac:dyDescent="0.2">
      <c r="A34" s="568" t="s">
        <v>409</v>
      </c>
      <c r="B34" s="684"/>
      <c r="C34" s="419"/>
      <c r="D34" s="176"/>
      <c r="E34" s="130">
        <f>$D$87</f>
        <v>3.8461538461538463</v>
      </c>
      <c r="F34" s="616" t="s">
        <v>122</v>
      </c>
      <c r="G34" s="614">
        <f>IF($D$33="","Not Scored",IF(F34="",$D$33*E34,IF(F34="a",$D$33*E34,(IF(F34="b",$D$33*E35,IF(F34="c",$D$33*E36,IF(F34="d",$D$33*E37)))))))</f>
        <v>11.538461538461538</v>
      </c>
      <c r="H34" s="61"/>
    </row>
    <row r="35" spans="1:8" ht="30" x14ac:dyDescent="0.2">
      <c r="A35" s="568" t="s">
        <v>410</v>
      </c>
      <c r="B35" s="684"/>
      <c r="C35" s="419"/>
      <c r="D35" s="176"/>
      <c r="E35" s="450">
        <f>AVERAGE(E34,AVERAGE(E34,E37))</f>
        <v>3.0769230769230771</v>
      </c>
      <c r="F35" s="617"/>
      <c r="G35" s="615" t="str">
        <f>IF(F34="","BLANK",IF(F34="a","High",IF(F34="b","Medium - High",IF(F34="c","Medium - Low",IF(F34="d","Low",IF(F34="NA","Not Applicable"))))))</f>
        <v>Low</v>
      </c>
      <c r="H35" s="61"/>
    </row>
    <row r="36" spans="1:8" ht="30" x14ac:dyDescent="0.2">
      <c r="A36" s="568" t="s">
        <v>411</v>
      </c>
      <c r="B36" s="684"/>
      <c r="C36" s="419"/>
      <c r="D36" s="176"/>
      <c r="E36" s="450">
        <f>AVERAGE(E37,AVERAGE(E34,E37))</f>
        <v>1.5384615384615385</v>
      </c>
      <c r="F36" s="618"/>
      <c r="G36" s="97"/>
      <c r="H36" s="61"/>
    </row>
    <row r="37" spans="1:8" x14ac:dyDescent="0.2">
      <c r="A37" s="568" t="s">
        <v>412</v>
      </c>
      <c r="B37" s="684"/>
      <c r="C37" s="419"/>
      <c r="D37" s="176"/>
      <c r="E37" s="130">
        <f>$D$88</f>
        <v>0.76923076923076927</v>
      </c>
      <c r="F37" s="619"/>
      <c r="G37" s="98"/>
      <c r="H37" s="61"/>
    </row>
    <row r="38" spans="1:8" x14ac:dyDescent="0.2">
      <c r="A38" s="66"/>
      <c r="B38" s="582"/>
      <c r="D38" s="138"/>
      <c r="F38" s="67"/>
      <c r="H38" s="61"/>
    </row>
    <row r="39" spans="1:8" x14ac:dyDescent="0.2">
      <c r="A39" s="66"/>
      <c r="B39" s="582"/>
      <c r="D39" s="138"/>
      <c r="F39" s="67"/>
      <c r="H39" s="61"/>
    </row>
    <row r="40" spans="1:8" x14ac:dyDescent="0.2">
      <c r="A40" s="473" t="s">
        <v>416</v>
      </c>
      <c r="B40" s="684"/>
      <c r="C40" s="412">
        <v>10</v>
      </c>
      <c r="D40" s="168">
        <f>IF(F41="NA","",C40)</f>
        <v>10</v>
      </c>
      <c r="E40" s="130"/>
      <c r="F40" s="469"/>
      <c r="G40" s="77"/>
    </row>
    <row r="41" spans="1:8" x14ac:dyDescent="0.2">
      <c r="A41" s="471" t="s">
        <v>236</v>
      </c>
      <c r="B41" s="684"/>
      <c r="C41" s="419"/>
      <c r="D41" s="176"/>
      <c r="E41" s="130">
        <f>$D$87</f>
        <v>3.8461538461538463</v>
      </c>
      <c r="F41" s="616" t="s">
        <v>120</v>
      </c>
      <c r="G41" s="620">
        <f>IF($D$40="","Not Scored",IF(F41="",$D$40*E41,IF(F41="a",$D$40*E41,(IF(F41="b",$D$40*E42)))))</f>
        <v>7.6923076923076925</v>
      </c>
    </row>
    <row r="42" spans="1:8" x14ac:dyDescent="0.2">
      <c r="A42" s="471" t="s">
        <v>237</v>
      </c>
      <c r="B42" s="684"/>
      <c r="C42" s="419"/>
      <c r="D42" s="176"/>
      <c r="E42" s="130">
        <f>$D$88</f>
        <v>0.76923076923076927</v>
      </c>
      <c r="F42" s="621"/>
      <c r="G42" s="615" t="str">
        <f>IF(F41="","BLANK",IF(F41="a","High",IF(F41="b","Low",IF(F41="NA","Not Applicable"))))</f>
        <v>Low</v>
      </c>
    </row>
    <row r="43" spans="1:8" x14ac:dyDescent="0.2">
      <c r="A43" s="65"/>
      <c r="B43" s="582"/>
      <c r="D43" s="138"/>
      <c r="E43" s="272"/>
      <c r="F43" s="273"/>
      <c r="G43" s="274"/>
    </row>
    <row r="44" spans="1:8" x14ac:dyDescent="0.2">
      <c r="A44" s="65"/>
      <c r="B44" s="582"/>
      <c r="D44" s="138"/>
      <c r="E44" s="272"/>
      <c r="F44" s="442"/>
      <c r="G44" s="61"/>
    </row>
    <row r="45" spans="1:8" x14ac:dyDescent="0.2">
      <c r="A45" s="473" t="s">
        <v>417</v>
      </c>
      <c r="B45" s="684"/>
      <c r="C45" s="412">
        <v>10</v>
      </c>
      <c r="D45" s="168">
        <f>IF(F46="NA","",C45)</f>
        <v>10</v>
      </c>
      <c r="E45" s="130"/>
      <c r="F45" s="469"/>
      <c r="G45" s="77"/>
    </row>
    <row r="46" spans="1:8" x14ac:dyDescent="0.2">
      <c r="A46" s="471" t="s">
        <v>238</v>
      </c>
      <c r="B46" s="684"/>
      <c r="C46" s="449"/>
      <c r="D46" s="176"/>
      <c r="E46" s="130">
        <f>$D$87</f>
        <v>3.8461538461538463</v>
      </c>
      <c r="F46" s="616" t="s">
        <v>121</v>
      </c>
      <c r="G46" s="620">
        <f>IF($D$45="","Not Scored",IF(F46="",$D$45*E46,IF(F46="a",$D$45*E46,(IF(F46="b",$D$45*E47,IF(F46="c",$D$45*E48))))))</f>
        <v>7.6923076923076925</v>
      </c>
    </row>
    <row r="47" spans="1:8" x14ac:dyDescent="0.25">
      <c r="A47" s="471" t="s">
        <v>239</v>
      </c>
      <c r="B47" s="684"/>
      <c r="C47" s="449"/>
      <c r="D47" s="176"/>
      <c r="E47" s="470">
        <f>AVERAGE(E46,E48)</f>
        <v>2.3076923076923079</v>
      </c>
      <c r="F47" s="617"/>
      <c r="G47" s="615" t="str">
        <f>IF(F46="","BLANK",IF(F46="a","High",IF(F46="b","Medium",IF(F46="c","Low",IF(F46="NA","Not Applicable")))))</f>
        <v>Low</v>
      </c>
      <c r="H47" s="115"/>
    </row>
    <row r="48" spans="1:8" x14ac:dyDescent="0.2">
      <c r="A48" s="471" t="s">
        <v>240</v>
      </c>
      <c r="B48" s="684"/>
      <c r="C48" s="449"/>
      <c r="D48" s="176"/>
      <c r="E48" s="130">
        <f>$D$88</f>
        <v>0.76923076923076927</v>
      </c>
      <c r="F48" s="619"/>
      <c r="G48" s="98"/>
      <c r="H48" s="115"/>
    </row>
    <row r="49" spans="1:8" x14ac:dyDescent="0.2">
      <c r="A49" s="66"/>
      <c r="B49" s="582"/>
      <c r="D49" s="138"/>
      <c r="F49" s="67"/>
    </row>
    <row r="50" spans="1:8" x14ac:dyDescent="0.2">
      <c r="A50" s="66"/>
      <c r="B50" s="582"/>
      <c r="D50" s="138"/>
      <c r="F50" s="67"/>
    </row>
    <row r="51" spans="1:8" ht="15" customHeight="1" x14ac:dyDescent="0.2">
      <c r="A51" s="467" t="s">
        <v>418</v>
      </c>
      <c r="B51" s="684"/>
      <c r="C51" s="412">
        <v>10</v>
      </c>
      <c r="D51" s="168">
        <f>IF(F52="NA","",C51)</f>
        <v>10</v>
      </c>
      <c r="E51" s="130"/>
      <c r="F51" s="469"/>
      <c r="G51" s="77"/>
    </row>
    <row r="52" spans="1:8" x14ac:dyDescent="0.2">
      <c r="A52" s="471" t="s">
        <v>241</v>
      </c>
      <c r="B52" s="684"/>
      <c r="C52" s="419"/>
      <c r="D52" s="176"/>
      <c r="E52" s="130">
        <f>$D$87</f>
        <v>3.8461538461538463</v>
      </c>
      <c r="F52" s="616" t="s">
        <v>120</v>
      </c>
      <c r="G52" s="620">
        <f>IF($D$51="","Not Scored",IF(F52="",$D$51*E52,IF(F52="a",$D$51*E52,(IF(F52="b",$D$51*E53)))))</f>
        <v>7.6923076923076925</v>
      </c>
    </row>
    <row r="53" spans="1:8" x14ac:dyDescent="0.2">
      <c r="A53" s="601" t="s">
        <v>242</v>
      </c>
      <c r="B53" s="684"/>
      <c r="C53" s="419"/>
      <c r="D53" s="176"/>
      <c r="E53" s="130">
        <f>$D$88</f>
        <v>0.76923076923076927</v>
      </c>
      <c r="F53" s="621"/>
      <c r="G53" s="615" t="str">
        <f>IF(F52="","BLANK",IF(F52="a","High",IF(F52="b","Low",IF(F52="NA","Not Applicable"))))</f>
        <v>Low</v>
      </c>
    </row>
    <row r="54" spans="1:8" x14ac:dyDescent="0.2">
      <c r="A54" s="445"/>
      <c r="B54" s="582"/>
      <c r="D54" s="226"/>
      <c r="F54" s="44"/>
      <c r="G54" s="272"/>
    </row>
    <row r="55" spans="1:8" x14ac:dyDescent="0.2">
      <c r="A55" s="445"/>
      <c r="B55" s="582"/>
      <c r="D55" s="226"/>
      <c r="F55" s="44"/>
      <c r="G55" s="272"/>
    </row>
    <row r="56" spans="1:8" x14ac:dyDescent="0.2">
      <c r="A56" s="474" t="s">
        <v>419</v>
      </c>
      <c r="B56" s="684"/>
      <c r="C56" s="412">
        <v>5</v>
      </c>
      <c r="D56" s="168">
        <f>IF(F57="NA","",C56)</f>
        <v>5</v>
      </c>
      <c r="E56" s="130"/>
      <c r="F56" s="469"/>
      <c r="G56" s="77"/>
    </row>
    <row r="57" spans="1:8" x14ac:dyDescent="0.2">
      <c r="A57" s="513" t="s">
        <v>321</v>
      </c>
      <c r="B57" s="684"/>
      <c r="C57" s="419"/>
      <c r="D57" s="176"/>
      <c r="E57" s="130">
        <f>$D$87</f>
        <v>3.8461538461538463</v>
      </c>
      <c r="F57" s="616" t="s">
        <v>120</v>
      </c>
      <c r="G57" s="620">
        <f>IF($D$56="","Not Scored",IF(F57="",$D$56*E57,IF(F57="a",$D$56*E57,(IF(F57="b",$D$56*E58)))))</f>
        <v>3.8461538461538463</v>
      </c>
    </row>
    <row r="58" spans="1:8" ht="15" customHeight="1" x14ac:dyDescent="0.2">
      <c r="A58" s="514" t="s">
        <v>322</v>
      </c>
      <c r="B58" s="684"/>
      <c r="C58" s="419"/>
      <c r="D58" s="176"/>
      <c r="E58" s="130">
        <f>$D$88</f>
        <v>0.76923076923076927</v>
      </c>
      <c r="F58" s="621"/>
      <c r="G58" s="615" t="str">
        <f>IF(F57="","BLANK",IF(F57="a","High",IF(F57="b","Low",IF(F57="NA","Not Applicable"))))</f>
        <v>Low</v>
      </c>
    </row>
    <row r="59" spans="1:8" x14ac:dyDescent="0.2">
      <c r="A59" s="445"/>
      <c r="B59" s="582"/>
      <c r="D59" s="226"/>
      <c r="F59" s="44"/>
      <c r="G59" s="272"/>
    </row>
    <row r="60" spans="1:8" x14ac:dyDescent="0.2">
      <c r="A60" s="445"/>
      <c r="B60" s="582"/>
      <c r="D60" s="226"/>
      <c r="F60" s="44"/>
      <c r="G60" s="272"/>
    </row>
    <row r="61" spans="1:8" x14ac:dyDescent="0.2">
      <c r="A61" s="474" t="s">
        <v>420</v>
      </c>
      <c r="B61" s="684"/>
      <c r="C61" s="412">
        <v>5</v>
      </c>
      <c r="D61" s="168">
        <f>IF(F62="NA","",C61)</f>
        <v>5</v>
      </c>
      <c r="E61" s="130"/>
      <c r="F61" s="469"/>
      <c r="G61" s="77"/>
    </row>
    <row r="62" spans="1:8" x14ac:dyDescent="0.2">
      <c r="A62" s="513" t="s">
        <v>315</v>
      </c>
      <c r="B62" s="684"/>
      <c r="C62" s="419"/>
      <c r="D62" s="176"/>
      <c r="E62" s="130">
        <f>$D$87</f>
        <v>3.8461538461538463</v>
      </c>
      <c r="F62" s="616" t="s">
        <v>121</v>
      </c>
      <c r="G62" s="620">
        <f>IF($D$61="","Not Scored",IF(F62="",$D$61*E62,IF(F62="a",$D$61*E62,(IF(F62="b",$D$61*E63,IF(F62="c",$D$61*E64))))))</f>
        <v>3.8461538461538463</v>
      </c>
    </row>
    <row r="63" spans="1:8" x14ac:dyDescent="0.25">
      <c r="A63" s="513" t="s">
        <v>316</v>
      </c>
      <c r="B63" s="684"/>
      <c r="C63" s="419"/>
      <c r="D63" s="176"/>
      <c r="E63" s="470">
        <f>AVERAGE(E62,E64)</f>
        <v>2.3076923076923079</v>
      </c>
      <c r="F63" s="617"/>
      <c r="G63" s="615" t="str">
        <f>IF(F62="","BLANK",IF(F62="a","High",IF(F62="b","Medium",IF(F62="c","Low",IF(F62="NA","Not Applicable")))))</f>
        <v>Low</v>
      </c>
    </row>
    <row r="64" spans="1:8" ht="15" customHeight="1" x14ac:dyDescent="0.2">
      <c r="A64" s="514" t="s">
        <v>317</v>
      </c>
      <c r="B64" s="684"/>
      <c r="C64" s="419"/>
      <c r="D64" s="176"/>
      <c r="E64" s="130">
        <f>$D$88</f>
        <v>0.76923076923076927</v>
      </c>
      <c r="F64" s="619"/>
      <c r="G64" s="98"/>
      <c r="H64" s="115"/>
    </row>
    <row r="65" spans="1:8" x14ac:dyDescent="0.2">
      <c r="A65" s="69"/>
      <c r="B65" s="582"/>
      <c r="D65" s="138"/>
      <c r="F65" s="67"/>
    </row>
    <row r="66" spans="1:8" x14ac:dyDescent="0.2">
      <c r="A66" s="69"/>
      <c r="B66" s="582"/>
      <c r="D66" s="138"/>
      <c r="F66" s="67"/>
    </row>
    <row r="67" spans="1:8" x14ac:dyDescent="0.2">
      <c r="A67" s="511" t="s">
        <v>421</v>
      </c>
      <c r="B67" s="684"/>
      <c r="C67" s="412">
        <v>5</v>
      </c>
      <c r="D67" s="168">
        <f>IF(F68="NA","",C67)</f>
        <v>5</v>
      </c>
      <c r="E67" s="130"/>
      <c r="F67" s="469"/>
      <c r="G67" s="77"/>
    </row>
    <row r="68" spans="1:8" x14ac:dyDescent="0.2">
      <c r="A68" s="513" t="s">
        <v>320</v>
      </c>
      <c r="B68" s="684"/>
      <c r="C68" s="449"/>
      <c r="D68" s="459"/>
      <c r="E68" s="130">
        <f>$D$87</f>
        <v>3.8461538461538463</v>
      </c>
      <c r="F68" s="616" t="s">
        <v>121</v>
      </c>
      <c r="G68" s="620">
        <f>IF($D$67="","Not Scored",IF(F68="",$D$67*E68,IF(F68="a",$D$67*E68,(IF(F68="b",$D$67*E69,IF(F68="c",$D$67*E70))))))</f>
        <v>3.8461538461538463</v>
      </c>
    </row>
    <row r="69" spans="1:8" x14ac:dyDescent="0.25">
      <c r="A69" s="513" t="s">
        <v>319</v>
      </c>
      <c r="B69" s="684"/>
      <c r="C69" s="449"/>
      <c r="D69" s="459"/>
      <c r="E69" s="470">
        <f>AVERAGE(E68,E70)</f>
        <v>2.3076923076923079</v>
      </c>
      <c r="F69" s="617"/>
      <c r="G69" s="615" t="str">
        <f>IF(F68="","BLANK",IF(F68="a","High",IF(F68="b","Medium",IF(F68="c","Low",IF(F68="NA","Not Applicable")))))</f>
        <v>Low</v>
      </c>
    </row>
    <row r="70" spans="1:8" ht="30" x14ac:dyDescent="0.2">
      <c r="A70" s="514" t="s">
        <v>318</v>
      </c>
      <c r="B70" s="684"/>
      <c r="C70" s="419"/>
      <c r="D70" s="176"/>
      <c r="E70" s="130">
        <f>$D$88</f>
        <v>0.76923076923076927</v>
      </c>
      <c r="F70" s="619"/>
      <c r="G70" s="98"/>
      <c r="H70" s="115"/>
    </row>
    <row r="71" spans="1:8" x14ac:dyDescent="0.2">
      <c r="A71" s="72"/>
      <c r="B71" s="582"/>
      <c r="D71" s="138"/>
      <c r="F71" s="442"/>
      <c r="G71" s="61"/>
      <c r="H71" s="272"/>
    </row>
    <row r="72" spans="1:8" x14ac:dyDescent="0.2">
      <c r="A72" s="72"/>
      <c r="B72" s="582"/>
      <c r="D72" s="138"/>
      <c r="F72" s="442"/>
      <c r="G72" s="61"/>
      <c r="H72" s="272"/>
    </row>
    <row r="73" spans="1:8" ht="15" customHeight="1" x14ac:dyDescent="0.2">
      <c r="A73" s="474" t="s">
        <v>530</v>
      </c>
      <c r="B73" s="684"/>
      <c r="C73" s="412">
        <v>15</v>
      </c>
      <c r="D73" s="168">
        <f>IF(F74="NA","",C73)</f>
        <v>15</v>
      </c>
      <c r="E73" s="130"/>
      <c r="F73" s="469"/>
      <c r="G73" s="77"/>
    </row>
    <row r="74" spans="1:8" x14ac:dyDescent="0.2">
      <c r="A74" s="513" t="s">
        <v>323</v>
      </c>
      <c r="B74" s="684"/>
      <c r="C74" s="419"/>
      <c r="D74" s="176"/>
      <c r="E74" s="130">
        <f>$D$87</f>
        <v>3.8461538461538463</v>
      </c>
      <c r="F74" s="616" t="s">
        <v>121</v>
      </c>
      <c r="G74" s="620">
        <f>IF($D$73="","Not Scored",IF(F74="",$D$73*E74,IF(F74="a",$D$73*E74,(IF(F74="b",$D$73*E75,IF(F74="c",$D$73*E76))))))</f>
        <v>11.538461538461538</v>
      </c>
    </row>
    <row r="75" spans="1:8" ht="15" customHeight="1" x14ac:dyDescent="0.25">
      <c r="A75" s="514" t="s">
        <v>324</v>
      </c>
      <c r="B75" s="684"/>
      <c r="C75" s="419"/>
      <c r="D75" s="176"/>
      <c r="E75" s="470">
        <f>AVERAGE(E74,E76)</f>
        <v>2.3076923076923079</v>
      </c>
      <c r="F75" s="617"/>
      <c r="G75" s="615" t="str">
        <f>IF(F74="","BLANK",IF(F74="a","High",IF(F74="b","Medium",IF(F74="c","Low",IF(F74="NA","Not Applicable")))))</f>
        <v>Low</v>
      </c>
    </row>
    <row r="76" spans="1:8" x14ac:dyDescent="0.2">
      <c r="A76" s="568" t="s">
        <v>452</v>
      </c>
      <c r="B76" s="684"/>
      <c r="C76" s="419"/>
      <c r="D76" s="176"/>
      <c r="E76" s="130">
        <f>$D$88</f>
        <v>0.76923076923076927</v>
      </c>
      <c r="F76" s="619"/>
      <c r="G76" s="98"/>
      <c r="H76" s="272"/>
    </row>
    <row r="77" spans="1:8" x14ac:dyDescent="0.2">
      <c r="A77" s="72"/>
      <c r="B77" s="247"/>
      <c r="D77" s="138"/>
      <c r="F77" s="442"/>
      <c r="G77" s="61"/>
      <c r="H77" s="272"/>
    </row>
    <row r="78" spans="1:8" hidden="1" x14ac:dyDescent="0.2">
      <c r="A78" s="72"/>
      <c r="B78" s="247"/>
      <c r="D78" s="138"/>
      <c r="F78" s="442"/>
      <c r="G78" s="61"/>
      <c r="H78" s="272"/>
    </row>
    <row r="79" spans="1:8" hidden="1" x14ac:dyDescent="0.2">
      <c r="A79" s="72"/>
      <c r="B79" s="426" t="s">
        <v>229</v>
      </c>
      <c r="C79" s="425">
        <f>SUM(C7:C78)</f>
        <v>130</v>
      </c>
      <c r="E79" s="430"/>
      <c r="F79" s="427" t="s">
        <v>202</v>
      </c>
      <c r="G79" s="429">
        <f>SUM(G6:G78)</f>
        <v>99.999999999999972</v>
      </c>
    </row>
    <row r="80" spans="1:8" hidden="1" x14ac:dyDescent="0.2">
      <c r="A80" s="72"/>
      <c r="B80" s="136"/>
      <c r="E80" s="430"/>
      <c r="F80" s="428"/>
      <c r="G80" s="428"/>
    </row>
    <row r="81" spans="1:11" x14ac:dyDescent="0.2">
      <c r="A81" s="72"/>
      <c r="B81" s="136"/>
      <c r="E81" s="430"/>
      <c r="F81" s="428"/>
      <c r="G81" s="428"/>
    </row>
    <row r="82" spans="1:11" ht="15" customHeight="1" x14ac:dyDescent="0.2">
      <c r="A82" s="576"/>
      <c r="B82" s="574"/>
      <c r="C82" s="407"/>
      <c r="D82" s="415">
        <f>+SUM(D7:D78)</f>
        <v>130</v>
      </c>
      <c r="E82" s="130"/>
      <c r="F82" s="321" t="str">
        <f>IF(AND(Summary!$A$8="Yes",$G$79&gt;0),$G$79,"Not Scored")</f>
        <v>Not Scored</v>
      </c>
      <c r="G82" s="321" t="str">
        <f>IF(AND(Summary!$A$8="Yes",$G$79&gt;0),$G$79,"Not Scored")</f>
        <v>Not Scored</v>
      </c>
      <c r="I82" s="295" t="s">
        <v>202</v>
      </c>
      <c r="J82" s="60"/>
      <c r="K82" s="60"/>
    </row>
    <row r="83" spans="1:11" ht="15" customHeight="1" x14ac:dyDescent="0.2">
      <c r="A83" s="75"/>
      <c r="B83" s="74"/>
      <c r="C83" s="416"/>
      <c r="D83" s="415"/>
      <c r="E83" s="130"/>
      <c r="F83" s="77"/>
      <c r="G83" s="77"/>
      <c r="I83" s="265" t="s">
        <v>158</v>
      </c>
      <c r="J83" s="265" t="s">
        <v>159</v>
      </c>
      <c r="K83" s="265" t="s">
        <v>160</v>
      </c>
    </row>
    <row r="84" spans="1:11" ht="15" customHeight="1" x14ac:dyDescent="0.2">
      <c r="A84" s="75"/>
      <c r="B84" s="74"/>
      <c r="C84" s="416"/>
      <c r="D84" s="415">
        <f>+D82+D83</f>
        <v>130</v>
      </c>
      <c r="E84" s="130"/>
      <c r="F84" s="77"/>
      <c r="G84" s="77"/>
      <c r="I84" s="266">
        <v>100</v>
      </c>
      <c r="J84" s="267" t="s">
        <v>161</v>
      </c>
      <c r="K84" s="268"/>
    </row>
    <row r="85" spans="1:11" ht="15" customHeight="1" x14ac:dyDescent="0.2">
      <c r="A85" s="75"/>
      <c r="B85" s="443"/>
      <c r="C85" s="416"/>
      <c r="D85" s="415"/>
      <c r="E85" s="130"/>
      <c r="F85" s="77"/>
      <c r="G85" s="77"/>
      <c r="I85" s="269">
        <f>IF(F82="Not Scored",0,F82)</f>
        <v>0</v>
      </c>
      <c r="J85" s="270" t="s">
        <v>162</v>
      </c>
      <c r="K85" s="271">
        <v>4</v>
      </c>
    </row>
    <row r="86" spans="1:11" s="70" customFormat="1" ht="15" customHeight="1" x14ac:dyDescent="0.2">
      <c r="A86" s="577"/>
      <c r="B86" s="76"/>
      <c r="C86" s="417"/>
      <c r="D86" s="418"/>
      <c r="E86" s="131"/>
      <c r="F86" s="80"/>
      <c r="G86" s="80"/>
      <c r="H86" s="71"/>
      <c r="I86" s="266">
        <v>500</v>
      </c>
      <c r="J86" s="267" t="s">
        <v>163</v>
      </c>
      <c r="K86" s="268"/>
    </row>
    <row r="87" spans="1:11" s="70" customFormat="1" ht="15" customHeight="1" x14ac:dyDescent="0.2">
      <c r="A87" s="577"/>
      <c r="B87" s="77"/>
      <c r="C87" s="419"/>
      <c r="D87" s="275">
        <f>IF(D82=0,0,(500/D82))</f>
        <v>3.8461538461538463</v>
      </c>
      <c r="E87" s="131"/>
      <c r="F87" s="80"/>
      <c r="G87" s="80"/>
      <c r="H87" s="71"/>
    </row>
    <row r="88" spans="1:11" s="70" customFormat="1" ht="15" customHeight="1" x14ac:dyDescent="0.2">
      <c r="A88" s="577"/>
      <c r="B88" s="77"/>
      <c r="C88" s="419"/>
      <c r="D88" s="275">
        <f>IF(D84=0,0,(100/D84))</f>
        <v>0.76923076923076927</v>
      </c>
      <c r="E88" s="131"/>
      <c r="F88" s="80"/>
      <c r="G88" s="80"/>
      <c r="H88" s="71"/>
    </row>
    <row r="89" spans="1:11" ht="15" customHeight="1" x14ac:dyDescent="0.2">
      <c r="A89" s="75"/>
      <c r="B89" s="443"/>
      <c r="C89" s="416"/>
      <c r="D89" s="415"/>
      <c r="E89" s="130"/>
      <c r="F89" s="77"/>
      <c r="G89" s="77"/>
    </row>
    <row r="90" spans="1:11" ht="15" customHeight="1" x14ac:dyDescent="0.2">
      <c r="A90" s="75"/>
      <c r="B90" s="184" t="s">
        <v>459</v>
      </c>
      <c r="C90" s="417"/>
      <c r="D90" s="420"/>
      <c r="E90" s="130"/>
      <c r="F90" s="330" t="str">
        <f>IF(F82="Not Scored","",IF(ROUND(F82,0)&gt;367,"High_Risk",""))</f>
        <v/>
      </c>
      <c r="G90" s="330" t="str">
        <f>IF(G82="Not Scored","",IF(ROUND(G82,0)&gt;367,"High_Risk",""))</f>
        <v/>
      </c>
    </row>
    <row r="91" spans="1:11" ht="15" customHeight="1" x14ac:dyDescent="0.2">
      <c r="A91" s="75"/>
      <c r="B91" s="184" t="s">
        <v>460</v>
      </c>
      <c r="C91" s="417"/>
      <c r="D91" s="418"/>
      <c r="E91" s="130"/>
      <c r="F91" s="331" t="str">
        <f>IF(F82="Not Scored","",IF(AND(ROUND(F82,0)&gt;233,ROUND(F82,0)&lt;368),"Medium_Risk",""))</f>
        <v/>
      </c>
      <c r="G91" s="331" t="str">
        <f>IF(G82="Not Scored","",IF(AND(ROUND(G82,0)&gt;233,ROUND(G82,0)&lt;368),"Medium_Risk",""))</f>
        <v/>
      </c>
    </row>
    <row r="92" spans="1:11" ht="15" customHeight="1" x14ac:dyDescent="0.2">
      <c r="A92" s="576"/>
      <c r="B92" s="184" t="s">
        <v>461</v>
      </c>
      <c r="C92" s="417"/>
      <c r="D92" s="420"/>
      <c r="E92" s="130"/>
      <c r="F92" s="332" t="str">
        <f>IF(F82="Not Scored","",IF(AND(ROUND(F82,0)&gt;99,ROUND(F82,0)&lt;234),"Low_Risk",""))</f>
        <v/>
      </c>
      <c r="G92" s="332" t="str">
        <f>IF(G82="Not Scored","",IF(AND(ROUND(G82,0)&gt;99,ROUND(G82,0)&lt;234),"Low_Risk",""))</f>
        <v/>
      </c>
    </row>
    <row r="93" spans="1:11" ht="15" customHeight="1" thickBot="1" x14ac:dyDescent="0.25">
      <c r="A93" s="576"/>
      <c r="B93" s="444"/>
      <c r="C93" s="419"/>
      <c r="D93" s="421"/>
      <c r="E93" s="130"/>
      <c r="F93" s="77"/>
      <c r="G93" s="77"/>
    </row>
    <row r="94" spans="1:11" ht="15" customHeight="1" thickBot="1" x14ac:dyDescent="0.25">
      <c r="A94" s="75"/>
      <c r="B94" s="78" t="s">
        <v>15</v>
      </c>
      <c r="C94" s="417"/>
      <c r="D94" s="422"/>
      <c r="E94" s="132"/>
      <c r="F94" s="79"/>
      <c r="G94" s="79"/>
    </row>
    <row r="95" spans="1:11" ht="15" customHeight="1" x14ac:dyDescent="0.2">
      <c r="B95" s="586"/>
      <c r="C95" s="587"/>
      <c r="D95" s="423"/>
      <c r="E95" s="129"/>
      <c r="F95" s="42"/>
      <c r="G95" s="61"/>
    </row>
    <row r="96" spans="1:11" ht="15" customHeight="1" x14ac:dyDescent="0.2">
      <c r="B96" s="588"/>
      <c r="C96" s="589"/>
      <c r="D96" s="590"/>
      <c r="E96" s="591"/>
      <c r="F96" s="592"/>
      <c r="G96" s="598"/>
    </row>
    <row r="97" spans="4:6" ht="15" customHeight="1" x14ac:dyDescent="0.2">
      <c r="D97" s="423"/>
      <c r="E97" s="129"/>
      <c r="F97" s="42"/>
    </row>
    <row r="98" spans="4:6" ht="15" customHeight="1" x14ac:dyDescent="0.2"/>
    <row r="99" spans="4:6" ht="15" customHeight="1" x14ac:dyDescent="0.2"/>
    <row r="100" spans="4:6" ht="15" customHeight="1" x14ac:dyDescent="0.2"/>
    <row r="101" spans="4:6" ht="15" customHeight="1" x14ac:dyDescent="0.2"/>
    <row r="102" spans="4:6" ht="15" customHeight="1" x14ac:dyDescent="0.2"/>
    <row r="103" spans="4:6" ht="15" customHeight="1" x14ac:dyDescent="0.2"/>
    <row r="104" spans="4:6" ht="15" customHeight="1" x14ac:dyDescent="0.2"/>
    <row r="105" spans="4:6" ht="15" customHeight="1" x14ac:dyDescent="0.2"/>
    <row r="106" spans="4:6" ht="15" customHeight="1" x14ac:dyDescent="0.2"/>
  </sheetData>
  <sheetProtection algorithmName="SHA-512" hashValue="LeA21xG57aMyKJji8R8j4ATqjS41AvBR119Tn18gfELSouVhUrkRBTfoO2Gdse8vWvc7QtRzKIZbg6095oijsQ==" saltValue="yLrY2stkUfAQ5JXOWimApA==" spinCount="100000" sheet="1" selectLockedCells="1"/>
  <mergeCells count="13">
    <mergeCell ref="B4:F4"/>
    <mergeCell ref="B28:B30"/>
    <mergeCell ref="B33:B37"/>
    <mergeCell ref="B73:B76"/>
    <mergeCell ref="B7:B12"/>
    <mergeCell ref="B15:B19"/>
    <mergeCell ref="B22:B25"/>
    <mergeCell ref="B40:B42"/>
    <mergeCell ref="B56:B58"/>
    <mergeCell ref="B51:B53"/>
    <mergeCell ref="B45:B48"/>
    <mergeCell ref="B67:B70"/>
    <mergeCell ref="B61:B64"/>
  </mergeCells>
  <phoneticPr fontId="12" type="noConversion"/>
  <conditionalFormatting sqref="G9">
    <cfRule type="cellIs" dxfId="609" priority="136" operator="equal">
      <formula>"BLANK"</formula>
    </cfRule>
    <cfRule type="containsText" dxfId="608" priority="208" operator="containsText" text="Medium">
      <formula>NOT(ISERROR(SEARCH("Medium",G9)))</formula>
    </cfRule>
    <cfRule type="containsText" dxfId="607" priority="209" operator="containsText" text="Low">
      <formula>NOT(ISERROR(SEARCH("Low",G9)))</formula>
    </cfRule>
    <cfRule type="containsText" dxfId="606" priority="211" operator="containsText" text="High">
      <formula>NOT(ISERROR(SEARCH("High",G9)))</formula>
    </cfRule>
  </conditionalFormatting>
  <conditionalFormatting sqref="G94:G95">
    <cfRule type="containsText" dxfId="605" priority="158" operator="containsText" text="RED FLAG">
      <formula>NOT(ISERROR(SEARCH("RED FLAG",G94)))</formula>
    </cfRule>
  </conditionalFormatting>
  <conditionalFormatting sqref="G90">
    <cfRule type="containsText" dxfId="604" priority="157" operator="containsText" text="High">
      <formula>NOT(ISERROR(SEARCH("High",G90)))</formula>
    </cfRule>
  </conditionalFormatting>
  <conditionalFormatting sqref="G91">
    <cfRule type="containsText" dxfId="603" priority="156" operator="containsText" text="Medium">
      <formula>NOT(ISERROR(SEARCH("Medium",G91)))</formula>
    </cfRule>
  </conditionalFormatting>
  <conditionalFormatting sqref="G92">
    <cfRule type="containsText" dxfId="602" priority="155" operator="containsText" text="Low">
      <formula>NOT(ISERROR(SEARCH("Low",G92)))</formula>
    </cfRule>
  </conditionalFormatting>
  <conditionalFormatting sqref="G17">
    <cfRule type="cellIs" dxfId="601" priority="119" operator="equal">
      <formula>"BLANK"</formula>
    </cfRule>
    <cfRule type="containsText" dxfId="600" priority="120" operator="containsText" text="Medium">
      <formula>NOT(ISERROR(SEARCH("Medium",G17)))</formula>
    </cfRule>
    <cfRule type="containsText" dxfId="599" priority="121" operator="containsText" text="Low">
      <formula>NOT(ISERROR(SEARCH("Low",G17)))</formula>
    </cfRule>
    <cfRule type="containsText" dxfId="598" priority="122" operator="containsText" text="High">
      <formula>NOT(ISERROR(SEARCH("High",G17)))</formula>
    </cfRule>
  </conditionalFormatting>
  <conditionalFormatting sqref="G96">
    <cfRule type="cellIs" dxfId="597" priority="80" operator="between">
      <formula>1</formula>
      <formula>1</formula>
    </cfRule>
    <cfRule type="cellIs" dxfId="596" priority="81" operator="between">
      <formula>2</formula>
      <formula>3</formula>
    </cfRule>
    <cfRule type="cellIs" dxfId="595" priority="82" operator="between">
      <formula>4</formula>
      <formula>4</formula>
    </cfRule>
  </conditionalFormatting>
  <conditionalFormatting sqref="G82">
    <cfRule type="containsText" dxfId="594" priority="78" operator="containsText" text="Not Scored">
      <formula>NOT(ISERROR(SEARCH("Not Scored",G82)))</formula>
    </cfRule>
  </conditionalFormatting>
  <conditionalFormatting sqref="G30">
    <cfRule type="cellIs" dxfId="593" priority="66" operator="equal">
      <formula>"BLANK"</formula>
    </cfRule>
    <cfRule type="containsText" dxfId="592" priority="67" operator="containsText" text="Medium">
      <formula>NOT(ISERROR(SEARCH("Medium",G30)))</formula>
    </cfRule>
    <cfRule type="containsText" dxfId="591" priority="68" operator="containsText" text="Low">
      <formula>NOT(ISERROR(SEARCH("Low",G30)))</formula>
    </cfRule>
    <cfRule type="containsText" dxfId="590" priority="69" operator="containsText" text="High">
      <formula>NOT(ISERROR(SEARCH("High",G30)))</formula>
    </cfRule>
  </conditionalFormatting>
  <conditionalFormatting sqref="G42">
    <cfRule type="cellIs" dxfId="589" priority="62" operator="equal">
      <formula>"BLANK"</formula>
    </cfRule>
    <cfRule type="containsText" dxfId="588" priority="63" operator="containsText" text="Medium">
      <formula>NOT(ISERROR(SEARCH("Medium",G42)))</formula>
    </cfRule>
    <cfRule type="containsText" dxfId="587" priority="64" operator="containsText" text="Low">
      <formula>NOT(ISERROR(SEARCH("Low",G42)))</formula>
    </cfRule>
    <cfRule type="containsText" dxfId="586" priority="65" operator="containsText" text="High">
      <formula>NOT(ISERROR(SEARCH("High",G42)))</formula>
    </cfRule>
  </conditionalFormatting>
  <conditionalFormatting sqref="G47">
    <cfRule type="cellIs" dxfId="585" priority="58" operator="equal">
      <formula>"BLANK"</formula>
    </cfRule>
    <cfRule type="containsText" dxfId="584" priority="59" operator="containsText" text="Medium">
      <formula>NOT(ISERROR(SEARCH("Medium",G47)))</formula>
    </cfRule>
    <cfRule type="containsText" dxfId="583" priority="60" operator="containsText" text="Low">
      <formula>NOT(ISERROR(SEARCH("Low",G47)))</formula>
    </cfRule>
    <cfRule type="containsText" dxfId="582" priority="61" operator="containsText" text="High">
      <formula>NOT(ISERROR(SEARCH("High",G47)))</formula>
    </cfRule>
  </conditionalFormatting>
  <conditionalFormatting sqref="G53:G55 G59:G60">
    <cfRule type="cellIs" dxfId="581" priority="54" operator="equal">
      <formula>"BLANK"</formula>
    </cfRule>
    <cfRule type="containsText" dxfId="580" priority="55" operator="containsText" text="Medium">
      <formula>NOT(ISERROR(SEARCH("Medium",G53)))</formula>
    </cfRule>
    <cfRule type="containsText" dxfId="579" priority="56" operator="containsText" text="Low">
      <formula>NOT(ISERROR(SEARCH("Low",G53)))</formula>
    </cfRule>
    <cfRule type="containsText" dxfId="578" priority="57" operator="containsText" text="High">
      <formula>NOT(ISERROR(SEARCH("High",G53)))</formula>
    </cfRule>
  </conditionalFormatting>
  <conditionalFormatting sqref="G63">
    <cfRule type="cellIs" dxfId="577" priority="50" operator="equal">
      <formula>"BLANK"</formula>
    </cfRule>
    <cfRule type="containsText" dxfId="576" priority="51" operator="containsText" text="Medium">
      <formula>NOT(ISERROR(SEARCH("Medium",G63)))</formula>
    </cfRule>
    <cfRule type="containsText" dxfId="575" priority="52" operator="containsText" text="Low">
      <formula>NOT(ISERROR(SEARCH("Low",G63)))</formula>
    </cfRule>
    <cfRule type="containsText" dxfId="574" priority="53" operator="containsText" text="High">
      <formula>NOT(ISERROR(SEARCH("High",G63)))</formula>
    </cfRule>
  </conditionalFormatting>
  <conditionalFormatting sqref="G24">
    <cfRule type="cellIs" dxfId="573" priority="38" operator="equal">
      <formula>"BLANK"</formula>
    </cfRule>
    <cfRule type="containsText" dxfId="572" priority="39" operator="containsText" text="Medium">
      <formula>NOT(ISERROR(SEARCH("Medium",G24)))</formula>
    </cfRule>
    <cfRule type="containsText" dxfId="571" priority="40" operator="containsText" text="Low">
      <formula>NOT(ISERROR(SEARCH("Low",G24)))</formula>
    </cfRule>
    <cfRule type="containsText" dxfId="570" priority="41" operator="containsText" text="High">
      <formula>NOT(ISERROR(SEARCH("High",G24)))</formula>
    </cfRule>
  </conditionalFormatting>
  <conditionalFormatting sqref="G69">
    <cfRule type="cellIs" dxfId="569" priority="22" operator="equal">
      <formula>"BLANK"</formula>
    </cfRule>
    <cfRule type="containsText" dxfId="568" priority="23" operator="containsText" text="Medium">
      <formula>NOT(ISERROR(SEARCH("Medium",G69)))</formula>
    </cfRule>
    <cfRule type="containsText" dxfId="567" priority="24" operator="containsText" text="Low">
      <formula>NOT(ISERROR(SEARCH("Low",G69)))</formula>
    </cfRule>
    <cfRule type="containsText" dxfId="566" priority="25" operator="containsText" text="High">
      <formula>NOT(ISERROR(SEARCH("High",G69)))</formula>
    </cfRule>
  </conditionalFormatting>
  <conditionalFormatting sqref="G58">
    <cfRule type="cellIs" dxfId="565" priority="18" operator="equal">
      <formula>"BLANK"</formula>
    </cfRule>
    <cfRule type="containsText" dxfId="564" priority="19" operator="containsText" text="Medium">
      <formula>NOT(ISERROR(SEARCH("Medium",G58)))</formula>
    </cfRule>
    <cfRule type="containsText" dxfId="563" priority="20" operator="containsText" text="Low">
      <formula>NOT(ISERROR(SEARCH("Low",G58)))</formula>
    </cfRule>
    <cfRule type="containsText" dxfId="562" priority="21" operator="containsText" text="High">
      <formula>NOT(ISERROR(SEARCH("High",G58)))</formula>
    </cfRule>
  </conditionalFormatting>
  <conditionalFormatting sqref="G35">
    <cfRule type="cellIs" dxfId="561" priority="10" operator="equal">
      <formula>"BLANK"</formula>
    </cfRule>
    <cfRule type="containsText" dxfId="560" priority="11" operator="containsText" text="Medium">
      <formula>NOT(ISERROR(SEARCH("Medium",G35)))</formula>
    </cfRule>
    <cfRule type="containsText" dxfId="559" priority="12" operator="containsText" text="Low">
      <formula>NOT(ISERROR(SEARCH("Low",G35)))</formula>
    </cfRule>
    <cfRule type="containsText" dxfId="558" priority="13" operator="containsText" text="High">
      <formula>NOT(ISERROR(SEARCH("High",G35)))</formula>
    </cfRule>
  </conditionalFormatting>
  <conditionalFormatting sqref="G75">
    <cfRule type="cellIs" dxfId="557" priority="6" operator="equal">
      <formula>"BLANK"</formula>
    </cfRule>
    <cfRule type="containsText" dxfId="556" priority="7" operator="containsText" text="Medium">
      <formula>NOT(ISERROR(SEARCH("Medium",G75)))</formula>
    </cfRule>
    <cfRule type="containsText" dxfId="555" priority="8" operator="containsText" text="Low">
      <formula>NOT(ISERROR(SEARCH("Low",G75)))</formula>
    </cfRule>
    <cfRule type="containsText" dxfId="554" priority="9" operator="containsText" text="High">
      <formula>NOT(ISERROR(SEARCH("High",G75)))</formula>
    </cfRule>
  </conditionalFormatting>
  <conditionalFormatting sqref="F94">
    <cfRule type="containsText" dxfId="553" priority="5" operator="containsText" text="RED FLAG">
      <formula>NOT(ISERROR(SEARCH("RED FLAG",F94)))</formula>
    </cfRule>
  </conditionalFormatting>
  <conditionalFormatting sqref="F90">
    <cfRule type="containsText" dxfId="552" priority="4" operator="containsText" text="High">
      <formula>NOT(ISERROR(SEARCH("High",F90)))</formula>
    </cfRule>
  </conditionalFormatting>
  <conditionalFormatting sqref="F91">
    <cfRule type="containsText" dxfId="551" priority="3" operator="containsText" text="Medium">
      <formula>NOT(ISERROR(SEARCH("Medium",F91)))</formula>
    </cfRule>
  </conditionalFormatting>
  <conditionalFormatting sqref="F92">
    <cfRule type="containsText" dxfId="550" priority="2" operator="containsText" text="Low">
      <formula>NOT(ISERROR(SEARCH("Low",F92)))</formula>
    </cfRule>
  </conditionalFormatting>
  <conditionalFormatting sqref="F82">
    <cfRule type="containsText" dxfId="549" priority="1" operator="containsText" text="Not Scored">
      <formula>NOT(ISERROR(SEARCH("Not Scored",F82)))</formula>
    </cfRule>
  </conditionalFormatting>
  <dataValidations count="1">
    <dataValidation type="decimal" allowBlank="1" showErrorMessage="1" sqref="I84:I86" xr:uid="{00000000-0002-0000-0400-000000000000}">
      <formula1>0</formula1>
      <formula2>500</formula2>
    </dataValidation>
  </dataValidations>
  <pageMargins left="0.5" right="0.25" top="0.47" bottom="0.5" header="0.24" footer="0.24"/>
  <pageSetup scale="59" fitToHeight="0" orientation="portrait" r:id="rId1"/>
  <headerFooter alignWithMargins="0">
    <oddHeader>&amp;CRisk Pre-Charter</oddHeader>
    <oddFooter>&amp;L&amp;D&amp;RPage &amp;P of &amp;N</oddFooter>
  </headerFooter>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ErrorMessage="1" xr:uid="{00000000-0002-0000-0400-000001000000}">
          <x14:formula1>
            <xm:f>'L_Answer Select'!$A$3:$A$9</xm:f>
          </x14:formula1>
          <xm:sqref>F8</xm:sqref>
        </x14:dataValidation>
        <x14:dataValidation type="list" allowBlank="1" showErrorMessage="1" xr:uid="{00000000-0002-0000-0400-000002000000}">
          <x14:formula1>
            <xm:f>'L_Answer Select'!$A$14:$A$19</xm:f>
          </x14:formula1>
          <xm:sqref>F16 F34</xm:sqref>
        </x14:dataValidation>
        <x14:dataValidation type="list" allowBlank="1" showErrorMessage="1" xr:uid="{00000000-0002-0000-0400-000003000000}">
          <x14:formula1>
            <xm:f>'L_Answer Select'!$A$24:$A$28</xm:f>
          </x14:formula1>
          <xm:sqref>F23 F46 F62 F68 F74</xm:sqref>
        </x14:dataValidation>
        <x14:dataValidation type="list" allowBlank="1" showErrorMessage="1" xr:uid="{00000000-0002-0000-0400-000004000000}">
          <x14:formula1>
            <xm:f>'L_Answer Select'!$A$33:$A$36</xm:f>
          </x14:formula1>
          <xm:sqref>F29 F41 F52 F57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K106"/>
  <sheetViews>
    <sheetView showGridLines="0" zoomScaleNormal="100" workbookViewId="0">
      <pane ySplit="2" topLeftCell="A3" activePane="bottomLeft" state="frozen"/>
      <selection activeCell="B22" sqref="B22"/>
      <selection pane="bottomLeft" activeCell="B6" sqref="B6"/>
    </sheetView>
  </sheetViews>
  <sheetFormatPr defaultRowHeight="15" x14ac:dyDescent="0.2"/>
  <cols>
    <col min="1" max="1" width="100.7109375" style="143" customWidth="1"/>
    <col min="2" max="2" width="40.7109375" style="143" customWidth="1"/>
    <col min="3" max="3" width="6.7109375" style="143" hidden="1" customWidth="1"/>
    <col min="4" max="4" width="12.7109375" style="138" hidden="1" customWidth="1"/>
    <col min="5" max="5" width="14.7109375" style="157" customWidth="1"/>
    <col min="6" max="6" width="15.7109375" style="143" customWidth="1"/>
    <col min="7" max="7" width="15.85546875" style="138" hidden="1" customWidth="1"/>
    <col min="8" max="8" width="12.7109375" style="143" customWidth="1"/>
    <col min="9" max="11" width="14.7109375" style="143" customWidth="1"/>
    <col min="12" max="16384" width="9.140625" style="143"/>
  </cols>
  <sheetData>
    <row r="1" spans="1:10" ht="9.9499999999999993" customHeight="1" x14ac:dyDescent="0.2">
      <c r="A1" s="140"/>
      <c r="B1" s="140"/>
      <c r="C1" s="140"/>
      <c r="D1" s="141"/>
      <c r="E1" s="142"/>
      <c r="F1" s="140"/>
      <c r="G1" s="141"/>
    </row>
    <row r="2" spans="1:10" ht="30" x14ac:dyDescent="0.2">
      <c r="A2" s="144" t="s">
        <v>151</v>
      </c>
      <c r="B2" s="394" t="s">
        <v>7</v>
      </c>
      <c r="C2" s="394"/>
      <c r="D2" s="145" t="s">
        <v>228</v>
      </c>
      <c r="E2" s="146" t="s">
        <v>9</v>
      </c>
      <c r="F2" s="385" t="s">
        <v>245</v>
      </c>
      <c r="G2" s="147" t="s">
        <v>1</v>
      </c>
    </row>
    <row r="3" spans="1:10" ht="8.1" customHeight="1" x14ac:dyDescent="0.2">
      <c r="A3" s="148"/>
      <c r="B3" s="149"/>
      <c r="C3" s="149"/>
      <c r="D3" s="150"/>
      <c r="E3" s="151"/>
      <c r="F3" s="152"/>
      <c r="G3" s="149"/>
    </row>
    <row r="4" spans="1:10" ht="75" customHeight="1" x14ac:dyDescent="0.2">
      <c r="A4" s="246" t="s">
        <v>355</v>
      </c>
      <c r="B4" s="683" t="s">
        <v>673</v>
      </c>
      <c r="C4" s="683"/>
      <c r="D4" s="683"/>
      <c r="E4" s="683"/>
      <c r="F4" s="683"/>
      <c r="G4" s="120"/>
    </row>
    <row r="5" spans="1:10" ht="15" customHeight="1" x14ac:dyDescent="0.2">
      <c r="A5" s="246"/>
      <c r="B5" s="583"/>
      <c r="C5" s="149"/>
      <c r="D5" s="150"/>
      <c r="E5" s="153"/>
      <c r="F5" s="318"/>
      <c r="G5" s="120"/>
    </row>
    <row r="6" spans="1:10" x14ac:dyDescent="0.2">
      <c r="A6" s="148"/>
      <c r="B6" s="583"/>
      <c r="C6" s="149"/>
      <c r="D6" s="150"/>
      <c r="E6" s="156"/>
      <c r="F6" s="154"/>
      <c r="G6" s="155"/>
    </row>
    <row r="7" spans="1:10" x14ac:dyDescent="0.2">
      <c r="A7" s="452" t="s">
        <v>247</v>
      </c>
      <c r="B7" s="685"/>
      <c r="C7" s="412">
        <v>10</v>
      </c>
      <c r="D7" s="168">
        <f>IF(F9="NA","",C7)</f>
        <v>10</v>
      </c>
      <c r="E7" s="174"/>
      <c r="F7" s="463"/>
      <c r="G7" s="176"/>
      <c r="J7" s="158"/>
    </row>
    <row r="8" spans="1:10" ht="45" customHeight="1" x14ac:dyDescent="0.2">
      <c r="A8" s="460" t="s">
        <v>35</v>
      </c>
      <c r="B8" s="685"/>
      <c r="C8" s="461"/>
      <c r="D8" s="462"/>
      <c r="E8" s="174"/>
      <c r="F8" s="463"/>
      <c r="G8" s="176"/>
      <c r="J8" s="158"/>
    </row>
    <row r="9" spans="1:10" x14ac:dyDescent="0.2">
      <c r="A9" s="451" t="s">
        <v>58</v>
      </c>
      <c r="B9" s="685"/>
      <c r="C9" s="207"/>
      <c r="D9" s="459"/>
      <c r="E9" s="174">
        <f>$D$91</f>
        <v>2.7027027027027026</v>
      </c>
      <c r="F9" s="616" t="s">
        <v>120</v>
      </c>
      <c r="G9" s="117">
        <f>IF($D$7="","Not Scored",IF(F9="",$D$7*E9,IF(F9="a",$D$7*E9,(IF(F9="b",$D$7*E10)))))</f>
        <v>5.4054054054054053</v>
      </c>
    </row>
    <row r="10" spans="1:10" x14ac:dyDescent="0.2">
      <c r="A10" s="451" t="s">
        <v>246</v>
      </c>
      <c r="B10" s="685"/>
      <c r="C10" s="207"/>
      <c r="D10" s="459" t="s">
        <v>2</v>
      </c>
      <c r="E10" s="174">
        <f>$D$92</f>
        <v>0.54054054054054057</v>
      </c>
      <c r="F10" s="621"/>
      <c r="G10" s="125" t="str">
        <f>IF(F9="","BLANK",IF(F9="a","High",IF(F9="b","Low",IF(F9="NA","Not Applicable"))))</f>
        <v>Low</v>
      </c>
      <c r="H10" s="161"/>
    </row>
    <row r="11" spans="1:10" x14ac:dyDescent="0.2">
      <c r="A11" s="158"/>
      <c r="B11" s="581"/>
      <c r="C11" s="164"/>
      <c r="D11" s="137"/>
      <c r="F11" s="39"/>
    </row>
    <row r="12" spans="1:10" x14ac:dyDescent="0.2">
      <c r="A12" s="167"/>
      <c r="B12" s="581"/>
      <c r="C12" s="160"/>
      <c r="D12" s="137"/>
      <c r="E12" s="165"/>
      <c r="F12" s="39"/>
    </row>
    <row r="13" spans="1:10" ht="30" customHeight="1" x14ac:dyDescent="0.2">
      <c r="A13" s="464" t="s">
        <v>453</v>
      </c>
      <c r="B13" s="685"/>
      <c r="C13" s="412">
        <v>15</v>
      </c>
      <c r="D13" s="168">
        <f>IF(F14="NA","",C13)</f>
        <v>15</v>
      </c>
      <c r="E13" s="453"/>
      <c r="F13" s="454"/>
      <c r="G13" s="176"/>
    </row>
    <row r="14" spans="1:10" ht="30" x14ac:dyDescent="0.2">
      <c r="A14" s="566" t="s">
        <v>402</v>
      </c>
      <c r="B14" s="685"/>
      <c r="C14" s="207"/>
      <c r="D14" s="459"/>
      <c r="E14" s="174">
        <f>$D$91</f>
        <v>2.7027027027027026</v>
      </c>
      <c r="F14" s="616" t="s">
        <v>122</v>
      </c>
      <c r="G14" s="614">
        <f>IF($D$13="","Not Scored",IF(F14="",$D$13*E14,IF(F14="a",$D$13*E14,(IF(F14="b",$D$13*E15,IF(F14="c",$D$13*E16,IF(F14="d",$D$13*E17)))))))</f>
        <v>8.1081081081081088</v>
      </c>
    </row>
    <row r="15" spans="1:10" x14ac:dyDescent="0.2">
      <c r="A15" s="566" t="s">
        <v>403</v>
      </c>
      <c r="B15" s="685"/>
      <c r="C15" s="465"/>
      <c r="D15" s="459"/>
      <c r="E15" s="174">
        <f>AVERAGE(E14,AVERAGE(E14,E17))</f>
        <v>2.1621621621621623</v>
      </c>
      <c r="F15" s="622"/>
      <c r="G15" s="615" t="str">
        <f>IF(F14="","BLANK",IF(F14="a","High",IF(F14="b","Medium - High",IF(F14="c","Medium - Low",IF(F14="d","Low",IF(F14="NA","Not Applicable"))))))</f>
        <v>Low</v>
      </c>
    </row>
    <row r="16" spans="1:10" x14ac:dyDescent="0.2">
      <c r="A16" s="566" t="s">
        <v>404</v>
      </c>
      <c r="B16" s="685"/>
      <c r="C16" s="207"/>
      <c r="D16" s="459"/>
      <c r="E16" s="174">
        <f>AVERAGE(E17,AVERAGE(E14,E17))</f>
        <v>1.0810810810810811</v>
      </c>
      <c r="F16" s="624"/>
      <c r="G16" s="166"/>
    </row>
    <row r="17" spans="1:8" x14ac:dyDescent="0.2">
      <c r="A17" s="566" t="s">
        <v>405</v>
      </c>
      <c r="B17" s="685"/>
      <c r="C17" s="207"/>
      <c r="D17" s="459"/>
      <c r="E17" s="174">
        <f>$D$92</f>
        <v>0.54054054054054057</v>
      </c>
      <c r="F17" s="623"/>
      <c r="G17" s="162"/>
    </row>
    <row r="18" spans="1:8" x14ac:dyDescent="0.2">
      <c r="A18" s="167"/>
      <c r="B18" s="581"/>
      <c r="C18" s="160"/>
      <c r="D18" s="137"/>
      <c r="E18" s="165"/>
      <c r="F18" s="39"/>
    </row>
    <row r="19" spans="1:8" x14ac:dyDescent="0.2">
      <c r="A19" s="158"/>
      <c r="B19" s="581"/>
      <c r="C19" s="164"/>
      <c r="D19" s="137"/>
      <c r="E19" s="165"/>
      <c r="F19" s="39"/>
    </row>
    <row r="20" spans="1:8" ht="15" customHeight="1" x14ac:dyDescent="0.2">
      <c r="A20" s="464" t="s">
        <v>422</v>
      </c>
      <c r="B20" s="685"/>
      <c r="C20" s="412">
        <v>5</v>
      </c>
      <c r="D20" s="168">
        <f>IF(F21="NA","",C20)</f>
        <v>5</v>
      </c>
      <c r="E20" s="453"/>
      <c r="F20" s="454"/>
      <c r="G20" s="176"/>
    </row>
    <row r="21" spans="1:8" x14ac:dyDescent="0.2">
      <c r="A21" s="451" t="s">
        <v>43</v>
      </c>
      <c r="B21" s="685"/>
      <c r="C21" s="207"/>
      <c r="D21" s="459"/>
      <c r="E21" s="174">
        <f>$D$91</f>
        <v>2.7027027027027026</v>
      </c>
      <c r="F21" s="616" t="s">
        <v>120</v>
      </c>
      <c r="G21" s="620">
        <f>IF($D$20="","Not Scored",IF(F21="",$D$20*E21,IF(F21="a",$D$20*E21,(IF(F21="b",$D$20*E22)))))</f>
        <v>2.7027027027027026</v>
      </c>
    </row>
    <row r="22" spans="1:8" x14ac:dyDescent="0.2">
      <c r="A22" s="451" t="s">
        <v>304</v>
      </c>
      <c r="B22" s="685"/>
      <c r="C22" s="207"/>
      <c r="D22" s="459"/>
      <c r="E22" s="174">
        <f>$D$92</f>
        <v>0.54054054054054057</v>
      </c>
      <c r="F22" s="621"/>
      <c r="G22" s="615" t="str">
        <f>IF(F21="","BLANK",IF(F21="a","High",IF(F21="b","Low",IF(F21="NA","Not Applicable"))))</f>
        <v>Low</v>
      </c>
    </row>
    <row r="23" spans="1:8" x14ac:dyDescent="0.2">
      <c r="A23" s="167"/>
      <c r="B23" s="581"/>
      <c r="C23" s="160"/>
      <c r="D23" s="137"/>
      <c r="E23" s="165"/>
      <c r="F23" s="39"/>
    </row>
    <row r="24" spans="1:8" x14ac:dyDescent="0.2">
      <c r="A24" s="167"/>
      <c r="B24" s="581"/>
      <c r="C24" s="160"/>
      <c r="D24" s="137"/>
      <c r="E24" s="165"/>
      <c r="F24" s="39"/>
    </row>
    <row r="25" spans="1:8" x14ac:dyDescent="0.2">
      <c r="A25" s="452" t="s">
        <v>423</v>
      </c>
      <c r="B25" s="685"/>
      <c r="C25" s="412">
        <v>10</v>
      </c>
      <c r="D25" s="168">
        <f>IF(F27="NA","",C25)</f>
        <v>10</v>
      </c>
      <c r="E25" s="453"/>
      <c r="F25" s="454"/>
      <c r="G25" s="176"/>
    </row>
    <row r="26" spans="1:8" ht="60" customHeight="1" x14ac:dyDescent="0.2">
      <c r="A26" s="455" t="s">
        <v>348</v>
      </c>
      <c r="B26" s="685"/>
      <c r="C26" s="456"/>
      <c r="D26" s="448"/>
      <c r="E26" s="453"/>
      <c r="F26" s="454"/>
      <c r="G26" s="176"/>
    </row>
    <row r="27" spans="1:8" ht="15" customHeight="1" x14ac:dyDescent="0.2">
      <c r="A27" s="457" t="s">
        <v>248</v>
      </c>
      <c r="B27" s="685"/>
      <c r="C27" s="207"/>
      <c r="D27" s="459"/>
      <c r="E27" s="174">
        <f>$D$91</f>
        <v>2.7027027027027026</v>
      </c>
      <c r="F27" s="616" t="s">
        <v>122</v>
      </c>
      <c r="G27" s="614">
        <f>IF($D$25="","Not Scored",IF(F27="",$D$25*E27,IF(F27="a",$D$25*E27,(IF(F27="b",$D$25*E28,IF(F27="c",$D$25*E29,IF(F27="d",$D$25*E30)))))))</f>
        <v>5.4054054054054053</v>
      </c>
    </row>
    <row r="28" spans="1:8" ht="15" customHeight="1" x14ac:dyDescent="0.2">
      <c r="A28" s="457" t="s">
        <v>249</v>
      </c>
      <c r="B28" s="685"/>
      <c r="C28" s="207"/>
      <c r="D28" s="459"/>
      <c r="E28" s="174">
        <f>AVERAGE(E27,AVERAGE(E27,E30))</f>
        <v>2.1621621621621623</v>
      </c>
      <c r="F28" s="622"/>
      <c r="G28" s="615" t="str">
        <f>IF(F27="","BLANK",IF(F27="a","High",IF(F27="b","Medium - High",IF(F27="c","Medium - Low",IF(F27="d","Low",IF(F27="NA","Not Applicable"))))))</f>
        <v>Low</v>
      </c>
    </row>
    <row r="29" spans="1:8" ht="15" customHeight="1" x14ac:dyDescent="0.2">
      <c r="A29" s="457" t="s">
        <v>250</v>
      </c>
      <c r="B29" s="685"/>
      <c r="C29" s="207"/>
      <c r="D29" s="459"/>
      <c r="E29" s="174">
        <f>AVERAGE(E30,AVERAGE(E27,E30))</f>
        <v>1.0810810810810811</v>
      </c>
      <c r="F29" s="624"/>
      <c r="G29" s="166"/>
      <c r="H29" s="161"/>
    </row>
    <row r="30" spans="1:8" ht="15" customHeight="1" x14ac:dyDescent="0.2">
      <c r="A30" s="457" t="s">
        <v>349</v>
      </c>
      <c r="B30" s="685"/>
      <c r="C30" s="207"/>
      <c r="D30" s="459"/>
      <c r="E30" s="174">
        <f>$D$92</f>
        <v>0.54054054054054057</v>
      </c>
      <c r="F30" s="623"/>
      <c r="G30" s="162"/>
      <c r="H30" s="163"/>
    </row>
    <row r="31" spans="1:8" x14ac:dyDescent="0.2">
      <c r="A31" s="158"/>
      <c r="B31" s="581"/>
      <c r="C31" s="164"/>
      <c r="D31" s="137"/>
      <c r="E31" s="165"/>
      <c r="F31" s="39"/>
    </row>
    <row r="32" spans="1:8" x14ac:dyDescent="0.2">
      <c r="A32" s="167"/>
      <c r="B32" s="581"/>
      <c r="C32" s="160"/>
      <c r="D32" s="137"/>
      <c r="E32" s="165"/>
      <c r="F32" s="39"/>
    </row>
    <row r="33" spans="1:8" x14ac:dyDescent="0.2">
      <c r="A33" s="452" t="s">
        <v>424</v>
      </c>
      <c r="B33" s="685"/>
      <c r="C33" s="412">
        <v>15</v>
      </c>
      <c r="D33" s="168">
        <f>IF(F34="NA","",C33)</f>
        <v>15</v>
      </c>
      <c r="E33" s="453"/>
      <c r="F33" s="454"/>
      <c r="G33" s="176"/>
    </row>
    <row r="34" spans="1:8" x14ac:dyDescent="0.2">
      <c r="A34" s="451" t="s">
        <v>58</v>
      </c>
      <c r="B34" s="685"/>
      <c r="C34" s="207"/>
      <c r="D34" s="459"/>
      <c r="E34" s="174">
        <f>$D$91</f>
        <v>2.7027027027027026</v>
      </c>
      <c r="F34" s="616" t="s">
        <v>120</v>
      </c>
      <c r="G34" s="620">
        <f>IF($D$33="","Not Scored",IF(F34="",$D$33*E34,IF(F34="a",$D$33*E34,(IF(F34="b",$D$33*E35)))))</f>
        <v>8.1081081081081088</v>
      </c>
    </row>
    <row r="35" spans="1:8" x14ac:dyDescent="0.2">
      <c r="A35" s="451" t="s">
        <v>246</v>
      </c>
      <c r="B35" s="685"/>
      <c r="C35" s="207"/>
      <c r="D35" s="459"/>
      <c r="E35" s="174">
        <f>$D$92</f>
        <v>0.54054054054054057</v>
      </c>
      <c r="F35" s="621"/>
      <c r="G35" s="615" t="str">
        <f>IF(F34="","BLANK",IF(F34="a","High",IF(F34="b","Low",IF(F34="NA","Not Applicable"))))</f>
        <v>Low</v>
      </c>
      <c r="H35" s="161"/>
    </row>
    <row r="36" spans="1:8" x14ac:dyDescent="0.2">
      <c r="A36" s="167"/>
      <c r="B36" s="581"/>
      <c r="C36" s="160"/>
      <c r="D36" s="137"/>
      <c r="E36" s="165"/>
      <c r="F36" s="39"/>
    </row>
    <row r="37" spans="1:8" x14ac:dyDescent="0.2">
      <c r="A37" s="167" t="s">
        <v>2</v>
      </c>
      <c r="B37" s="581"/>
      <c r="C37" s="160"/>
      <c r="D37" s="137"/>
      <c r="F37" s="39"/>
    </row>
    <row r="38" spans="1:8" x14ac:dyDescent="0.2">
      <c r="A38" s="452" t="s">
        <v>425</v>
      </c>
      <c r="B38" s="685"/>
      <c r="C38" s="412">
        <v>15</v>
      </c>
      <c r="D38" s="168">
        <f>IF(F39="NA","",C38)</f>
        <v>15</v>
      </c>
      <c r="E38" s="453"/>
      <c r="F38" s="475"/>
      <c r="G38" s="176"/>
    </row>
    <row r="39" spans="1:8" x14ac:dyDescent="0.2">
      <c r="A39" s="451" t="s">
        <v>350</v>
      </c>
      <c r="B39" s="685"/>
      <c r="C39" s="207"/>
      <c r="D39" s="459"/>
      <c r="E39" s="174">
        <f>$D$91</f>
        <v>2.7027027027027026</v>
      </c>
      <c r="F39" s="616" t="s">
        <v>121</v>
      </c>
      <c r="G39" s="620">
        <f>IF($D$38="","Not Scored",IF(F39="",$D$38*E39,IF(F39="a",$D$38*E39,(IF(F39="b",$D$38*E40,IF(F39="c",$D$38*E41))))))</f>
        <v>8.1081081081081088</v>
      </c>
    </row>
    <row r="40" spans="1:8" x14ac:dyDescent="0.2">
      <c r="A40" s="451" t="s">
        <v>164</v>
      </c>
      <c r="B40" s="685"/>
      <c r="C40" s="207"/>
      <c r="D40" s="459"/>
      <c r="E40" s="174">
        <f>AVERAGE(E39,E41)</f>
        <v>1.6216216216216215</v>
      </c>
      <c r="F40" s="622"/>
      <c r="G40" s="615" t="str">
        <f>IF(F39="","BLANK",IF(F39="a","High",IF(F39="b","Medium",IF(F39="c","Low",IF(F39="NA","Not Applicable")))))</f>
        <v>Low</v>
      </c>
    </row>
    <row r="41" spans="1:8" x14ac:dyDescent="0.2">
      <c r="A41" s="451" t="s">
        <v>351</v>
      </c>
      <c r="B41" s="685"/>
      <c r="C41" s="207"/>
      <c r="D41" s="459"/>
      <c r="E41" s="174">
        <f>$D$92</f>
        <v>0.54054054054054057</v>
      </c>
      <c r="F41" s="623"/>
      <c r="G41" s="162"/>
    </row>
    <row r="42" spans="1:8" x14ac:dyDescent="0.2">
      <c r="A42" s="167"/>
      <c r="B42" s="581"/>
      <c r="C42" s="160"/>
      <c r="D42" s="137"/>
      <c r="E42" s="165"/>
      <c r="F42" s="39"/>
    </row>
    <row r="43" spans="1:8" x14ac:dyDescent="0.2">
      <c r="A43" s="167"/>
      <c r="B43" s="581"/>
      <c r="C43" s="160"/>
      <c r="D43" s="137"/>
      <c r="E43" s="165"/>
      <c r="F43" s="39"/>
    </row>
    <row r="44" spans="1:8" x14ac:dyDescent="0.2">
      <c r="A44" s="452" t="s">
        <v>426</v>
      </c>
      <c r="B44" s="685"/>
      <c r="C44" s="412">
        <v>15</v>
      </c>
      <c r="D44" s="168">
        <f>IF(F45="NA","",C44)</f>
        <v>15</v>
      </c>
      <c r="E44" s="453"/>
      <c r="F44" s="454"/>
      <c r="G44" s="176"/>
    </row>
    <row r="45" spans="1:8" x14ac:dyDescent="0.2">
      <c r="A45" s="451" t="s">
        <v>58</v>
      </c>
      <c r="B45" s="685"/>
      <c r="C45" s="207"/>
      <c r="D45" s="459"/>
      <c r="E45" s="174">
        <f>$D$91</f>
        <v>2.7027027027027026</v>
      </c>
      <c r="F45" s="616" t="s">
        <v>120</v>
      </c>
      <c r="G45" s="620">
        <f>IF($D$44="","Not Scored",IF(F45="",$D$44*E45,IF(F45="a",$D$44*E45,(IF(F45="b",$D$44*E46)))))</f>
        <v>8.1081081081081088</v>
      </c>
    </row>
    <row r="46" spans="1:8" x14ac:dyDescent="0.2">
      <c r="A46" s="451" t="s">
        <v>246</v>
      </c>
      <c r="B46" s="685"/>
      <c r="C46" s="207"/>
      <c r="D46" s="459"/>
      <c r="E46" s="174">
        <f>$D$92</f>
        <v>0.54054054054054057</v>
      </c>
      <c r="F46" s="621"/>
      <c r="G46" s="615" t="str">
        <f>IF(F45="","BLANK",IF(F45="a","High",IF(F45="b","Low",IF(F45="NA","Not Applicable"))))</f>
        <v>Low</v>
      </c>
    </row>
    <row r="47" spans="1:8" x14ac:dyDescent="0.2">
      <c r="A47" s="158"/>
      <c r="B47" s="581"/>
      <c r="C47" s="164"/>
      <c r="D47" s="137"/>
      <c r="E47" s="165" t="s">
        <v>3</v>
      </c>
      <c r="F47" s="39"/>
    </row>
    <row r="48" spans="1:8" x14ac:dyDescent="0.2">
      <c r="A48" s="158"/>
      <c r="B48" s="581"/>
      <c r="C48" s="164"/>
      <c r="D48" s="137"/>
      <c r="E48" s="165"/>
      <c r="F48" s="39"/>
    </row>
    <row r="49" spans="1:8" x14ac:dyDescent="0.2">
      <c r="A49" s="452" t="s">
        <v>427</v>
      </c>
      <c r="B49" s="685"/>
      <c r="C49" s="412">
        <v>20</v>
      </c>
      <c r="D49" s="168">
        <f>IF(F50="NA","",C49)</f>
        <v>20</v>
      </c>
      <c r="E49" s="453"/>
      <c r="F49" s="454"/>
      <c r="G49" s="176"/>
    </row>
    <row r="50" spans="1:8" x14ac:dyDescent="0.2">
      <c r="A50" s="451" t="s">
        <v>138</v>
      </c>
      <c r="B50" s="685"/>
      <c r="C50" s="207"/>
      <c r="D50" s="459"/>
      <c r="E50" s="174">
        <f>$D$91</f>
        <v>2.7027027027027026</v>
      </c>
      <c r="F50" s="616" t="s">
        <v>123</v>
      </c>
      <c r="G50" s="614">
        <f>IF($D$49="","Not Scored",IF(F50="",$D$49*E50,IF(F50="a",$D$49*E50,(IF(F50="b",$D$49*E51,IF(F50="c",$D$49*E52,IF(F50="d",$D$49*E53,IF(F50="e",$D$49*E54))))))))</f>
        <v>10.810810810810811</v>
      </c>
    </row>
    <row r="51" spans="1:8" x14ac:dyDescent="0.2">
      <c r="A51" s="451" t="s">
        <v>139</v>
      </c>
      <c r="B51" s="685"/>
      <c r="C51" s="207"/>
      <c r="D51" s="459"/>
      <c r="E51" s="174">
        <f>AVERAGE(E50,E52)</f>
        <v>2.1621621621621623</v>
      </c>
      <c r="F51" s="622"/>
      <c r="G51" s="615" t="str">
        <f>IF(F50="","BLANK",IF(F50="a","High",IF(F50="b","Medium - High",IF(F50="c","Medium",IF(F50="d","Medium - Low",IF(F50="e","Low",IF(F50="NA","Not Applicable")))))))</f>
        <v>Low</v>
      </c>
    </row>
    <row r="52" spans="1:8" x14ac:dyDescent="0.2">
      <c r="A52" s="451" t="s">
        <v>140</v>
      </c>
      <c r="B52" s="685"/>
      <c r="C52" s="207"/>
      <c r="D52" s="459"/>
      <c r="E52" s="174">
        <f>AVERAGE(E50,E54)</f>
        <v>1.6216216216216215</v>
      </c>
      <c r="F52" s="624"/>
      <c r="G52" s="166"/>
    </row>
    <row r="53" spans="1:8" x14ac:dyDescent="0.2">
      <c r="A53" s="451" t="s">
        <v>141</v>
      </c>
      <c r="B53" s="685"/>
      <c r="C53" s="207"/>
      <c r="D53" s="459"/>
      <c r="E53" s="174">
        <f>AVERAGE(E52,E54)</f>
        <v>1.0810810810810811</v>
      </c>
      <c r="F53" s="624"/>
      <c r="G53" s="166"/>
      <c r="H53" s="161"/>
    </row>
    <row r="54" spans="1:8" x14ac:dyDescent="0.2">
      <c r="A54" s="451" t="s">
        <v>37</v>
      </c>
      <c r="B54" s="685"/>
      <c r="C54" s="207"/>
      <c r="D54" s="459"/>
      <c r="E54" s="174">
        <f>$D$92</f>
        <v>0.54054054054054057</v>
      </c>
      <c r="F54" s="623"/>
      <c r="G54" s="162"/>
      <c r="H54" s="163"/>
    </row>
    <row r="55" spans="1:8" x14ac:dyDescent="0.2">
      <c r="A55" s="158"/>
      <c r="B55" s="581"/>
      <c r="C55" s="164"/>
      <c r="D55" s="137"/>
      <c r="E55" s="165"/>
      <c r="F55" s="39"/>
    </row>
    <row r="56" spans="1:8" x14ac:dyDescent="0.2">
      <c r="A56" s="158"/>
      <c r="B56" s="581"/>
      <c r="C56" s="164"/>
      <c r="D56" s="137"/>
      <c r="E56" s="165"/>
      <c r="F56" s="39"/>
    </row>
    <row r="57" spans="1:8" ht="15" customHeight="1" x14ac:dyDescent="0.2">
      <c r="A57" s="452" t="s">
        <v>428</v>
      </c>
      <c r="B57" s="685"/>
      <c r="C57" s="412">
        <v>20</v>
      </c>
      <c r="D57" s="168">
        <f>IF(F58="NA","",C57)</f>
        <v>20</v>
      </c>
      <c r="E57" s="453"/>
      <c r="F57" s="454"/>
      <c r="G57" s="176"/>
    </row>
    <row r="58" spans="1:8" ht="15" customHeight="1" x14ac:dyDescent="0.2">
      <c r="A58" s="451" t="s">
        <v>143</v>
      </c>
      <c r="B58" s="685"/>
      <c r="C58" s="207"/>
      <c r="D58" s="459"/>
      <c r="E58" s="174">
        <f>$D$91</f>
        <v>2.7027027027027026</v>
      </c>
      <c r="F58" s="616" t="s">
        <v>120</v>
      </c>
      <c r="G58" s="620">
        <f>IF($D$57="","Not Scored",IF(F58="",$D$57*E58,IF(F58="a",$D$57*E58,(IF(F58="b",$D$57*E59)))))</f>
        <v>10.810810810810811</v>
      </c>
    </row>
    <row r="59" spans="1:8" x14ac:dyDescent="0.2">
      <c r="A59" s="451" t="s">
        <v>57</v>
      </c>
      <c r="B59" s="685"/>
      <c r="C59" s="207"/>
      <c r="D59" s="459"/>
      <c r="E59" s="174">
        <f>$D$92</f>
        <v>0.54054054054054057</v>
      </c>
      <c r="F59" s="621"/>
      <c r="G59" s="615" t="str">
        <f>IF(F58="","BLANK",IF(F58="a","High",IF(F58="b","Low",IF(F58="NA","Not Applicable"))))</f>
        <v>Low</v>
      </c>
    </row>
    <row r="60" spans="1:8" x14ac:dyDescent="0.2">
      <c r="A60" s="167"/>
      <c r="B60" s="581"/>
      <c r="C60" s="160"/>
      <c r="D60" s="137"/>
      <c r="E60" s="165"/>
      <c r="F60" s="39"/>
    </row>
    <row r="61" spans="1:8" x14ac:dyDescent="0.2">
      <c r="A61" s="167"/>
      <c r="B61" s="581"/>
      <c r="C61" s="160"/>
      <c r="D61" s="137"/>
      <c r="E61" s="165"/>
      <c r="F61" s="39"/>
    </row>
    <row r="62" spans="1:8" ht="30" customHeight="1" x14ac:dyDescent="0.2">
      <c r="A62" s="452" t="s">
        <v>429</v>
      </c>
      <c r="B62" s="685"/>
      <c r="C62" s="412">
        <v>15</v>
      </c>
      <c r="D62" s="168">
        <f>IF(F63="NA","",C62)</f>
        <v>15</v>
      </c>
      <c r="E62" s="453"/>
      <c r="F62" s="454"/>
      <c r="G62" s="176"/>
    </row>
    <row r="63" spans="1:8" x14ac:dyDescent="0.2">
      <c r="A63" s="451" t="s">
        <v>251</v>
      </c>
      <c r="B63" s="685"/>
      <c r="C63" s="207"/>
      <c r="D63" s="176"/>
      <c r="E63" s="174">
        <f>$D$91</f>
        <v>2.7027027027027026</v>
      </c>
      <c r="F63" s="616" t="s">
        <v>121</v>
      </c>
      <c r="G63" s="620">
        <f>IF($D$62="","Not Scored",IF(F63="",$D$62*E63,IF(F63="a",$D$62*E63,(IF(F63="b",$D$62*E64,IF(F63="c",$D$62*E65))))))</f>
        <v>8.1081081081081088</v>
      </c>
    </row>
    <row r="64" spans="1:8" x14ac:dyDescent="0.2">
      <c r="A64" s="451" t="s">
        <v>305</v>
      </c>
      <c r="B64" s="685"/>
      <c r="C64" s="207"/>
      <c r="D64" s="176"/>
      <c r="E64" s="174">
        <f>AVERAGE(E63,E65)</f>
        <v>1.6216216216216215</v>
      </c>
      <c r="F64" s="622"/>
      <c r="G64" s="615" t="str">
        <f>IF(F63="","BLANK",IF(F63="a","High",IF(F63="b","Medium",IF(F63="c","Low",IF(F63="NA","Not Applicable")))))</f>
        <v>Low</v>
      </c>
      <c r="H64" s="161"/>
    </row>
    <row r="65" spans="1:8" x14ac:dyDescent="0.2">
      <c r="A65" s="451" t="s">
        <v>352</v>
      </c>
      <c r="B65" s="685"/>
      <c r="C65" s="207"/>
      <c r="D65" s="176"/>
      <c r="E65" s="174">
        <f>$D$92</f>
        <v>0.54054054054054057</v>
      </c>
      <c r="F65" s="623"/>
      <c r="G65" s="162"/>
      <c r="H65" s="276"/>
    </row>
    <row r="66" spans="1:8" x14ac:dyDescent="0.2">
      <c r="A66" s="167"/>
      <c r="B66" s="581"/>
      <c r="C66" s="160"/>
      <c r="F66" s="40"/>
      <c r="G66" s="169"/>
    </row>
    <row r="67" spans="1:8" x14ac:dyDescent="0.2">
      <c r="A67" s="167"/>
      <c r="B67" s="581"/>
      <c r="C67" s="160"/>
      <c r="F67" s="40"/>
      <c r="G67" s="169"/>
    </row>
    <row r="68" spans="1:8" ht="30" customHeight="1" x14ac:dyDescent="0.2">
      <c r="A68" s="452" t="s">
        <v>430</v>
      </c>
      <c r="B68" s="684"/>
      <c r="C68" s="412">
        <v>15</v>
      </c>
      <c r="D68" s="168">
        <f>IF(F69="NA","",C68)</f>
        <v>15</v>
      </c>
      <c r="E68" s="174"/>
      <c r="F68" s="477"/>
      <c r="G68" s="448"/>
    </row>
    <row r="69" spans="1:8" ht="15" customHeight="1" x14ac:dyDescent="0.2">
      <c r="A69" s="451" t="s">
        <v>94</v>
      </c>
      <c r="B69" s="684"/>
      <c r="C69" s="207"/>
      <c r="D69" s="176"/>
      <c r="E69" s="174">
        <f>$D$91</f>
        <v>2.7027027027027026</v>
      </c>
      <c r="F69" s="616" t="s">
        <v>120</v>
      </c>
      <c r="G69" s="620">
        <f>IF($D$68="","Not Scored",IF(F69="",$D$68*E69,IF(F69="a",$D$68*E69,(IF(F69="b",$D$68*E70)))))</f>
        <v>8.1081081081081088</v>
      </c>
    </row>
    <row r="70" spans="1:8" ht="15" customHeight="1" x14ac:dyDescent="0.2">
      <c r="A70" s="451" t="s">
        <v>130</v>
      </c>
      <c r="B70" s="684"/>
      <c r="C70" s="207"/>
      <c r="D70" s="176"/>
      <c r="E70" s="174">
        <f>$D$92</f>
        <v>0.54054054054054057</v>
      </c>
      <c r="F70" s="621"/>
      <c r="G70" s="615" t="str">
        <f>IF(F69="","BLANK",IF(F69="a","High",IF(F69="b","Low",IF(F69="NA","Not Applicable"))))</f>
        <v>Low</v>
      </c>
    </row>
    <row r="71" spans="1:8" x14ac:dyDescent="0.2">
      <c r="A71" s="159"/>
      <c r="B71" s="581"/>
      <c r="C71" s="160"/>
      <c r="F71" s="40"/>
      <c r="G71" s="169"/>
      <c r="H71" s="138"/>
    </row>
    <row r="72" spans="1:8" x14ac:dyDescent="0.2">
      <c r="A72" s="159"/>
      <c r="B72" s="581"/>
      <c r="C72" s="160"/>
      <c r="F72" s="40"/>
      <c r="G72" s="169"/>
      <c r="H72" s="138"/>
    </row>
    <row r="73" spans="1:8" ht="30" x14ac:dyDescent="0.2">
      <c r="A73" s="452" t="s">
        <v>431</v>
      </c>
      <c r="B73" s="685"/>
      <c r="C73" s="412">
        <v>15</v>
      </c>
      <c r="D73" s="168">
        <f>IF(F74="NA","",C73)</f>
        <v>15</v>
      </c>
      <c r="E73" s="174"/>
      <c r="F73" s="477"/>
      <c r="G73" s="448"/>
      <c r="H73" s="138"/>
    </row>
    <row r="74" spans="1:8" x14ac:dyDescent="0.2">
      <c r="A74" s="451" t="s">
        <v>252</v>
      </c>
      <c r="B74" s="685"/>
      <c r="C74" s="207"/>
      <c r="D74" s="176"/>
      <c r="E74" s="174">
        <f>$D$91</f>
        <v>2.7027027027027026</v>
      </c>
      <c r="F74" s="616" t="s">
        <v>120</v>
      </c>
      <c r="G74" s="620">
        <f>IF($D$73="","Not Scored",IF(F74="",$D$73*E74,IF(F74="a",$D$73*E74,(IF(F74="b",$D$73*E75)))))</f>
        <v>8.1081081081081088</v>
      </c>
      <c r="H74" s="161"/>
    </row>
    <row r="75" spans="1:8" x14ac:dyDescent="0.2">
      <c r="A75" s="451" t="s">
        <v>253</v>
      </c>
      <c r="B75" s="685"/>
      <c r="C75" s="207"/>
      <c r="D75" s="176"/>
      <c r="E75" s="174">
        <f>$D$92</f>
        <v>0.54054054054054057</v>
      </c>
      <c r="F75" s="621"/>
      <c r="G75" s="615" t="str">
        <f>IF(F74="","BLANK",IF(F74="a","High",IF(F74="b","Low",IF(F74="NA","Not Applicable"))))</f>
        <v>Low</v>
      </c>
      <c r="H75" s="163"/>
    </row>
    <row r="76" spans="1:8" x14ac:dyDescent="0.2">
      <c r="A76" s="167"/>
      <c r="B76" s="581"/>
      <c r="C76" s="160"/>
      <c r="F76" s="40"/>
      <c r="G76" s="169"/>
      <c r="H76" s="138"/>
    </row>
    <row r="77" spans="1:8" x14ac:dyDescent="0.2">
      <c r="A77" s="167"/>
      <c r="B77" s="581"/>
      <c r="C77" s="160"/>
      <c r="F77" s="40"/>
      <c r="G77" s="169"/>
      <c r="H77" s="138"/>
    </row>
    <row r="78" spans="1:8" x14ac:dyDescent="0.2">
      <c r="A78" s="452" t="s">
        <v>432</v>
      </c>
      <c r="B78" s="685"/>
      <c r="C78" s="412">
        <v>15</v>
      </c>
      <c r="D78" s="168">
        <f>IF(F79="NA","",C78)</f>
        <v>15</v>
      </c>
      <c r="E78" s="174"/>
      <c r="F78" s="477"/>
      <c r="G78" s="448"/>
      <c r="H78" s="138"/>
    </row>
    <row r="79" spans="1:8" x14ac:dyDescent="0.2">
      <c r="A79" s="451" t="s">
        <v>165</v>
      </c>
      <c r="B79" s="685"/>
      <c r="C79" s="207"/>
      <c r="D79" s="176"/>
      <c r="E79" s="174">
        <f>$D$91</f>
        <v>2.7027027027027026</v>
      </c>
      <c r="F79" s="616" t="s">
        <v>120</v>
      </c>
      <c r="G79" s="620">
        <f>IF($D$78="","Not Scored",IF(F79="",$D$78*E79,IF(F79="a",$D$78*E79,(IF(F79="b",$D$78*E80)))))</f>
        <v>8.1081081081081088</v>
      </c>
      <c r="H79" s="161"/>
    </row>
    <row r="80" spans="1:8" x14ac:dyDescent="0.2">
      <c r="A80" s="451" t="s">
        <v>166</v>
      </c>
      <c r="B80" s="685"/>
      <c r="C80" s="207"/>
      <c r="D80" s="176"/>
      <c r="E80" s="174">
        <f>$D$92</f>
        <v>0.54054054054054057</v>
      </c>
      <c r="F80" s="621"/>
      <c r="G80" s="615" t="str">
        <f>IF(F79="","BLANK",IF(F79="a","High",IF(F79="b","Low",IF(F79="NA","Not Applicable"))))</f>
        <v>Low</v>
      </c>
      <c r="H80" s="163"/>
    </row>
    <row r="81" spans="1:11" x14ac:dyDescent="0.2">
      <c r="A81" s="159"/>
      <c r="B81" s="581"/>
      <c r="C81" s="160"/>
      <c r="F81" s="44"/>
      <c r="G81" s="272"/>
      <c r="H81" s="245"/>
    </row>
    <row r="82" spans="1:11" hidden="1" x14ac:dyDescent="0.2">
      <c r="A82" s="159"/>
      <c r="B82" s="160"/>
      <c r="C82" s="160"/>
      <c r="F82" s="170"/>
      <c r="G82" s="245"/>
      <c r="H82" s="245"/>
    </row>
    <row r="83" spans="1:11" hidden="1" x14ac:dyDescent="0.2">
      <c r="A83" s="159"/>
      <c r="B83" s="426" t="s">
        <v>229</v>
      </c>
      <c r="C83" s="425">
        <f>SUM(C4:C82)</f>
        <v>185</v>
      </c>
      <c r="D83" s="169"/>
      <c r="E83" s="298"/>
      <c r="F83" s="427" t="s">
        <v>202</v>
      </c>
      <c r="G83" s="429">
        <f>SUM(G6:G82)</f>
        <v>100.00000000000001</v>
      </c>
      <c r="H83" s="138"/>
    </row>
    <row r="84" spans="1:11" hidden="1" x14ac:dyDescent="0.2">
      <c r="A84" s="159"/>
      <c r="B84" s="160"/>
      <c r="C84" s="160"/>
      <c r="F84" s="170"/>
      <c r="G84" s="171"/>
      <c r="H84" s="138"/>
    </row>
    <row r="85" spans="1:11" x14ac:dyDescent="0.2">
      <c r="A85" s="159"/>
      <c r="B85" s="160"/>
      <c r="C85" s="160"/>
      <c r="F85" s="170"/>
      <c r="G85" s="171"/>
      <c r="H85" s="138"/>
    </row>
    <row r="86" spans="1:11" ht="15" customHeight="1" x14ac:dyDescent="0.2">
      <c r="A86" s="173"/>
      <c r="B86" s="574"/>
      <c r="C86" s="172"/>
      <c r="D86" s="512">
        <f>+SUM(D4:D82)</f>
        <v>185</v>
      </c>
      <c r="E86" s="174"/>
      <c r="F86" s="321" t="str">
        <f>IF(AND(Summary!$A$8="Yes",$G$83&gt;0),$G$83,"Not Scored")</f>
        <v>Not Scored</v>
      </c>
      <c r="G86" s="321" t="str">
        <f>IF(AND(Summary!$A$8="Yes",$G$83&gt;0),$G$83,"Not Scored")</f>
        <v>Not Scored</v>
      </c>
      <c r="I86" s="295" t="s">
        <v>202</v>
      </c>
      <c r="K86" s="138"/>
    </row>
    <row r="87" spans="1:11" ht="15" customHeight="1" x14ac:dyDescent="0.2">
      <c r="A87" s="173"/>
      <c r="B87" s="74"/>
      <c r="C87" s="432"/>
      <c r="D87" s="173"/>
      <c r="E87" s="174"/>
      <c r="F87" s="176"/>
      <c r="G87" s="176"/>
      <c r="I87" s="265" t="s">
        <v>158</v>
      </c>
      <c r="J87" s="265" t="s">
        <v>159</v>
      </c>
      <c r="K87" s="265" t="s">
        <v>160</v>
      </c>
    </row>
    <row r="88" spans="1:11" ht="15" customHeight="1" x14ac:dyDescent="0.2">
      <c r="A88" s="173"/>
      <c r="B88" s="74"/>
      <c r="C88" s="432"/>
      <c r="D88" s="173">
        <f>+D86+D87</f>
        <v>185</v>
      </c>
      <c r="E88" s="174"/>
      <c r="F88" s="176"/>
      <c r="G88" s="176"/>
      <c r="I88" s="266">
        <v>100</v>
      </c>
      <c r="J88" s="267" t="s">
        <v>161</v>
      </c>
      <c r="K88" s="268"/>
    </row>
    <row r="89" spans="1:11" ht="15" customHeight="1" x14ac:dyDescent="0.2">
      <c r="A89" s="173"/>
      <c r="B89" s="172"/>
      <c r="C89" s="172"/>
      <c r="D89" s="173"/>
      <c r="E89" s="174"/>
      <c r="F89" s="176"/>
      <c r="G89" s="176"/>
      <c r="I89" s="269">
        <f>IF(F86="Not Scored",0,F86)</f>
        <v>0</v>
      </c>
      <c r="J89" s="270" t="s">
        <v>162</v>
      </c>
      <c r="K89" s="271">
        <v>4</v>
      </c>
    </row>
    <row r="90" spans="1:11" s="182" customFormat="1" ht="15" customHeight="1" x14ac:dyDescent="0.2">
      <c r="A90" s="575"/>
      <c r="B90" s="177"/>
      <c r="C90" s="177"/>
      <c r="D90" s="178"/>
      <c r="E90" s="179"/>
      <c r="F90" s="181"/>
      <c r="G90" s="181"/>
      <c r="I90" s="266">
        <v>500</v>
      </c>
      <c r="J90" s="267" t="s">
        <v>163</v>
      </c>
      <c r="K90" s="268"/>
    </row>
    <row r="91" spans="1:11" s="182" customFormat="1" ht="15" customHeight="1" x14ac:dyDescent="0.2">
      <c r="A91" s="575"/>
      <c r="B91" s="183"/>
      <c r="C91" s="183"/>
      <c r="D91" s="275">
        <f>IF(D86=0,0,(500/D86))</f>
        <v>2.7027027027027026</v>
      </c>
      <c r="E91" s="179"/>
      <c r="F91" s="181"/>
      <c r="G91" s="181"/>
    </row>
    <row r="92" spans="1:11" s="182" customFormat="1" ht="15" customHeight="1" x14ac:dyDescent="0.2">
      <c r="A92" s="575"/>
      <c r="B92" s="183"/>
      <c r="C92" s="183"/>
      <c r="D92" s="275">
        <f>IF(D88=0,0,(100/D88))</f>
        <v>0.54054054054054057</v>
      </c>
      <c r="E92" s="179"/>
      <c r="F92" s="181"/>
      <c r="G92" s="181"/>
    </row>
    <row r="93" spans="1:11" s="182" customFormat="1" ht="15" customHeight="1" x14ac:dyDescent="0.2">
      <c r="A93" s="575"/>
      <c r="B93" s="183"/>
      <c r="C93" s="183"/>
      <c r="D93" s="178"/>
      <c r="E93" s="179"/>
      <c r="F93" s="181"/>
      <c r="G93" s="181"/>
    </row>
    <row r="94" spans="1:11" ht="15" customHeight="1" x14ac:dyDescent="0.2">
      <c r="A94" s="183"/>
      <c r="B94" s="184" t="s">
        <v>462</v>
      </c>
      <c r="C94" s="571"/>
      <c r="D94" s="572"/>
      <c r="E94" s="174"/>
      <c r="F94" s="328" t="str">
        <f>IF(F86="Not Scored","",IF(ROUND(F86,0)&gt;367,"High_Complexity",""))</f>
        <v/>
      </c>
      <c r="G94" s="328" t="str">
        <f>IF(G86="Not Scored","",IF(ROUND(G86,0)&gt;367,"High_Complexity",""))</f>
        <v/>
      </c>
    </row>
    <row r="95" spans="1:11" ht="15" customHeight="1" x14ac:dyDescent="0.2">
      <c r="A95" s="183"/>
      <c r="B95" s="184" t="s">
        <v>463</v>
      </c>
      <c r="C95" s="571"/>
      <c r="D95" s="573"/>
      <c r="E95" s="174"/>
      <c r="F95" s="327" t="str">
        <f>IF(F86="Not Scored","",IF(AND(ROUND(F86,0)&gt;233,ROUND(F86,0)&lt;368),"Medium_Complexity",""))</f>
        <v/>
      </c>
      <c r="G95" s="327" t="str">
        <f>IF(G86="Not Scored","",IF(AND(ROUND(G86,0)&gt;233,ROUND(G86,0)&lt;368),"Medium_Complexity",""))</f>
        <v/>
      </c>
    </row>
    <row r="96" spans="1:11" ht="15" customHeight="1" x14ac:dyDescent="0.2">
      <c r="A96" s="494"/>
      <c r="B96" s="184" t="s">
        <v>464</v>
      </c>
      <c r="C96" s="571"/>
      <c r="D96" s="572"/>
      <c r="E96" s="174"/>
      <c r="F96" s="329" t="str">
        <f>IF(F86="Not Scored","",IF(AND(ROUND(F86,0)&gt;99,ROUND(F86,0)&lt;234),"Low_Complexity",""))</f>
        <v/>
      </c>
      <c r="G96" s="329" t="str">
        <f>IF(G86="Not Scored","",IF(AND(ROUND(G86,0)&gt;99,ROUND(G86,0)&lt;234),"Low_Complexity",""))</f>
        <v/>
      </c>
      <c r="I96" s="295" t="s">
        <v>203</v>
      </c>
      <c r="K96" s="138"/>
    </row>
    <row r="97" spans="1:11" ht="15" customHeight="1" thickBot="1" x14ac:dyDescent="0.25">
      <c r="A97" s="183"/>
      <c r="B97" s="189"/>
      <c r="C97" s="189"/>
      <c r="D97" s="176"/>
      <c r="E97" s="174"/>
      <c r="F97" s="176"/>
      <c r="G97" s="176"/>
      <c r="I97" s="265" t="s">
        <v>158</v>
      </c>
      <c r="J97" s="265" t="s">
        <v>159</v>
      </c>
      <c r="K97" s="265" t="s">
        <v>160</v>
      </c>
    </row>
    <row r="98" spans="1:11" ht="15" customHeight="1" thickBot="1" x14ac:dyDescent="0.25">
      <c r="A98" s="183"/>
      <c r="B98" s="287" t="s">
        <v>465</v>
      </c>
      <c r="C98" s="287"/>
      <c r="D98" s="288"/>
      <c r="E98" s="289"/>
      <c r="F98" s="190" t="str">
        <f>'Project Category Lookup Table'!$D$10</f>
        <v>Not Scored</v>
      </c>
      <c r="G98" s="190" t="str">
        <f>'Project Category Lookup Table'!$D$10</f>
        <v>Not Scored</v>
      </c>
      <c r="I98" s="266">
        <v>1</v>
      </c>
      <c r="J98" s="267" t="s">
        <v>161</v>
      </c>
      <c r="K98" s="268"/>
    </row>
    <row r="99" spans="1:11" ht="15" customHeight="1" thickBot="1" x14ac:dyDescent="0.25">
      <c r="A99" s="183"/>
      <c r="B99" s="183"/>
      <c r="C99" s="183"/>
      <c r="D99" s="176"/>
      <c r="E99" s="174"/>
      <c r="F99" s="176"/>
      <c r="G99" s="176"/>
      <c r="I99" s="269">
        <f>IF(F98="Not Scored",0,F98)</f>
        <v>0</v>
      </c>
      <c r="J99" s="270" t="s">
        <v>162</v>
      </c>
      <c r="K99" s="271">
        <v>4</v>
      </c>
    </row>
    <row r="100" spans="1:11" ht="15" customHeight="1" thickBot="1" x14ac:dyDescent="0.25">
      <c r="A100" s="183"/>
      <c r="B100" s="177" t="s">
        <v>457</v>
      </c>
      <c r="C100" s="177"/>
      <c r="D100" s="176"/>
      <c r="E100" s="174"/>
      <c r="F100" s="191" t="str">
        <f>IF(AND($F$74="NA",$F$79="NA"),"NO","NOTIFY")</f>
        <v>NOTIFY</v>
      </c>
      <c r="G100" s="191" t="str">
        <f>IF(AND($F$74="NA",$F$79="NA"),"NO","NOTIFY")</f>
        <v>NOTIFY</v>
      </c>
      <c r="I100" s="266">
        <v>4</v>
      </c>
      <c r="J100" s="267" t="s">
        <v>163</v>
      </c>
      <c r="K100" s="268"/>
    </row>
    <row r="101" spans="1:11" ht="15" customHeight="1" x14ac:dyDescent="0.2">
      <c r="F101" s="192"/>
    </row>
    <row r="102" spans="1:11" ht="15" customHeight="1" x14ac:dyDescent="0.2">
      <c r="F102" s="192"/>
    </row>
    <row r="103" spans="1:11" ht="15" customHeight="1" x14ac:dyDescent="0.2">
      <c r="F103" s="192"/>
    </row>
    <row r="104" spans="1:11" ht="15" customHeight="1" x14ac:dyDescent="0.2">
      <c r="F104" s="192"/>
    </row>
    <row r="105" spans="1:11" x14ac:dyDescent="0.2">
      <c r="F105" s="192"/>
    </row>
    <row r="106" spans="1:11" x14ac:dyDescent="0.2">
      <c r="F106" s="192"/>
    </row>
  </sheetData>
  <sheetProtection algorithmName="SHA-512" hashValue="kmoI9kqU4hGrl7D1rBWhW6K4+sOF8jadE6hsrv67pj4XdfhyRUjGfPStY9ueO59VspNUvuE+oRDd7u10SANzyw==" saltValue="QWivSBKSH+83FXHhk1EEyQ==" spinCount="100000" sheet="1" selectLockedCells="1"/>
  <mergeCells count="14">
    <mergeCell ref="B4:F4"/>
    <mergeCell ref="B7:B10"/>
    <mergeCell ref="B33:B35"/>
    <mergeCell ref="B25:B30"/>
    <mergeCell ref="B20:B22"/>
    <mergeCell ref="B13:B17"/>
    <mergeCell ref="B38:B41"/>
    <mergeCell ref="B62:B65"/>
    <mergeCell ref="B57:B59"/>
    <mergeCell ref="B78:B80"/>
    <mergeCell ref="B73:B75"/>
    <mergeCell ref="B68:B70"/>
    <mergeCell ref="B49:B54"/>
    <mergeCell ref="B44:B46"/>
  </mergeCells>
  <phoneticPr fontId="12" type="noConversion"/>
  <conditionalFormatting sqref="G94">
    <cfRule type="containsText" dxfId="543" priority="208" operator="containsText" text="High">
      <formula>NOT(ISERROR(SEARCH("High",G94)))</formula>
    </cfRule>
  </conditionalFormatting>
  <conditionalFormatting sqref="G95">
    <cfRule type="containsText" dxfId="542" priority="207" operator="containsText" text="Medium">
      <formula>NOT(ISERROR(SEARCH("Medium",G95)))</formula>
    </cfRule>
  </conditionalFormatting>
  <conditionalFormatting sqref="G96">
    <cfRule type="containsText" dxfId="541" priority="206" operator="containsText" text="Low">
      <formula>NOT(ISERROR(SEARCH("Low",G96)))</formula>
    </cfRule>
  </conditionalFormatting>
  <conditionalFormatting sqref="G100">
    <cfRule type="containsText" dxfId="540" priority="205" operator="containsText" text="NOTIFY">
      <formula>NOT(ISERROR(SEARCH("NOTIFY",G100)))</formula>
    </cfRule>
  </conditionalFormatting>
  <conditionalFormatting sqref="G98">
    <cfRule type="containsText" dxfId="539" priority="102" operator="containsText" text="Not Scored">
      <formula>NOT(ISERROR(SEARCH("Not Scored",G98)))</formula>
    </cfRule>
    <cfRule type="cellIs" dxfId="538" priority="200" operator="between">
      <formula>1</formula>
      <formula>1</formula>
    </cfRule>
    <cfRule type="cellIs" dxfId="537" priority="201" operator="between">
      <formula>2</formula>
      <formula>3</formula>
    </cfRule>
    <cfRule type="cellIs" dxfId="536" priority="202" operator="between">
      <formula>4</formula>
      <formula>4</formula>
    </cfRule>
  </conditionalFormatting>
  <conditionalFormatting sqref="G28">
    <cfRule type="cellIs" dxfId="535" priority="147" operator="equal">
      <formula>"BLANK"</formula>
    </cfRule>
    <cfRule type="containsText" dxfId="534" priority="148" operator="containsText" text="Medium">
      <formula>NOT(ISERROR(SEARCH("Medium",G28)))</formula>
    </cfRule>
    <cfRule type="containsText" dxfId="533" priority="149" operator="containsText" text="Low">
      <formula>NOT(ISERROR(SEARCH("Low",G28)))</formula>
    </cfRule>
    <cfRule type="containsText" dxfId="532" priority="150" operator="containsText" text="High">
      <formula>NOT(ISERROR(SEARCH("High",G28)))</formula>
    </cfRule>
  </conditionalFormatting>
  <conditionalFormatting sqref="G51">
    <cfRule type="cellIs" dxfId="531" priority="115" operator="equal">
      <formula>"BLANK"</formula>
    </cfRule>
    <cfRule type="containsText" dxfId="530" priority="116" operator="containsText" text="Medium">
      <formula>NOT(ISERROR(SEARCH("Medium",G51)))</formula>
    </cfRule>
    <cfRule type="containsText" dxfId="529" priority="117" operator="containsText" text="Low">
      <formula>NOT(ISERROR(SEARCH("Low",G51)))</formula>
    </cfRule>
    <cfRule type="containsText" dxfId="528" priority="118" operator="containsText" text="High">
      <formula>NOT(ISERROR(SEARCH("High",G51)))</formula>
    </cfRule>
  </conditionalFormatting>
  <conditionalFormatting sqref="G75">
    <cfRule type="cellIs" dxfId="527" priority="111" operator="equal">
      <formula>"BLANK"</formula>
    </cfRule>
    <cfRule type="containsText" dxfId="526" priority="112" operator="containsText" text="Medium">
      <formula>NOT(ISERROR(SEARCH("Medium",G75)))</formula>
    </cfRule>
    <cfRule type="containsText" dxfId="525" priority="113" operator="containsText" text="Low">
      <formula>NOT(ISERROR(SEARCH("Low",G75)))</formula>
    </cfRule>
    <cfRule type="containsText" dxfId="524" priority="114" operator="containsText" text="High">
      <formula>NOT(ISERROR(SEARCH("High",G75)))</formula>
    </cfRule>
  </conditionalFormatting>
  <conditionalFormatting sqref="G86">
    <cfRule type="containsText" dxfId="523" priority="103" operator="containsText" text="Not Scored">
      <formula>NOT(ISERROR(SEARCH("Not Scored",G86)))</formula>
    </cfRule>
  </conditionalFormatting>
  <conditionalFormatting sqref="G40">
    <cfRule type="cellIs" dxfId="522" priority="90" operator="equal">
      <formula>"BLANK"</formula>
    </cfRule>
    <cfRule type="containsText" dxfId="521" priority="91" operator="containsText" text="Medium">
      <formula>NOT(ISERROR(SEARCH("Medium",G40)))</formula>
    </cfRule>
    <cfRule type="containsText" dxfId="520" priority="92" operator="containsText" text="Low">
      <formula>NOT(ISERROR(SEARCH("Low",G40)))</formula>
    </cfRule>
    <cfRule type="containsText" dxfId="519" priority="93" operator="containsText" text="High">
      <formula>NOT(ISERROR(SEARCH("High",G40)))</formula>
    </cfRule>
  </conditionalFormatting>
  <conditionalFormatting sqref="G80:G82">
    <cfRule type="cellIs" dxfId="518" priority="66" operator="equal">
      <formula>"BLANK"</formula>
    </cfRule>
    <cfRule type="containsText" dxfId="517" priority="67" operator="containsText" text="Medium">
      <formula>NOT(ISERROR(SEARCH("Medium",G80)))</formula>
    </cfRule>
    <cfRule type="containsText" dxfId="516" priority="68" operator="containsText" text="Low">
      <formula>NOT(ISERROR(SEARCH("Low",G80)))</formula>
    </cfRule>
    <cfRule type="containsText" dxfId="515" priority="69" operator="containsText" text="High">
      <formula>NOT(ISERROR(SEARCH("High",G80)))</formula>
    </cfRule>
  </conditionalFormatting>
  <conditionalFormatting sqref="G10">
    <cfRule type="cellIs" dxfId="514" priority="62" operator="equal">
      <formula>"BLANK"</formula>
    </cfRule>
    <cfRule type="containsText" dxfId="513" priority="63" operator="containsText" text="Medium">
      <formula>NOT(ISERROR(SEARCH("Medium",G10)))</formula>
    </cfRule>
    <cfRule type="containsText" dxfId="512" priority="64" operator="containsText" text="Low">
      <formula>NOT(ISERROR(SEARCH("Low",G10)))</formula>
    </cfRule>
    <cfRule type="containsText" dxfId="511" priority="65" operator="containsText" text="High">
      <formula>NOT(ISERROR(SEARCH("High",G10)))</formula>
    </cfRule>
  </conditionalFormatting>
  <conditionalFormatting sqref="G46">
    <cfRule type="cellIs" dxfId="510" priority="46" operator="equal">
      <formula>"BLANK"</formula>
    </cfRule>
    <cfRule type="containsText" dxfId="509" priority="47" operator="containsText" text="Medium">
      <formula>NOT(ISERROR(SEARCH("Medium",G46)))</formula>
    </cfRule>
    <cfRule type="containsText" dxfId="508" priority="48" operator="containsText" text="Low">
      <formula>NOT(ISERROR(SEARCH("Low",G46)))</formula>
    </cfRule>
    <cfRule type="containsText" dxfId="507" priority="49" operator="containsText" text="High">
      <formula>NOT(ISERROR(SEARCH("High",G46)))</formula>
    </cfRule>
  </conditionalFormatting>
  <conditionalFormatting sqref="G59">
    <cfRule type="cellIs" dxfId="506" priority="42" operator="equal">
      <formula>"BLANK"</formula>
    </cfRule>
    <cfRule type="containsText" dxfId="505" priority="43" operator="containsText" text="Medium">
      <formula>NOT(ISERROR(SEARCH("Medium",G59)))</formula>
    </cfRule>
    <cfRule type="containsText" dxfId="504" priority="44" operator="containsText" text="Low">
      <formula>NOT(ISERROR(SEARCH("Low",G59)))</formula>
    </cfRule>
    <cfRule type="containsText" dxfId="503" priority="45" operator="containsText" text="High">
      <formula>NOT(ISERROR(SEARCH("High",G59)))</formula>
    </cfRule>
  </conditionalFormatting>
  <conditionalFormatting sqref="G70">
    <cfRule type="cellIs" dxfId="502" priority="30" operator="equal">
      <formula>"BLANK"</formula>
    </cfRule>
    <cfRule type="containsText" dxfId="501" priority="31" operator="containsText" text="Medium">
      <formula>NOT(ISERROR(SEARCH("Medium",G70)))</formula>
    </cfRule>
    <cfRule type="containsText" dxfId="500" priority="32" operator="containsText" text="Low">
      <formula>NOT(ISERROR(SEARCH("Low",G70)))</formula>
    </cfRule>
    <cfRule type="containsText" dxfId="499" priority="33" operator="containsText" text="High">
      <formula>NOT(ISERROR(SEARCH("High",G70)))</formula>
    </cfRule>
  </conditionalFormatting>
  <conditionalFormatting sqref="G22">
    <cfRule type="cellIs" dxfId="498" priority="26" operator="equal">
      <formula>"BLANK"</formula>
    </cfRule>
    <cfRule type="containsText" dxfId="497" priority="27" operator="containsText" text="Medium">
      <formula>NOT(ISERROR(SEARCH("Medium",G22)))</formula>
    </cfRule>
    <cfRule type="containsText" dxfId="496" priority="28" operator="containsText" text="Low">
      <formula>NOT(ISERROR(SEARCH("Low",G22)))</formula>
    </cfRule>
    <cfRule type="containsText" dxfId="495" priority="29" operator="containsText" text="High">
      <formula>NOT(ISERROR(SEARCH("High",G22)))</formula>
    </cfRule>
  </conditionalFormatting>
  <conditionalFormatting sqref="G64">
    <cfRule type="cellIs" dxfId="494" priority="22" operator="equal">
      <formula>"BLANK"</formula>
    </cfRule>
    <cfRule type="containsText" dxfId="493" priority="23" operator="containsText" text="Medium">
      <formula>NOT(ISERROR(SEARCH("Medium",G64)))</formula>
    </cfRule>
    <cfRule type="containsText" dxfId="492" priority="24" operator="containsText" text="Low">
      <formula>NOT(ISERROR(SEARCH("Low",G64)))</formula>
    </cfRule>
    <cfRule type="containsText" dxfId="491" priority="25" operator="containsText" text="High">
      <formula>NOT(ISERROR(SEARCH("High",G64)))</formula>
    </cfRule>
  </conditionalFormatting>
  <conditionalFormatting sqref="G35">
    <cfRule type="cellIs" dxfId="490" priority="14" operator="equal">
      <formula>"BLANK"</formula>
    </cfRule>
    <cfRule type="containsText" dxfId="489" priority="15" operator="containsText" text="Medium">
      <formula>NOT(ISERROR(SEARCH("Medium",G35)))</formula>
    </cfRule>
    <cfRule type="containsText" dxfId="488" priority="16" operator="containsText" text="Low">
      <formula>NOT(ISERROR(SEARCH("Low",G35)))</formula>
    </cfRule>
    <cfRule type="containsText" dxfId="487" priority="17" operator="containsText" text="High">
      <formula>NOT(ISERROR(SEARCH("High",G35)))</formula>
    </cfRule>
  </conditionalFormatting>
  <conditionalFormatting sqref="G15">
    <cfRule type="cellIs" dxfId="486" priority="10" operator="equal">
      <formula>"BLANK"</formula>
    </cfRule>
    <cfRule type="containsText" dxfId="485" priority="11" operator="containsText" text="Medium">
      <formula>NOT(ISERROR(SEARCH("Medium",G15)))</formula>
    </cfRule>
    <cfRule type="containsText" dxfId="484" priority="12" operator="containsText" text="Low">
      <formula>NOT(ISERROR(SEARCH("Low",G15)))</formula>
    </cfRule>
    <cfRule type="containsText" dxfId="483" priority="13" operator="containsText" text="High">
      <formula>NOT(ISERROR(SEARCH("High",G15)))</formula>
    </cfRule>
  </conditionalFormatting>
  <conditionalFormatting sqref="F94">
    <cfRule type="containsText" dxfId="482" priority="9" operator="containsText" text="High">
      <formula>NOT(ISERROR(SEARCH("High",F94)))</formula>
    </cfRule>
  </conditionalFormatting>
  <conditionalFormatting sqref="F95">
    <cfRule type="containsText" dxfId="481" priority="8" operator="containsText" text="Medium">
      <formula>NOT(ISERROR(SEARCH("Medium",F95)))</formula>
    </cfRule>
  </conditionalFormatting>
  <conditionalFormatting sqref="F96">
    <cfRule type="containsText" dxfId="480" priority="7" operator="containsText" text="Low">
      <formula>NOT(ISERROR(SEARCH("Low",F96)))</formula>
    </cfRule>
  </conditionalFormatting>
  <conditionalFormatting sqref="F100">
    <cfRule type="containsText" dxfId="479" priority="6" operator="containsText" text="NOTIFY">
      <formula>NOT(ISERROR(SEARCH("NOTIFY",F100)))</formula>
    </cfRule>
  </conditionalFormatting>
  <conditionalFormatting sqref="F98">
    <cfRule type="containsText" dxfId="478" priority="1" operator="containsText" text="Not Scored">
      <formula>NOT(ISERROR(SEARCH("Not Scored",F98)))</formula>
    </cfRule>
    <cfRule type="cellIs" dxfId="477" priority="3" operator="between">
      <formula>1</formula>
      <formula>1</formula>
    </cfRule>
    <cfRule type="cellIs" dxfId="476" priority="4" operator="between">
      <formula>2</formula>
      <formula>3</formula>
    </cfRule>
    <cfRule type="cellIs" dxfId="475" priority="5" operator="between">
      <formula>4</formula>
      <formula>4</formula>
    </cfRule>
  </conditionalFormatting>
  <conditionalFormatting sqref="F86">
    <cfRule type="containsText" dxfId="474" priority="2" operator="containsText" text="Not Scored">
      <formula>NOT(ISERROR(SEARCH("Not Scored",F86)))</formula>
    </cfRule>
  </conditionalFormatting>
  <dataValidations count="2">
    <dataValidation type="whole" allowBlank="1" showErrorMessage="1" sqref="I98:I100" xr:uid="{00000000-0002-0000-0500-000000000000}">
      <formula1>0</formula1>
      <formula2>4</formula2>
    </dataValidation>
    <dataValidation type="decimal" allowBlank="1" showErrorMessage="1" sqref="I88:I90" xr:uid="{00000000-0002-0000-0500-000001000000}">
      <formula1>0</formula1>
      <formula2>500</formula2>
    </dataValidation>
  </dataValidations>
  <pageMargins left="0.5" right="0.25" top="0.47" bottom="0.5" header="0.24" footer="0.24"/>
  <pageSetup scale="59" fitToHeight="0" orientation="portrait" r:id="rId1"/>
  <headerFooter alignWithMargins="0">
    <oddHeader>&amp;CComplexity Pre-Charter</oddHeader>
    <oddFooter>&amp;L&amp;D&amp;RPage &amp;P of &amp;N</oddFooter>
  </headerFooter>
  <drawing r:id="rId2"/>
  <tableParts count="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500-000002000000}">
          <x14:formula1>
            <xm:f>'L_Answer Select'!$A$3:$A$9</xm:f>
          </x14:formula1>
          <xm:sqref>F50</xm:sqref>
        </x14:dataValidation>
        <x14:dataValidation type="list" allowBlank="1" showErrorMessage="1" xr:uid="{00000000-0002-0000-0500-000003000000}">
          <x14:formula1>
            <xm:f>'L_Answer Select'!$A$24:$A$28</xm:f>
          </x14:formula1>
          <xm:sqref>F39 F63</xm:sqref>
        </x14:dataValidation>
        <x14:dataValidation type="list" allowBlank="1" showErrorMessage="1" xr:uid="{00000000-0002-0000-0500-000004000000}">
          <x14:formula1>
            <xm:f>'L_Answer Select'!$A$14:$A$19</xm:f>
          </x14:formula1>
          <xm:sqref>F27 F14</xm:sqref>
        </x14:dataValidation>
        <x14:dataValidation type="list" allowBlank="1" showErrorMessage="1" xr:uid="{00000000-0002-0000-0500-000005000000}">
          <x14:formula1>
            <xm:f>'L_Answer Select'!$A$33:$A$36</xm:f>
          </x14:formula1>
          <xm:sqref>F74 F79 F9 F34 F45 F58 F69 F21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499984740745262"/>
    <pageSetUpPr fitToPage="1"/>
  </sheetPr>
  <dimension ref="A1:K151"/>
  <sheetViews>
    <sheetView showGridLines="0" zoomScaleNormal="100" workbookViewId="0">
      <pane ySplit="2" topLeftCell="A18" activePane="bottomLeft" state="frozen"/>
      <selection activeCell="B22" sqref="B22"/>
      <selection pane="bottomLeft" activeCell="B49" sqref="B49:B51"/>
    </sheetView>
  </sheetViews>
  <sheetFormatPr defaultRowHeight="15" x14ac:dyDescent="0.2"/>
  <cols>
    <col min="1" max="1" width="100.7109375" style="158" customWidth="1"/>
    <col min="2" max="2" width="45.7109375" style="143" customWidth="1"/>
    <col min="3" max="3" width="6.7109375" style="143" hidden="1" customWidth="1"/>
    <col min="4" max="4" width="12.7109375" style="143" hidden="1" customWidth="1"/>
    <col min="5" max="5" width="14.7109375" style="212" customWidth="1"/>
    <col min="6" max="6" width="14.7109375" style="143" customWidth="1"/>
    <col min="7" max="7" width="14.7109375" style="143" hidden="1" customWidth="1"/>
    <col min="8" max="8" width="12.7109375" style="143" customWidth="1"/>
    <col min="9" max="11" width="14.7109375" style="143" customWidth="1"/>
    <col min="12" max="16384" width="9.140625" style="143"/>
  </cols>
  <sheetData>
    <row r="1" spans="1:8" ht="9.9499999999999993" customHeight="1" x14ac:dyDescent="0.2">
      <c r="A1" s="193"/>
      <c r="B1" s="194"/>
      <c r="C1" s="194"/>
      <c r="D1" s="140"/>
      <c r="E1" s="195"/>
      <c r="F1" s="140"/>
      <c r="G1" s="140"/>
    </row>
    <row r="2" spans="1:8" ht="30" x14ac:dyDescent="0.2">
      <c r="A2" s="196" t="s">
        <v>5</v>
      </c>
      <c r="B2" s="394" t="s">
        <v>152</v>
      </c>
      <c r="C2" s="394"/>
      <c r="D2" s="147" t="s">
        <v>228</v>
      </c>
      <c r="E2" s="197" t="s">
        <v>8</v>
      </c>
      <c r="F2" s="385" t="s">
        <v>245</v>
      </c>
      <c r="G2" s="147" t="s">
        <v>1</v>
      </c>
    </row>
    <row r="3" spans="1:8" ht="8.1" customHeight="1" x14ac:dyDescent="0.2">
      <c r="A3" s="198"/>
      <c r="B3" s="199"/>
      <c r="C3" s="199"/>
      <c r="D3" s="198"/>
      <c r="E3" s="200"/>
      <c r="F3" s="201"/>
      <c r="G3" s="198"/>
    </row>
    <row r="4" spans="1:8" ht="90" customHeight="1" x14ac:dyDescent="0.2">
      <c r="A4" s="246" t="s">
        <v>338</v>
      </c>
      <c r="B4" s="683" t="s">
        <v>670</v>
      </c>
      <c r="C4" s="683"/>
      <c r="D4" s="683"/>
      <c r="E4" s="683"/>
      <c r="F4" s="683"/>
      <c r="G4" s="120"/>
    </row>
    <row r="5" spans="1:8" ht="15" customHeight="1" x14ac:dyDescent="0.2">
      <c r="A5" s="246"/>
      <c r="B5" s="584"/>
      <c r="C5" s="199"/>
      <c r="D5" s="198"/>
      <c r="E5" s="202"/>
      <c r="F5" s="318"/>
      <c r="G5" s="120"/>
    </row>
    <row r="6" spans="1:8" x14ac:dyDescent="0.2">
      <c r="A6" s="198"/>
      <c r="B6" s="584"/>
      <c r="C6" s="199"/>
      <c r="D6" s="198"/>
      <c r="E6" s="156"/>
      <c r="F6" s="154"/>
      <c r="G6" s="155"/>
    </row>
    <row r="7" spans="1:8" ht="15" customHeight="1" x14ac:dyDescent="0.2">
      <c r="A7" s="482" t="s">
        <v>142</v>
      </c>
      <c r="B7" s="685"/>
      <c r="C7" s="412">
        <v>25</v>
      </c>
      <c r="D7" s="168">
        <f>IF(F8="NA","",C7)</f>
        <v>25</v>
      </c>
      <c r="E7" s="174"/>
      <c r="F7" s="480"/>
      <c r="G7" s="176"/>
    </row>
    <row r="8" spans="1:8" ht="15" customHeight="1" x14ac:dyDescent="0.2">
      <c r="A8" s="478" t="s">
        <v>325</v>
      </c>
      <c r="B8" s="685"/>
      <c r="C8" s="304"/>
      <c r="D8" s="176"/>
      <c r="E8" s="174">
        <f>$D$136</f>
        <v>1.5151515151515151</v>
      </c>
      <c r="F8" s="616" t="s">
        <v>121</v>
      </c>
      <c r="G8" s="620">
        <f>IF($D$7="","Not Scored",IF(F8="",$D$7*E8,IF(F8="a",$D$7*E8,(IF(F8="b",$D$7*E9,IF(F8="c",$D$7*E10))))))</f>
        <v>7.5757575757575761</v>
      </c>
      <c r="H8" s="136"/>
    </row>
    <row r="9" spans="1:8" ht="15" customHeight="1" x14ac:dyDescent="0.2">
      <c r="A9" s="478" t="s">
        <v>306</v>
      </c>
      <c r="B9" s="685"/>
      <c r="C9" s="304"/>
      <c r="D9" s="176"/>
      <c r="E9" s="174">
        <f>AVERAGE(E8,E10)</f>
        <v>0.90909090909090906</v>
      </c>
      <c r="F9" s="625"/>
      <c r="G9" s="615" t="str">
        <f>IF(F8="","BLANK",IF(F8="a","High",IF(F8="b","Medium",IF(F8="c","Low",IF(F8="NA","Not Applicable")))))</f>
        <v>Low</v>
      </c>
      <c r="H9" s="136"/>
    </row>
    <row r="10" spans="1:8" ht="15" customHeight="1" x14ac:dyDescent="0.2">
      <c r="A10" s="478" t="s">
        <v>307</v>
      </c>
      <c r="B10" s="685"/>
      <c r="C10" s="178"/>
      <c r="D10" s="176"/>
      <c r="E10" s="174">
        <f>$D$137</f>
        <v>0.30303030303030304</v>
      </c>
      <c r="F10" s="626"/>
      <c r="G10" s="162"/>
      <c r="H10" s="161"/>
    </row>
    <row r="11" spans="1:8" x14ac:dyDescent="0.2">
      <c r="A11" s="139"/>
      <c r="B11" s="585"/>
      <c r="C11" s="138"/>
      <c r="D11" s="138"/>
      <c r="E11" s="157"/>
      <c r="F11" s="41"/>
      <c r="G11" s="138"/>
    </row>
    <row r="12" spans="1:8" x14ac:dyDescent="0.2">
      <c r="A12" s="160"/>
      <c r="B12" s="585"/>
      <c r="C12" s="296"/>
      <c r="D12" s="138"/>
      <c r="E12" s="157"/>
      <c r="F12" s="41"/>
      <c r="G12" s="138"/>
    </row>
    <row r="13" spans="1:8" ht="15" customHeight="1" x14ac:dyDescent="0.2">
      <c r="A13" s="482" t="s">
        <v>267</v>
      </c>
      <c r="B13" s="684"/>
      <c r="C13" s="412">
        <v>20</v>
      </c>
      <c r="D13" s="168">
        <f>IF(F14="NA","",C13)</f>
        <v>20</v>
      </c>
      <c r="E13" s="174"/>
      <c r="F13" s="481"/>
      <c r="G13" s="176"/>
    </row>
    <row r="14" spans="1:8" ht="15" customHeight="1" x14ac:dyDescent="0.2">
      <c r="A14" s="478" t="s">
        <v>167</v>
      </c>
      <c r="B14" s="684"/>
      <c r="C14" s="178"/>
      <c r="D14" s="176"/>
      <c r="E14" s="174">
        <f>$D$136</f>
        <v>1.5151515151515151</v>
      </c>
      <c r="F14" s="616" t="s">
        <v>121</v>
      </c>
      <c r="G14" s="620">
        <f>IF($D$13="","Not Scored",IF(F14="",$D$13*E14,IF(F14="a",$D$13*E14,(IF(F14="b",$D$13*E15,IF(F14="c",$D$13*E16))))))</f>
        <v>6.0606060606060606</v>
      </c>
      <c r="H14" s="136"/>
    </row>
    <row r="15" spans="1:8" ht="15" customHeight="1" x14ac:dyDescent="0.2">
      <c r="A15" s="478" t="s">
        <v>168</v>
      </c>
      <c r="B15" s="684"/>
      <c r="C15" s="178"/>
      <c r="D15" s="176"/>
      <c r="E15" s="174">
        <f>AVERAGE(E14,E16)</f>
        <v>0.90909090909090906</v>
      </c>
      <c r="F15" s="625"/>
      <c r="G15" s="615" t="str">
        <f>IF(F14="","BLANK",IF(F14="a","High",IF(F14="b","Medium",IF(F14="c","Low",IF(F14="NA","Not Applicable")))))</f>
        <v>Low</v>
      </c>
      <c r="H15" s="136"/>
    </row>
    <row r="16" spans="1:8" ht="15" customHeight="1" x14ac:dyDescent="0.2">
      <c r="A16" s="478" t="s">
        <v>169</v>
      </c>
      <c r="B16" s="684"/>
      <c r="C16" s="178"/>
      <c r="D16" s="176"/>
      <c r="E16" s="174">
        <f>$D$137</f>
        <v>0.30303030303030304</v>
      </c>
      <c r="F16" s="626"/>
      <c r="G16" s="162"/>
      <c r="H16" s="161"/>
    </row>
    <row r="17" spans="1:8" x14ac:dyDescent="0.2">
      <c r="A17" s="139"/>
      <c r="B17" s="254"/>
      <c r="C17" s="138"/>
      <c r="D17" s="138"/>
      <c r="E17" s="157"/>
      <c r="F17" s="41"/>
      <c r="G17" s="138"/>
    </row>
    <row r="18" spans="1:8" x14ac:dyDescent="0.2">
      <c r="A18" s="160"/>
      <c r="B18" s="581"/>
      <c r="C18" s="296"/>
      <c r="D18" s="138"/>
      <c r="E18" s="157"/>
      <c r="F18" s="41"/>
      <c r="G18" s="169"/>
    </row>
    <row r="19" spans="1:8" x14ac:dyDescent="0.2">
      <c r="A19" s="482" t="s">
        <v>433</v>
      </c>
      <c r="B19" s="684"/>
      <c r="C19" s="412">
        <v>15</v>
      </c>
      <c r="D19" s="168">
        <f>IF(F20="NA","",C19)</f>
        <v>15</v>
      </c>
      <c r="E19" s="174"/>
      <c r="F19" s="481"/>
      <c r="G19" s="448"/>
    </row>
    <row r="20" spans="1:8" x14ac:dyDescent="0.2">
      <c r="A20" s="478" t="s">
        <v>144</v>
      </c>
      <c r="B20" s="684"/>
      <c r="C20" s="178"/>
      <c r="D20" s="176"/>
      <c r="E20" s="174">
        <f>$D$136</f>
        <v>1.5151515151515151</v>
      </c>
      <c r="F20" s="616" t="s">
        <v>122</v>
      </c>
      <c r="G20" s="614">
        <f>IF($D$19="","Not Scored",IF(F20="",$D$19*E20,IF(F20="a",$D$19*E20,(IF(F20="b",$D$19*E21,IF(F20="c",$D$19*E22,IF(F20="d",$D$19*E23)))))))</f>
        <v>4.5454545454545459</v>
      </c>
      <c r="H20" s="136"/>
    </row>
    <row r="21" spans="1:8" x14ac:dyDescent="0.2">
      <c r="A21" s="478" t="s">
        <v>44</v>
      </c>
      <c r="B21" s="684"/>
      <c r="C21" s="178"/>
      <c r="D21" s="176"/>
      <c r="E21" s="174">
        <f>AVERAGE(E20,AVERAGE(E20,E23))</f>
        <v>1.2121212121212122</v>
      </c>
      <c r="F21" s="617"/>
      <c r="G21" s="615" t="str">
        <f>IF(F20="","BLANK",IF(F20="a","High",IF(F20="b","Medium - High",IF(F20="c","Medium - Low",IF(F20="d","Low",IF(F20="NA","Not Applicable"))))))</f>
        <v>Low</v>
      </c>
      <c r="H21" s="136"/>
    </row>
    <row r="22" spans="1:8" x14ac:dyDescent="0.2">
      <c r="A22" s="478" t="s">
        <v>145</v>
      </c>
      <c r="B22" s="684"/>
      <c r="C22" s="178"/>
      <c r="D22" s="176"/>
      <c r="E22" s="174">
        <f>AVERAGE(E23,AVERAGE(E20,E23))</f>
        <v>0.60606060606060608</v>
      </c>
      <c r="F22" s="618"/>
      <c r="G22" s="204"/>
      <c r="H22" s="161"/>
    </row>
    <row r="23" spans="1:8" x14ac:dyDescent="0.2">
      <c r="A23" s="478" t="s">
        <v>45</v>
      </c>
      <c r="B23" s="684"/>
      <c r="C23" s="178"/>
      <c r="D23" s="176"/>
      <c r="E23" s="174">
        <f>$D$137</f>
        <v>0.30303030303030304</v>
      </c>
      <c r="F23" s="619"/>
      <c r="G23" s="205"/>
      <c r="H23" s="163"/>
    </row>
    <row r="24" spans="1:8" x14ac:dyDescent="0.2">
      <c r="A24" s="139"/>
      <c r="B24" s="254"/>
      <c r="C24" s="138"/>
      <c r="D24" s="138"/>
      <c r="E24" s="157"/>
      <c r="F24" s="41"/>
      <c r="G24" s="169"/>
    </row>
    <row r="25" spans="1:8" x14ac:dyDescent="0.2">
      <c r="A25" s="139"/>
      <c r="B25" s="254"/>
      <c r="C25" s="138"/>
      <c r="D25" s="138"/>
      <c r="E25" s="157"/>
      <c r="F25" s="41"/>
      <c r="G25" s="169"/>
    </row>
    <row r="26" spans="1:8" x14ac:dyDescent="0.2">
      <c r="A26" s="482" t="s">
        <v>434</v>
      </c>
      <c r="B26" s="685"/>
      <c r="C26" s="412">
        <v>15</v>
      </c>
      <c r="D26" s="168">
        <f>IF(F27="NA","",C26)</f>
        <v>15</v>
      </c>
      <c r="E26" s="174"/>
      <c r="F26" s="481"/>
      <c r="G26" s="448"/>
    </row>
    <row r="27" spans="1:8" x14ac:dyDescent="0.2">
      <c r="A27" s="478" t="s">
        <v>255</v>
      </c>
      <c r="B27" s="685"/>
      <c r="C27" s="178"/>
      <c r="D27" s="176"/>
      <c r="E27" s="174">
        <f>$D$136</f>
        <v>1.5151515151515151</v>
      </c>
      <c r="F27" s="616" t="s">
        <v>120</v>
      </c>
      <c r="G27" s="620">
        <f>IF($D$26="","Not Scored",IF(F27="",$D$26*E27,IF(F27="a",$D$26*E27,(IF(F27="b",$D$26*E28)))))</f>
        <v>4.5454545454545459</v>
      </c>
      <c r="H27" s="136"/>
    </row>
    <row r="28" spans="1:8" x14ac:dyDescent="0.2">
      <c r="A28" s="478" t="s">
        <v>256</v>
      </c>
      <c r="B28" s="685"/>
      <c r="C28" s="178"/>
      <c r="D28" s="176"/>
      <c r="E28" s="174">
        <f>$D$137</f>
        <v>0.30303030303030304</v>
      </c>
      <c r="F28" s="621"/>
      <c r="G28" s="615" t="str">
        <f>IF(F27="","BLANK",IF(F27="a","High",IF(F27="b","Low",IF(F27="NA","Not Applicable"))))</f>
        <v>Low</v>
      </c>
      <c r="H28" s="136"/>
    </row>
    <row r="29" spans="1:8" x14ac:dyDescent="0.2">
      <c r="A29" s="139"/>
      <c r="B29" s="254"/>
      <c r="C29" s="138"/>
      <c r="D29" s="138"/>
      <c r="E29" s="157"/>
      <c r="F29" s="41"/>
      <c r="G29" s="169"/>
    </row>
    <row r="30" spans="1:8" x14ac:dyDescent="0.2">
      <c r="A30" s="139"/>
      <c r="B30" s="254"/>
      <c r="C30" s="138"/>
      <c r="D30" s="138"/>
      <c r="E30" s="157"/>
      <c r="F30" s="41"/>
      <c r="G30" s="169"/>
    </row>
    <row r="31" spans="1:8" ht="30" x14ac:dyDescent="0.2">
      <c r="A31" s="482" t="s">
        <v>435</v>
      </c>
      <c r="B31" s="685"/>
      <c r="C31" s="412">
        <v>15</v>
      </c>
      <c r="D31" s="168">
        <f>IF(F32="NA","",C31)</f>
        <v>15</v>
      </c>
      <c r="E31" s="174"/>
      <c r="F31" s="481"/>
      <c r="G31" s="448"/>
    </row>
    <row r="32" spans="1:8" x14ac:dyDescent="0.2">
      <c r="A32" s="478" t="s">
        <v>187</v>
      </c>
      <c r="B32" s="685"/>
      <c r="C32" s="178"/>
      <c r="D32" s="176"/>
      <c r="E32" s="174">
        <f>$D$136</f>
        <v>1.5151515151515151</v>
      </c>
      <c r="F32" s="616" t="s">
        <v>122</v>
      </c>
      <c r="G32" s="614">
        <f>IF($D$31="","Not Scored",IF(F32="",$D$31*E32,IF(F32="a",$D$31*E32,(IF(F32="b",$D$31*E33,IF(F32="c",$D$31*E34,IF(F32="d",$D$31*E35)))))))</f>
        <v>4.5454545454545459</v>
      </c>
      <c r="H32" s="136"/>
    </row>
    <row r="33" spans="1:8" x14ac:dyDescent="0.2">
      <c r="A33" s="478" t="s">
        <v>186</v>
      </c>
      <c r="B33" s="685"/>
      <c r="C33" s="178"/>
      <c r="D33" s="176"/>
      <c r="E33" s="174">
        <f>AVERAGE(E32,AVERAGE(E32,E35))</f>
        <v>1.2121212121212122</v>
      </c>
      <c r="F33" s="617"/>
      <c r="G33" s="615" t="str">
        <f>IF(F32="","BLANK",IF(F32="a","High",IF(F32="b","Medium - High",IF(F32="c","Medium - Low",IF(F32="d","Low",IF(F32="NA","Not Applicable"))))))</f>
        <v>Low</v>
      </c>
      <c r="H33" s="136"/>
    </row>
    <row r="34" spans="1:8" x14ac:dyDescent="0.2">
      <c r="A34" s="478" t="s">
        <v>188</v>
      </c>
      <c r="B34" s="685"/>
      <c r="C34" s="178"/>
      <c r="D34" s="176"/>
      <c r="E34" s="174">
        <f>AVERAGE(E35,AVERAGE(E32,E35))</f>
        <v>0.60606060606060608</v>
      </c>
      <c r="F34" s="618"/>
      <c r="G34" s="204"/>
      <c r="H34" s="161"/>
    </row>
    <row r="35" spans="1:8" x14ac:dyDescent="0.2">
      <c r="A35" s="478" t="s">
        <v>189</v>
      </c>
      <c r="B35" s="685"/>
      <c r="C35" s="178"/>
      <c r="D35" s="176"/>
      <c r="E35" s="174">
        <f>$D$137</f>
        <v>0.30303030303030304</v>
      </c>
      <c r="F35" s="619"/>
      <c r="G35" s="205"/>
      <c r="H35" s="163"/>
    </row>
    <row r="36" spans="1:8" x14ac:dyDescent="0.2">
      <c r="A36" s="139"/>
      <c r="B36" s="254"/>
      <c r="C36" s="138"/>
      <c r="D36" s="138"/>
      <c r="E36" s="157"/>
      <c r="F36" s="41"/>
      <c r="G36" s="169"/>
    </row>
    <row r="37" spans="1:8" x14ac:dyDescent="0.2">
      <c r="A37" s="139"/>
      <c r="B37" s="254"/>
      <c r="C37" s="138"/>
      <c r="D37" s="138"/>
      <c r="E37" s="157"/>
      <c r="F37" s="41"/>
      <c r="G37" s="169"/>
    </row>
    <row r="38" spans="1:8" x14ac:dyDescent="0.2">
      <c r="A38" s="482" t="s">
        <v>436</v>
      </c>
      <c r="B38" s="684"/>
      <c r="C38" s="412">
        <v>15</v>
      </c>
      <c r="D38" s="168">
        <f>IF(F39="NA","",C38)</f>
        <v>15</v>
      </c>
      <c r="E38" s="174"/>
      <c r="F38" s="481"/>
      <c r="G38" s="448"/>
    </row>
    <row r="39" spans="1:8" x14ac:dyDescent="0.2">
      <c r="A39" s="478" t="s">
        <v>46</v>
      </c>
      <c r="B39" s="684"/>
      <c r="C39" s="178"/>
      <c r="D39" s="176"/>
      <c r="E39" s="174">
        <f>$D$136</f>
        <v>1.5151515151515151</v>
      </c>
      <c r="F39" s="616" t="s">
        <v>121</v>
      </c>
      <c r="G39" s="620">
        <f>IF($D$38="","Not Scored",IF(F39="",$D$38*E39,IF(F39="a",$D$38*E39,(IF(F39="b",$D$38*E40,IF(F39="c",$D$38*E41))))))</f>
        <v>4.5454545454545459</v>
      </c>
      <c r="H39" s="136"/>
    </row>
    <row r="40" spans="1:8" x14ac:dyDescent="0.2">
      <c r="A40" s="478" t="s">
        <v>126</v>
      </c>
      <c r="B40" s="684"/>
      <c r="C40" s="178"/>
      <c r="D40" s="176"/>
      <c r="E40" s="174">
        <f>AVERAGE(E39,E41)</f>
        <v>0.90909090909090906</v>
      </c>
      <c r="F40" s="625"/>
      <c r="G40" s="615" t="str">
        <f>IF(F39="","BLANK",IF(F39="a","High",IF(F39="b","Medium",IF(F39="c","Low",IF(F39="NA","Not Applicable")))))</f>
        <v>Low</v>
      </c>
      <c r="H40" s="136"/>
    </row>
    <row r="41" spans="1:8" x14ac:dyDescent="0.2">
      <c r="A41" s="478" t="s">
        <v>127</v>
      </c>
      <c r="B41" s="684"/>
      <c r="C41" s="178"/>
      <c r="D41" s="176"/>
      <c r="E41" s="174">
        <f>$D$137</f>
        <v>0.30303030303030304</v>
      </c>
      <c r="F41" s="626"/>
      <c r="G41" s="162"/>
      <c r="H41" s="161"/>
    </row>
    <row r="42" spans="1:8" x14ac:dyDescent="0.2">
      <c r="A42" s="139"/>
      <c r="B42" s="254"/>
      <c r="C42" s="138"/>
      <c r="D42" s="138"/>
      <c r="E42" s="157"/>
      <c r="F42" s="41"/>
      <c r="G42" s="169"/>
    </row>
    <row r="43" spans="1:8" x14ac:dyDescent="0.2">
      <c r="A43" s="139"/>
      <c r="B43" s="254"/>
      <c r="C43" s="138"/>
      <c r="D43" s="138"/>
      <c r="E43" s="157"/>
      <c r="F43" s="41"/>
      <c r="G43" s="169"/>
    </row>
    <row r="44" spans="1:8" ht="15" customHeight="1" x14ac:dyDescent="0.2">
      <c r="A44" s="482" t="s">
        <v>437</v>
      </c>
      <c r="B44" s="684"/>
      <c r="C44" s="412">
        <v>20</v>
      </c>
      <c r="D44" s="168">
        <f>IF(F45="NA","",C44)</f>
        <v>20</v>
      </c>
      <c r="E44" s="174"/>
      <c r="F44" s="481"/>
      <c r="G44" s="448"/>
    </row>
    <row r="45" spans="1:8" x14ac:dyDescent="0.2">
      <c r="A45" s="478" t="s">
        <v>327</v>
      </c>
      <c r="B45" s="684"/>
      <c r="C45" s="178"/>
      <c r="D45" s="176"/>
      <c r="E45" s="174">
        <f>$D$136</f>
        <v>1.5151515151515151</v>
      </c>
      <c r="F45" s="616" t="s">
        <v>120</v>
      </c>
      <c r="G45" s="620">
        <f>IF($D$44="","Not Scored",IF(F45="",$D$44*E45,IF(F45="a",$D$44*E45,(IF(F45="b",$D$44*E46)))))</f>
        <v>6.0606060606060606</v>
      </c>
      <c r="H45" s="136"/>
    </row>
    <row r="46" spans="1:8" x14ac:dyDescent="0.2">
      <c r="A46" s="478" t="s">
        <v>328</v>
      </c>
      <c r="B46" s="684"/>
      <c r="C46" s="178"/>
      <c r="D46" s="176"/>
      <c r="E46" s="174">
        <f>$D$137</f>
        <v>0.30303030303030304</v>
      </c>
      <c r="F46" s="621"/>
      <c r="G46" s="615" t="str">
        <f>IF(F45="","BLANK",IF(F45="a","High",IF(F45="b","Low",IF(F45="NA","Not Applicable"))))</f>
        <v>Low</v>
      </c>
      <c r="H46" s="136"/>
    </row>
    <row r="47" spans="1:8" x14ac:dyDescent="0.2">
      <c r="A47" s="569"/>
      <c r="B47" s="581"/>
      <c r="C47" s="138"/>
      <c r="D47" s="138"/>
      <c r="E47" s="157"/>
      <c r="F47" s="41"/>
      <c r="G47" s="169"/>
    </row>
    <row r="48" spans="1:8" x14ac:dyDescent="0.2">
      <c r="A48" s="164"/>
      <c r="B48" s="581"/>
      <c r="D48" s="138"/>
      <c r="E48" s="157"/>
      <c r="F48" s="41"/>
      <c r="G48" s="169"/>
    </row>
    <row r="49" spans="1:8" x14ac:dyDescent="0.2">
      <c r="A49" s="482" t="s">
        <v>438</v>
      </c>
      <c r="B49" s="684"/>
      <c r="C49" s="412">
        <v>5</v>
      </c>
      <c r="D49" s="168">
        <f>IF(F50="NA","",C49)</f>
        <v>5</v>
      </c>
      <c r="E49" s="174"/>
      <c r="F49" s="481"/>
      <c r="G49" s="448"/>
    </row>
    <row r="50" spans="1:8" x14ac:dyDescent="0.2">
      <c r="A50" s="478" t="s">
        <v>128</v>
      </c>
      <c r="B50" s="686"/>
      <c r="C50" s="178"/>
      <c r="D50" s="176"/>
      <c r="E50" s="174">
        <f>$D$136</f>
        <v>1.5151515151515151</v>
      </c>
      <c r="F50" s="616" t="s">
        <v>120</v>
      </c>
      <c r="G50" s="620">
        <f>IF($D$49="","Not Scored",IF(F50="",$D$49*E50,IF(F50="a",$D$49*E50,(IF(F50="b",$D$49*E51)))))</f>
        <v>1.5151515151515151</v>
      </c>
      <c r="H50" s="136"/>
    </row>
    <row r="51" spans="1:8" x14ac:dyDescent="0.2">
      <c r="A51" s="478" t="s">
        <v>254</v>
      </c>
      <c r="B51" s="686"/>
      <c r="C51" s="178"/>
      <c r="D51" s="176"/>
      <c r="E51" s="174">
        <f>$D$137</f>
        <v>0.30303030303030304</v>
      </c>
      <c r="F51" s="621"/>
      <c r="G51" s="615" t="str">
        <f>IF(F50="","BLANK",IF(F50="a","High",IF(F50="b","Low",IF(F50="NA","Not Applicable"))))</f>
        <v>Low</v>
      </c>
      <c r="H51" s="136"/>
    </row>
    <row r="52" spans="1:8" x14ac:dyDescent="0.2">
      <c r="A52" s="164"/>
      <c r="B52" s="254"/>
      <c r="D52" s="138"/>
      <c r="E52" s="157"/>
      <c r="F52" s="41"/>
      <c r="G52" s="169"/>
    </row>
    <row r="53" spans="1:8" x14ac:dyDescent="0.2">
      <c r="A53" s="164"/>
      <c r="B53" s="254"/>
      <c r="D53" s="138"/>
      <c r="E53" s="157"/>
      <c r="F53" s="41"/>
      <c r="G53" s="169"/>
    </row>
    <row r="54" spans="1:8" x14ac:dyDescent="0.2">
      <c r="A54" s="482" t="s">
        <v>439</v>
      </c>
      <c r="B54" s="685"/>
      <c r="C54" s="412">
        <v>5</v>
      </c>
      <c r="D54" s="168">
        <f>IF(F56="NA","",C54)</f>
        <v>5</v>
      </c>
      <c r="E54" s="174"/>
      <c r="F54" s="481"/>
      <c r="G54" s="448"/>
    </row>
    <row r="55" spans="1:8" ht="60" x14ac:dyDescent="0.2">
      <c r="A55" s="483" t="s">
        <v>50</v>
      </c>
      <c r="B55" s="685"/>
      <c r="C55" s="207"/>
      <c r="D55" s="448"/>
      <c r="E55" s="174"/>
      <c r="F55" s="481"/>
      <c r="G55" s="448"/>
    </row>
    <row r="56" spans="1:8" x14ac:dyDescent="0.2">
      <c r="A56" s="478" t="s">
        <v>47</v>
      </c>
      <c r="B56" s="685"/>
      <c r="C56" s="178"/>
      <c r="D56" s="176"/>
      <c r="E56" s="174">
        <f>$D$136</f>
        <v>1.5151515151515151</v>
      </c>
      <c r="F56" s="616" t="s">
        <v>121</v>
      </c>
      <c r="G56" s="620">
        <f>IF($D$54="","Not Scored",IF(F56="",$D$54*E56,IF(F56="a",$D$54*E56,(IF(F56="b",$D$54*E57,IF(F56="c",$D$54*E58))))))</f>
        <v>1.5151515151515151</v>
      </c>
    </row>
    <row r="57" spans="1:8" x14ac:dyDescent="0.2">
      <c r="A57" s="478" t="s">
        <v>48</v>
      </c>
      <c r="B57" s="685"/>
      <c r="C57" s="178"/>
      <c r="D57" s="176"/>
      <c r="E57" s="174">
        <f>AVERAGE(E56,E58)</f>
        <v>0.90909090909090906</v>
      </c>
      <c r="F57" s="625"/>
      <c r="G57" s="615" t="str">
        <f>IF(F56="","BLANK",IF(F56="a","High",IF(F56="b","Medium",IF(F56="c","Low",IF(F56="NA","Not Applicable")))))</f>
        <v>Low</v>
      </c>
      <c r="H57" s="161"/>
    </row>
    <row r="58" spans="1:8" x14ac:dyDescent="0.2">
      <c r="A58" s="478" t="s">
        <v>49</v>
      </c>
      <c r="B58" s="685"/>
      <c r="C58" s="178"/>
      <c r="D58" s="176"/>
      <c r="E58" s="174">
        <f>$D$137</f>
        <v>0.30303030303030304</v>
      </c>
      <c r="F58" s="626"/>
      <c r="G58" s="162"/>
      <c r="H58" s="163"/>
    </row>
    <row r="59" spans="1:8" x14ac:dyDescent="0.2">
      <c r="A59" s="139"/>
      <c r="B59" s="254"/>
      <c r="C59" s="138"/>
      <c r="D59" s="138"/>
      <c r="E59" s="157"/>
      <c r="F59" s="41"/>
      <c r="G59" s="169"/>
    </row>
    <row r="60" spans="1:8" x14ac:dyDescent="0.2">
      <c r="A60" s="139"/>
      <c r="B60" s="254"/>
      <c r="C60" s="138"/>
      <c r="D60" s="138"/>
      <c r="E60" s="157"/>
      <c r="F60" s="41"/>
      <c r="G60" s="169"/>
    </row>
    <row r="61" spans="1:8" ht="30" x14ac:dyDescent="0.2">
      <c r="A61" s="482" t="s">
        <v>440</v>
      </c>
      <c r="B61" s="684"/>
      <c r="C61" s="412">
        <v>10</v>
      </c>
      <c r="D61" s="168">
        <f>IF(F62="NA","",C61)</f>
        <v>10</v>
      </c>
      <c r="E61" s="174"/>
      <c r="F61" s="481"/>
      <c r="G61" s="448"/>
    </row>
    <row r="62" spans="1:8" x14ac:dyDescent="0.2">
      <c r="A62" s="478" t="s">
        <v>56</v>
      </c>
      <c r="B62" s="684"/>
      <c r="C62" s="178"/>
      <c r="D62" s="176"/>
      <c r="E62" s="174">
        <f>$D$136</f>
        <v>1.5151515151515151</v>
      </c>
      <c r="F62" s="616" t="s">
        <v>120</v>
      </c>
      <c r="G62" s="620">
        <f>IF($D$61="","Not Scored",IF(F62="",$D$61*E62,IF(F62="a",$D$61*E62,(IF(F62="b",$D$61*E63)))))</f>
        <v>3.0303030303030303</v>
      </c>
      <c r="H62" s="136"/>
    </row>
    <row r="63" spans="1:8" x14ac:dyDescent="0.2">
      <c r="A63" s="478" t="s">
        <v>57</v>
      </c>
      <c r="B63" s="684"/>
      <c r="C63" s="178"/>
      <c r="D63" s="176"/>
      <c r="E63" s="174">
        <f>$D$137</f>
        <v>0.30303030303030304</v>
      </c>
      <c r="F63" s="621"/>
      <c r="G63" s="615" t="str">
        <f>IF(F62="","BLANK",IF(F62="a","High",IF(F62="b","Low",IF(F62="NA","Not Applicable"))))</f>
        <v>Low</v>
      </c>
      <c r="H63" s="136"/>
    </row>
    <row r="64" spans="1:8" x14ac:dyDescent="0.2">
      <c r="A64" s="139"/>
      <c r="B64" s="254"/>
      <c r="C64" s="138"/>
      <c r="D64" s="138"/>
      <c r="E64" s="157"/>
      <c r="F64" s="41"/>
      <c r="G64" s="169"/>
    </row>
    <row r="65" spans="1:8" x14ac:dyDescent="0.2">
      <c r="A65" s="139"/>
      <c r="B65" s="254"/>
      <c r="C65" s="138"/>
      <c r="D65" s="138"/>
      <c r="E65" s="157"/>
      <c r="F65" s="41"/>
      <c r="G65" s="169"/>
    </row>
    <row r="66" spans="1:8" ht="30" x14ac:dyDescent="0.2">
      <c r="A66" s="482" t="s">
        <v>441</v>
      </c>
      <c r="B66" s="686"/>
      <c r="C66" s="412">
        <v>10</v>
      </c>
      <c r="D66" s="168">
        <f>IF(F67="NA","",C66)</f>
        <v>10</v>
      </c>
      <c r="E66" s="174"/>
      <c r="F66" s="481"/>
      <c r="G66" s="448"/>
    </row>
    <row r="67" spans="1:8" ht="15" customHeight="1" x14ac:dyDescent="0.2">
      <c r="A67" s="567" t="s">
        <v>143</v>
      </c>
      <c r="B67" s="686"/>
      <c r="C67" s="178"/>
      <c r="D67" s="176"/>
      <c r="E67" s="174">
        <f>$D$136</f>
        <v>1.5151515151515151</v>
      </c>
      <c r="F67" s="616" t="s">
        <v>121</v>
      </c>
      <c r="G67" s="620">
        <f>IF($D$66="","Not Scored",IF(F67="",$D$66*E67,IF(F67="a",$D$66*E67,(IF(F67="b",$D$66*E68,IF(F67="c",$D$66*E69))))))</f>
        <v>3.0303030303030303</v>
      </c>
    </row>
    <row r="68" spans="1:8" ht="15" customHeight="1" x14ac:dyDescent="0.2">
      <c r="A68" s="567" t="s">
        <v>407</v>
      </c>
      <c r="B68" s="686"/>
      <c r="C68" s="178"/>
      <c r="D68" s="176"/>
      <c r="E68" s="174">
        <f>AVERAGE(E67,E69)</f>
        <v>0.90909090909090906</v>
      </c>
      <c r="F68" s="625"/>
      <c r="G68" s="615" t="str">
        <f>IF(F67="","BLANK",IF(F67="a","High",IF(F67="b","Medium",IF(F67="c","Low",IF(F67="NA","Not Applicable")))))</f>
        <v>Low</v>
      </c>
      <c r="H68" s="161"/>
    </row>
    <row r="69" spans="1:8" x14ac:dyDescent="0.2">
      <c r="A69" s="567" t="s">
        <v>406</v>
      </c>
      <c r="B69" s="686"/>
      <c r="C69" s="178"/>
      <c r="D69" s="176"/>
      <c r="E69" s="174">
        <f>$D$137</f>
        <v>0.30303030303030304</v>
      </c>
      <c r="F69" s="626"/>
      <c r="G69" s="162"/>
      <c r="H69" s="163"/>
    </row>
    <row r="70" spans="1:8" x14ac:dyDescent="0.2">
      <c r="A70" s="164"/>
      <c r="B70" s="254"/>
      <c r="D70" s="138"/>
      <c r="E70" s="157"/>
      <c r="F70" s="41"/>
      <c r="G70" s="206"/>
    </row>
    <row r="71" spans="1:8" x14ac:dyDescent="0.2">
      <c r="A71" s="164"/>
      <c r="B71" s="254"/>
      <c r="D71" s="138"/>
      <c r="E71" s="157"/>
      <c r="F71" s="41"/>
      <c r="G71" s="206"/>
    </row>
    <row r="72" spans="1:8" ht="30" x14ac:dyDescent="0.2">
      <c r="A72" s="482" t="s">
        <v>442</v>
      </c>
      <c r="B72" s="684"/>
      <c r="C72" s="412">
        <v>10</v>
      </c>
      <c r="D72" s="168">
        <f>IF(F73="NA","",C72)</f>
        <v>10</v>
      </c>
      <c r="E72" s="174"/>
      <c r="F72" s="481"/>
      <c r="G72" s="448"/>
    </row>
    <row r="73" spans="1:8" ht="15" customHeight="1" x14ac:dyDescent="0.2">
      <c r="A73" s="478" t="s">
        <v>51</v>
      </c>
      <c r="B73" s="684"/>
      <c r="C73" s="173"/>
      <c r="D73" s="176"/>
      <c r="E73" s="174">
        <f>$D$136</f>
        <v>1.5151515151515151</v>
      </c>
      <c r="F73" s="616" t="s">
        <v>121</v>
      </c>
      <c r="G73" s="620">
        <f>IF($D$72="","Not Scored",IF(F73="",$D$72*E73,IF(F73="a",$D$72*E73,(IF(F73="b",$D$72*E74,IF(F73="c",$D$72*E75))))))</f>
        <v>3.0303030303030303</v>
      </c>
      <c r="H73" s="136"/>
    </row>
    <row r="74" spans="1:8" ht="30" x14ac:dyDescent="0.2">
      <c r="A74" s="478" t="s">
        <v>257</v>
      </c>
      <c r="B74" s="684"/>
      <c r="C74" s="173"/>
      <c r="D74" s="176"/>
      <c r="E74" s="174">
        <f>AVERAGE(E73,E75)</f>
        <v>0.90909090909090906</v>
      </c>
      <c r="F74" s="625"/>
      <c r="G74" s="615" t="str">
        <f>IF(F73="","BLANK",IF(F73="a","High",IF(F73="b","Medium",IF(F73="c","Low",IF(F73="NA","Not Applicable")))))</f>
        <v>Low</v>
      </c>
      <c r="H74" s="136"/>
    </row>
    <row r="75" spans="1:8" ht="30" x14ac:dyDescent="0.2">
      <c r="A75" s="478" t="s">
        <v>258</v>
      </c>
      <c r="B75" s="684"/>
      <c r="C75" s="173"/>
      <c r="D75" s="176"/>
      <c r="E75" s="174">
        <f>$D$137</f>
        <v>0.30303030303030304</v>
      </c>
      <c r="F75" s="626"/>
      <c r="G75" s="162"/>
      <c r="H75" s="161"/>
    </row>
    <row r="76" spans="1:8" x14ac:dyDescent="0.2">
      <c r="A76" s="139"/>
      <c r="B76" s="254"/>
      <c r="C76" s="138"/>
      <c r="D76" s="138"/>
      <c r="E76" s="157"/>
      <c r="F76" s="41"/>
      <c r="G76" s="169"/>
    </row>
    <row r="77" spans="1:8" x14ac:dyDescent="0.2">
      <c r="A77" s="139"/>
      <c r="B77" s="254"/>
      <c r="C77" s="138"/>
      <c r="D77" s="138"/>
      <c r="E77" s="157"/>
      <c r="F77" s="41"/>
      <c r="G77" s="169"/>
    </row>
    <row r="78" spans="1:8" ht="30" x14ac:dyDescent="0.2">
      <c r="A78" s="482" t="s">
        <v>443</v>
      </c>
      <c r="B78" s="684"/>
      <c r="C78" s="412">
        <v>20</v>
      </c>
      <c r="D78" s="168">
        <f>IF(F79="NA","",C78)</f>
        <v>20</v>
      </c>
      <c r="E78" s="174"/>
      <c r="F78" s="481"/>
      <c r="G78" s="448"/>
    </row>
    <row r="79" spans="1:8" x14ac:dyDescent="0.2">
      <c r="A79" s="478" t="s">
        <v>52</v>
      </c>
      <c r="B79" s="684"/>
      <c r="C79" s="173"/>
      <c r="D79" s="176"/>
      <c r="E79" s="174">
        <f>$D$136</f>
        <v>1.5151515151515151</v>
      </c>
      <c r="F79" s="616" t="s">
        <v>121</v>
      </c>
      <c r="G79" s="620">
        <f>IF($D$78="","Not Scored",IF(F79="",$D$78*E79,IF(F79="a",$D$78*E79,(IF(F79="b",$D$78*E80,IF(F79="c",$D$78*E81))))))</f>
        <v>6.0606060606060606</v>
      </c>
    </row>
    <row r="80" spans="1:8" x14ac:dyDescent="0.2">
      <c r="A80" s="478" t="s">
        <v>259</v>
      </c>
      <c r="B80" s="684"/>
      <c r="C80" s="173"/>
      <c r="D80" s="176"/>
      <c r="E80" s="174">
        <f>AVERAGE(E79,E81)</f>
        <v>0.90909090909090906</v>
      </c>
      <c r="F80" s="625"/>
      <c r="G80" s="615" t="str">
        <f>IF(F79="","BLANK",IF(F79="a","High",IF(F79="b","Medium",IF(F79="c","Low",IF(F79="NA","Not Applicable")))))</f>
        <v>Low</v>
      </c>
    </row>
    <row r="81" spans="1:8" x14ac:dyDescent="0.2">
      <c r="A81" s="478" t="s">
        <v>260</v>
      </c>
      <c r="B81" s="684"/>
      <c r="C81" s="173"/>
      <c r="D81" s="176"/>
      <c r="E81" s="174">
        <f>$D$137</f>
        <v>0.30303030303030304</v>
      </c>
      <c r="F81" s="626"/>
      <c r="G81" s="162"/>
    </row>
    <row r="82" spans="1:8" x14ac:dyDescent="0.2">
      <c r="A82" s="139"/>
      <c r="B82" s="254"/>
      <c r="C82" s="138"/>
      <c r="D82" s="138"/>
      <c r="E82" s="157"/>
      <c r="F82" s="41"/>
      <c r="G82" s="169"/>
    </row>
    <row r="83" spans="1:8" x14ac:dyDescent="0.2">
      <c r="A83" s="139"/>
      <c r="B83" s="254"/>
      <c r="C83" s="138"/>
      <c r="D83" s="138"/>
      <c r="E83" s="157"/>
      <c r="F83" s="41"/>
      <c r="G83" s="169"/>
    </row>
    <row r="84" spans="1:8" ht="30" x14ac:dyDescent="0.2">
      <c r="A84" s="482" t="s">
        <v>444</v>
      </c>
      <c r="B84" s="684"/>
      <c r="C84" s="412">
        <v>10</v>
      </c>
      <c r="D84" s="168">
        <f>IF(F85="NA","",C84)</f>
        <v>10</v>
      </c>
      <c r="E84" s="174"/>
      <c r="F84" s="481"/>
      <c r="G84" s="448"/>
    </row>
    <row r="85" spans="1:8" x14ac:dyDescent="0.2">
      <c r="A85" s="478" t="s">
        <v>53</v>
      </c>
      <c r="B85" s="684"/>
      <c r="C85" s="178"/>
      <c r="D85" s="176"/>
      <c r="E85" s="174">
        <f>$D$136</f>
        <v>1.5151515151515151</v>
      </c>
      <c r="F85" s="616" t="s">
        <v>121</v>
      </c>
      <c r="G85" s="620">
        <f>IF($D$84="","Not Scored",IF(F85="",$D$84*E85,IF(F85="a",$D$84*E85,(IF(F85="b",$D$84*E86,IF(F85="c",$D$84*E87))))))</f>
        <v>3.0303030303030303</v>
      </c>
      <c r="H85" s="136"/>
    </row>
    <row r="86" spans="1:8" x14ac:dyDescent="0.2">
      <c r="A86" s="478" t="s">
        <v>54</v>
      </c>
      <c r="B86" s="684"/>
      <c r="C86" s="178"/>
      <c r="D86" s="176"/>
      <c r="E86" s="174">
        <f>AVERAGE(E85,E87)</f>
        <v>0.90909090909090906</v>
      </c>
      <c r="F86" s="625"/>
      <c r="G86" s="615" t="str">
        <f>IF(F85="","BLANK",IF(F85="a","High",IF(F85="b","Medium",IF(F85="c","Low",IF(F85="NA","Not Applicable")))))</f>
        <v>Low</v>
      </c>
      <c r="H86" s="136"/>
    </row>
    <row r="87" spans="1:8" x14ac:dyDescent="0.2">
      <c r="A87" s="478" t="s">
        <v>261</v>
      </c>
      <c r="B87" s="684"/>
      <c r="C87" s="178"/>
      <c r="D87" s="176"/>
      <c r="E87" s="174">
        <f>$D$137</f>
        <v>0.30303030303030304</v>
      </c>
      <c r="F87" s="626"/>
      <c r="G87" s="162"/>
      <c r="H87" s="161"/>
    </row>
    <row r="88" spans="1:8" x14ac:dyDescent="0.2">
      <c r="A88" s="139"/>
      <c r="B88" s="254"/>
      <c r="C88" s="138"/>
      <c r="D88" s="138"/>
      <c r="E88" s="157"/>
      <c r="F88" s="41"/>
      <c r="G88" s="169"/>
    </row>
    <row r="89" spans="1:8" x14ac:dyDescent="0.2">
      <c r="A89" s="139"/>
      <c r="B89" s="254"/>
      <c r="C89" s="138"/>
      <c r="D89" s="138"/>
      <c r="E89" s="157"/>
      <c r="F89" s="41"/>
      <c r="G89" s="169"/>
    </row>
    <row r="90" spans="1:8" ht="30" x14ac:dyDescent="0.2">
      <c r="A90" s="482" t="s">
        <v>445</v>
      </c>
      <c r="B90" s="684"/>
      <c r="C90" s="412">
        <v>5</v>
      </c>
      <c r="D90" s="168">
        <f>IF(F91="NA","",C90)</f>
        <v>5</v>
      </c>
      <c r="E90" s="174"/>
      <c r="F90" s="481"/>
      <c r="G90" s="448"/>
    </row>
    <row r="91" spans="1:8" x14ac:dyDescent="0.2">
      <c r="A91" s="478" t="s">
        <v>55</v>
      </c>
      <c r="B91" s="684"/>
      <c r="C91" s="178"/>
      <c r="D91" s="176"/>
      <c r="E91" s="174">
        <f>$D$136</f>
        <v>1.5151515151515151</v>
      </c>
      <c r="F91" s="616" t="s">
        <v>121</v>
      </c>
      <c r="G91" s="620">
        <f>IF($D$90="","Not Scored",IF(F91="",$D$90*E91,IF(F91="a",$D$90*E91,(IF(F91="b",$D$90*E92,IF(F91="c",$D$90*E93))))))</f>
        <v>1.5151515151515151</v>
      </c>
      <c r="H91" s="136"/>
    </row>
    <row r="92" spans="1:8" x14ac:dyDescent="0.2">
      <c r="A92" s="478" t="s">
        <v>54</v>
      </c>
      <c r="B92" s="684"/>
      <c r="C92" s="178"/>
      <c r="D92" s="176"/>
      <c r="E92" s="174">
        <f>AVERAGE(E91,E93)</f>
        <v>0.90909090909090906</v>
      </c>
      <c r="F92" s="625"/>
      <c r="G92" s="615" t="str">
        <f>IF(F91="","BLANK",IF(F91="a","High",IF(F91="b","Medium",IF(F91="c","Low",IF(F91="NA","Not Applicable")))))</f>
        <v>Low</v>
      </c>
      <c r="H92" s="136"/>
    </row>
    <row r="93" spans="1:8" x14ac:dyDescent="0.2">
      <c r="A93" s="478" t="s">
        <v>261</v>
      </c>
      <c r="B93" s="684"/>
      <c r="C93" s="178"/>
      <c r="D93" s="176"/>
      <c r="E93" s="174">
        <f>$D$137</f>
        <v>0.30303030303030304</v>
      </c>
      <c r="F93" s="626"/>
      <c r="G93" s="162"/>
      <c r="H93" s="161"/>
    </row>
    <row r="94" spans="1:8" x14ac:dyDescent="0.2">
      <c r="A94" s="139"/>
      <c r="B94" s="254"/>
      <c r="C94" s="138"/>
      <c r="D94" s="138"/>
      <c r="E94" s="157"/>
      <c r="F94" s="41"/>
      <c r="G94" s="169"/>
    </row>
    <row r="95" spans="1:8" x14ac:dyDescent="0.2">
      <c r="A95" s="160"/>
      <c r="B95" s="254"/>
      <c r="C95" s="296"/>
      <c r="D95" s="138"/>
      <c r="E95" s="157"/>
      <c r="F95" s="41"/>
      <c r="G95" s="169"/>
    </row>
    <row r="96" spans="1:8" ht="30" x14ac:dyDescent="0.2">
      <c r="A96" s="482" t="s">
        <v>446</v>
      </c>
      <c r="B96" s="685"/>
      <c r="C96" s="412">
        <v>25</v>
      </c>
      <c r="D96" s="168">
        <f>IF(F97="NA","",C96)</f>
        <v>25</v>
      </c>
      <c r="E96" s="174"/>
      <c r="F96" s="481"/>
      <c r="G96" s="448"/>
    </row>
    <row r="97" spans="1:8" x14ac:dyDescent="0.2">
      <c r="A97" s="478" t="s">
        <v>262</v>
      </c>
      <c r="B97" s="685"/>
      <c r="C97" s="178"/>
      <c r="D97" s="176"/>
      <c r="E97" s="174">
        <f>$D$136</f>
        <v>1.5151515151515151</v>
      </c>
      <c r="F97" s="616" t="s">
        <v>120</v>
      </c>
      <c r="G97" s="620">
        <f>IF($D$96="","Not Scored",IF(F97="",$D$96*E97,IF(F97="a",$D$96*E97,(IF(F97="b",$D$96*E98)))))</f>
        <v>7.5757575757575761</v>
      </c>
    </row>
    <row r="98" spans="1:8" x14ac:dyDescent="0.2">
      <c r="A98" s="478" t="s">
        <v>263</v>
      </c>
      <c r="B98" s="685"/>
      <c r="C98" s="178"/>
      <c r="D98" s="176"/>
      <c r="E98" s="174">
        <f>$D$137</f>
        <v>0.30303030303030304</v>
      </c>
      <c r="F98" s="621"/>
      <c r="G98" s="615" t="str">
        <f>IF(F97="","BLANK",IF(F97="a","High",IF(F97="b","Low",IF(F97="NA","Not Applicable"))))</f>
        <v>Low</v>
      </c>
      <c r="H98" s="161"/>
    </row>
    <row r="99" spans="1:8" x14ac:dyDescent="0.2">
      <c r="A99" s="160"/>
      <c r="B99" s="254"/>
      <c r="C99" s="138"/>
      <c r="D99" s="138"/>
      <c r="E99" s="157"/>
      <c r="F99" s="41"/>
      <c r="G99" s="169"/>
    </row>
    <row r="100" spans="1:8" x14ac:dyDescent="0.2">
      <c r="A100" s="160"/>
      <c r="B100" s="254"/>
      <c r="C100" s="138"/>
      <c r="D100" s="138"/>
      <c r="E100" s="157"/>
      <c r="F100" s="41"/>
      <c r="G100" s="169"/>
    </row>
    <row r="101" spans="1:8" ht="30" x14ac:dyDescent="0.2">
      <c r="A101" s="482" t="s">
        <v>447</v>
      </c>
      <c r="B101" s="685"/>
      <c r="C101" s="412">
        <v>25</v>
      </c>
      <c r="D101" s="168">
        <f>IF(F102="NA","",C101)</f>
        <v>25</v>
      </c>
      <c r="E101" s="174"/>
      <c r="F101" s="481"/>
      <c r="G101" s="448"/>
    </row>
    <row r="102" spans="1:8" x14ac:dyDescent="0.2">
      <c r="A102" s="478" t="s">
        <v>56</v>
      </c>
      <c r="B102" s="685"/>
      <c r="C102" s="178"/>
      <c r="D102" s="176"/>
      <c r="E102" s="174">
        <f>$D$136</f>
        <v>1.5151515151515151</v>
      </c>
      <c r="F102" s="616" t="s">
        <v>120</v>
      </c>
      <c r="G102" s="620">
        <f>IF($D$101="","Not Scored",IF(F102="",$D$101*E102,IF(F102="a",$D$101*E102,(IF(F102="b",$D$101*E103)))))</f>
        <v>7.5757575757575761</v>
      </c>
    </row>
    <row r="103" spans="1:8" x14ac:dyDescent="0.2">
      <c r="A103" s="478" t="s">
        <v>57</v>
      </c>
      <c r="B103" s="685"/>
      <c r="C103" s="178"/>
      <c r="D103" s="176"/>
      <c r="E103" s="174">
        <f>$D$137</f>
        <v>0.30303030303030304</v>
      </c>
      <c r="F103" s="621"/>
      <c r="G103" s="615" t="str">
        <f>IF(F102="","BLANK",IF(F102="a","High",IF(F102="b","Low",IF(F102="NA","Not Applicable"))))</f>
        <v>Low</v>
      </c>
      <c r="H103" s="161"/>
    </row>
    <row r="104" spans="1:8" x14ac:dyDescent="0.2">
      <c r="A104" s="139"/>
      <c r="B104" s="254"/>
      <c r="C104" s="138"/>
      <c r="D104" s="138"/>
      <c r="E104" s="157"/>
      <c r="F104" s="41"/>
      <c r="G104" s="169"/>
    </row>
    <row r="105" spans="1:8" x14ac:dyDescent="0.2">
      <c r="A105" s="139"/>
      <c r="B105" s="254"/>
      <c r="C105" s="138"/>
      <c r="D105" s="138"/>
      <c r="E105" s="157"/>
      <c r="F105" s="41"/>
      <c r="G105" s="169"/>
    </row>
    <row r="106" spans="1:8" ht="30" x14ac:dyDescent="0.2">
      <c r="A106" s="482" t="s">
        <v>448</v>
      </c>
      <c r="B106" s="685"/>
      <c r="C106" s="412">
        <v>15</v>
      </c>
      <c r="D106" s="168">
        <f>IF(F107="NA","",C106)</f>
        <v>15</v>
      </c>
      <c r="E106" s="174"/>
      <c r="F106" s="481"/>
      <c r="G106" s="448"/>
    </row>
    <row r="107" spans="1:8" x14ac:dyDescent="0.2">
      <c r="A107" s="478" t="s">
        <v>56</v>
      </c>
      <c r="B107" s="685"/>
      <c r="C107" s="183"/>
      <c r="D107" s="176"/>
      <c r="E107" s="174">
        <f>$D$136</f>
        <v>1.5151515151515151</v>
      </c>
      <c r="F107" s="616" t="s">
        <v>120</v>
      </c>
      <c r="G107" s="620">
        <f>IF($D$106="","Not Scored",IF(F107="",$D$106*E107,IF(F107="a",$D$106*E107,(IF(F107="b",$D$106*E108)))))</f>
        <v>4.5454545454545459</v>
      </c>
      <c r="H107" s="136"/>
    </row>
    <row r="108" spans="1:8" x14ac:dyDescent="0.2">
      <c r="A108" s="478" t="s">
        <v>57</v>
      </c>
      <c r="B108" s="685"/>
      <c r="C108" s="183"/>
      <c r="D108" s="176"/>
      <c r="E108" s="174">
        <f>$D$137</f>
        <v>0.30303030303030304</v>
      </c>
      <c r="F108" s="621"/>
      <c r="G108" s="615" t="str">
        <f>IF(F107="","BLANK",IF(F107="a","High",IF(F107="b","Low",IF(F107="NA","Not Applicable"))))</f>
        <v>Low</v>
      </c>
      <c r="H108" s="136"/>
    </row>
    <row r="109" spans="1:8" x14ac:dyDescent="0.2">
      <c r="A109" s="139"/>
      <c r="B109" s="254"/>
      <c r="C109" s="138"/>
      <c r="D109" s="138"/>
      <c r="E109" s="157"/>
      <c r="F109" s="41"/>
      <c r="G109" s="169"/>
    </row>
    <row r="110" spans="1:8" x14ac:dyDescent="0.2">
      <c r="A110" s="164"/>
      <c r="B110" s="254"/>
      <c r="D110" s="138"/>
      <c r="E110" s="157"/>
      <c r="F110" s="41"/>
      <c r="G110" s="169"/>
    </row>
    <row r="111" spans="1:8" x14ac:dyDescent="0.2">
      <c r="A111" s="482" t="s">
        <v>449</v>
      </c>
      <c r="B111" s="685"/>
      <c r="C111" s="412">
        <v>15</v>
      </c>
      <c r="D111" s="168">
        <f>IF(F112="NA","",C111)</f>
        <v>15</v>
      </c>
      <c r="E111" s="174"/>
      <c r="F111" s="481"/>
      <c r="G111" s="448"/>
    </row>
    <row r="112" spans="1:8" x14ac:dyDescent="0.2">
      <c r="A112" s="478" t="s">
        <v>172</v>
      </c>
      <c r="B112" s="685"/>
      <c r="C112" s="178"/>
      <c r="D112" s="176"/>
      <c r="E112" s="174">
        <f>$D$136</f>
        <v>1.5151515151515151</v>
      </c>
      <c r="F112" s="616" t="s">
        <v>121</v>
      </c>
      <c r="G112" s="620">
        <f>IF($D$111="","Not Scored",IF(F112="",$D$111*E112,IF(F112="a",$D$111*E112,(IF(F112="b",$D$111*E113,IF(F112="c",$D$111*E114))))))</f>
        <v>4.5454545454545459</v>
      </c>
    </row>
    <row r="113" spans="1:8" x14ac:dyDescent="0.2">
      <c r="A113" s="478" t="s">
        <v>171</v>
      </c>
      <c r="B113" s="685"/>
      <c r="C113" s="178"/>
      <c r="D113" s="176"/>
      <c r="E113" s="174">
        <f>AVERAGE(E112,E114)</f>
        <v>0.90909090909090906</v>
      </c>
      <c r="F113" s="625"/>
      <c r="G113" s="615" t="str">
        <f>IF(F112="","BLANK",IF(F112="a","High",IF(F112="b","Medium",IF(F112="c","Low",IF(F112="NA","Not Applicable")))))</f>
        <v>Low</v>
      </c>
      <c r="H113" s="161"/>
    </row>
    <row r="114" spans="1:8" ht="30" x14ac:dyDescent="0.2">
      <c r="A114" s="478" t="s">
        <v>170</v>
      </c>
      <c r="B114" s="685"/>
      <c r="C114" s="178"/>
      <c r="D114" s="176"/>
      <c r="E114" s="174">
        <f>$D$137</f>
        <v>0.30303030303030304</v>
      </c>
      <c r="F114" s="626"/>
      <c r="G114" s="162"/>
      <c r="H114" s="163"/>
    </row>
    <row r="115" spans="1:8" x14ac:dyDescent="0.2">
      <c r="A115" s="164"/>
      <c r="B115" s="254"/>
      <c r="D115" s="138"/>
      <c r="E115" s="157"/>
      <c r="F115" s="41"/>
      <c r="G115" s="169"/>
    </row>
    <row r="116" spans="1:8" x14ac:dyDescent="0.2">
      <c r="A116" s="164"/>
      <c r="B116" s="254"/>
      <c r="D116" s="138"/>
      <c r="E116" s="157"/>
      <c r="F116" s="38"/>
      <c r="G116" s="169"/>
    </row>
    <row r="117" spans="1:8" x14ac:dyDescent="0.2">
      <c r="A117" s="452" t="s">
        <v>450</v>
      </c>
      <c r="B117" s="685"/>
      <c r="C117" s="412">
        <v>25</v>
      </c>
      <c r="D117" s="168">
        <f>IF(F118="NA","",C117)</f>
        <v>25</v>
      </c>
      <c r="E117" s="174"/>
      <c r="F117" s="475"/>
      <c r="G117" s="448"/>
    </row>
    <row r="118" spans="1:8" x14ac:dyDescent="0.2">
      <c r="A118" s="451" t="s">
        <v>264</v>
      </c>
      <c r="B118" s="685"/>
      <c r="C118" s="465"/>
      <c r="D118" s="176"/>
      <c r="E118" s="174">
        <f>$D$136</f>
        <v>1.5151515151515151</v>
      </c>
      <c r="F118" s="616" t="s">
        <v>121</v>
      </c>
      <c r="G118" s="620">
        <f>IF($D$117="","Not Scored",IF(F118="",$D$117*E118,IF(F118="a",$D$117*E118,(IF(F118="b",$D$117*E119,IF(F118="c",$D$117*E120))))))</f>
        <v>7.5757575757575761</v>
      </c>
      <c r="H118" s="136"/>
    </row>
    <row r="119" spans="1:8" x14ac:dyDescent="0.2">
      <c r="A119" s="451" t="s">
        <v>265</v>
      </c>
      <c r="B119" s="685"/>
      <c r="C119" s="183"/>
      <c r="D119" s="176"/>
      <c r="E119" s="174">
        <f>AVERAGE(E118,E120)</f>
        <v>0.90909090909090906</v>
      </c>
      <c r="F119" s="625"/>
      <c r="G119" s="615" t="str">
        <f>IF(F118="","BLANK",IF(F118="a","High",IF(F118="b","Medium",IF(F118="c","Low",IF(F118="NA","Not Applicable")))))</f>
        <v>Low</v>
      </c>
      <c r="H119" s="136"/>
    </row>
    <row r="120" spans="1:8" x14ac:dyDescent="0.2">
      <c r="A120" s="451" t="s">
        <v>266</v>
      </c>
      <c r="B120" s="685"/>
      <c r="C120" s="183"/>
      <c r="D120" s="176"/>
      <c r="E120" s="174">
        <f>$D$137</f>
        <v>0.30303030303030304</v>
      </c>
      <c r="F120" s="626"/>
      <c r="G120" s="162"/>
      <c r="H120" s="161"/>
    </row>
    <row r="121" spans="1:8" x14ac:dyDescent="0.2">
      <c r="A121" s="167"/>
      <c r="B121" s="254"/>
      <c r="D121" s="138"/>
      <c r="E121" s="157"/>
      <c r="F121" s="44"/>
      <c r="G121" s="171"/>
    </row>
    <row r="122" spans="1:8" x14ac:dyDescent="0.2">
      <c r="A122" s="167"/>
      <c r="B122" s="254"/>
      <c r="D122" s="138"/>
      <c r="E122" s="157"/>
      <c r="F122" s="44"/>
      <c r="G122" s="171"/>
    </row>
    <row r="123" spans="1:8" x14ac:dyDescent="0.2">
      <c r="A123" s="482" t="s">
        <v>451</v>
      </c>
      <c r="B123" s="685"/>
      <c r="C123" s="412">
        <v>25</v>
      </c>
      <c r="D123" s="168">
        <f>IF(F124="NA","",C123)</f>
        <v>25</v>
      </c>
      <c r="E123" s="174"/>
      <c r="F123" s="481"/>
      <c r="G123" s="448"/>
    </row>
    <row r="124" spans="1:8" x14ac:dyDescent="0.2">
      <c r="A124" s="478" t="s">
        <v>326</v>
      </c>
      <c r="B124" s="685"/>
      <c r="C124" s="178"/>
      <c r="D124" s="176"/>
      <c r="E124" s="174">
        <f>$D$136</f>
        <v>1.5151515151515151</v>
      </c>
      <c r="F124" s="616" t="s">
        <v>120</v>
      </c>
      <c r="G124" s="117">
        <f>IF($D$123="","Not Scored",IF(F124="",$D$123*E124,IF(F124="a",$D$123*E124,(IF(F124="b",$D$123*E125)))))</f>
        <v>7.5757575757575761</v>
      </c>
    </row>
    <row r="125" spans="1:8" x14ac:dyDescent="0.2">
      <c r="A125" s="478" t="s">
        <v>324</v>
      </c>
      <c r="B125" s="685"/>
      <c r="C125" s="178"/>
      <c r="D125" s="176"/>
      <c r="E125" s="174">
        <f>$D$137</f>
        <v>0.30303030303030304</v>
      </c>
      <c r="F125" s="621"/>
      <c r="G125" s="125" t="str">
        <f>IF(F124="","BLANK",IF(F124="a","High",IF(F124="b","Low",IF(F124="NA","Not Applicable"))))</f>
        <v>Low</v>
      </c>
      <c r="H125" s="161"/>
    </row>
    <row r="126" spans="1:8" x14ac:dyDescent="0.2">
      <c r="A126" s="167"/>
      <c r="B126" s="254"/>
      <c r="D126" s="138"/>
      <c r="E126" s="157"/>
      <c r="F126" s="44"/>
      <c r="G126" s="171"/>
    </row>
    <row r="127" spans="1:8" hidden="1" x14ac:dyDescent="0.2">
      <c r="A127" s="159"/>
      <c r="D127" s="138"/>
      <c r="E127" s="157"/>
      <c r="F127" s="428"/>
      <c r="G127" s="428"/>
      <c r="H127" s="245"/>
    </row>
    <row r="128" spans="1:8" hidden="1" x14ac:dyDescent="0.2">
      <c r="A128" s="159"/>
      <c r="B128" s="426" t="s">
        <v>229</v>
      </c>
      <c r="C128" s="425">
        <f>SUM(C4:C127)</f>
        <v>330</v>
      </c>
      <c r="D128" s="138"/>
      <c r="E128" s="157"/>
      <c r="F128" s="427" t="s">
        <v>202</v>
      </c>
      <c r="G128" s="429">
        <f>SUM(G4:G127)</f>
        <v>100.00000000000001</v>
      </c>
    </row>
    <row r="129" spans="1:11" hidden="1" x14ac:dyDescent="0.2">
      <c r="A129" s="159"/>
      <c r="D129" s="138"/>
      <c r="E129" s="157"/>
      <c r="F129" s="170"/>
      <c r="G129" s="171"/>
    </row>
    <row r="130" spans="1:11" x14ac:dyDescent="0.2">
      <c r="A130" s="159"/>
      <c r="D130" s="138"/>
      <c r="E130" s="157"/>
      <c r="F130" s="170"/>
      <c r="G130" s="171"/>
    </row>
    <row r="131" spans="1:11" ht="15" customHeight="1" x14ac:dyDescent="0.2">
      <c r="A131" s="578"/>
      <c r="B131" s="172"/>
      <c r="C131" s="172"/>
      <c r="D131" s="207">
        <f>+SUM(D7:D127)</f>
        <v>330</v>
      </c>
      <c r="E131" s="175"/>
      <c r="F131" s="322" t="str">
        <f>IF(AND(Summary!$A$8="Yes",Summary!$A$16="Yes",$G$128&gt;0),$G$128,"Not Scored")</f>
        <v>Not Scored</v>
      </c>
      <c r="G131" s="322" t="str">
        <f>IF(AND(Summary!$A$8="Yes",Summary!$A$16="Yes",$G$128&gt;0),$G$128,"Not Scored")</f>
        <v>Not Scored</v>
      </c>
      <c r="H131" s="138"/>
      <c r="I131" s="295" t="s">
        <v>202</v>
      </c>
    </row>
    <row r="132" spans="1:11" ht="15" customHeight="1" x14ac:dyDescent="0.2">
      <c r="A132" s="465"/>
      <c r="B132" s="74"/>
      <c r="C132" s="432"/>
      <c r="D132" s="207"/>
      <c r="E132" s="176"/>
      <c r="F132" s="176"/>
      <c r="G132" s="176"/>
      <c r="H132" s="138"/>
      <c r="I132" s="265" t="s">
        <v>158</v>
      </c>
      <c r="J132" s="265" t="s">
        <v>159</v>
      </c>
      <c r="K132" s="265" t="s">
        <v>160</v>
      </c>
    </row>
    <row r="133" spans="1:11" ht="15" customHeight="1" x14ac:dyDescent="0.2">
      <c r="A133" s="465"/>
      <c r="B133" s="74"/>
      <c r="C133" s="432"/>
      <c r="D133" s="207">
        <f>+D131+D132</f>
        <v>330</v>
      </c>
      <c r="E133" s="176"/>
      <c r="F133" s="176"/>
      <c r="G133" s="176"/>
      <c r="H133" s="138"/>
      <c r="I133" s="266">
        <v>100</v>
      </c>
      <c r="J133" s="267" t="s">
        <v>161</v>
      </c>
      <c r="K133" s="268"/>
    </row>
    <row r="134" spans="1:11" ht="15" customHeight="1" x14ac:dyDescent="0.2">
      <c r="A134" s="465"/>
      <c r="B134" s="172"/>
      <c r="C134" s="172"/>
      <c r="D134" s="173"/>
      <c r="E134" s="176"/>
      <c r="F134" s="176"/>
      <c r="G134" s="176"/>
      <c r="H134" s="138"/>
      <c r="I134" s="269">
        <f>F142</f>
        <v>0</v>
      </c>
      <c r="J134" s="270" t="s">
        <v>162</v>
      </c>
      <c r="K134" s="271">
        <v>4</v>
      </c>
    </row>
    <row r="135" spans="1:11" ht="15" customHeight="1" x14ac:dyDescent="0.2">
      <c r="A135" s="575"/>
      <c r="B135" s="177"/>
      <c r="C135" s="177"/>
      <c r="D135" s="178"/>
      <c r="E135" s="183"/>
      <c r="F135" s="189"/>
      <c r="G135" s="189"/>
      <c r="I135" s="266">
        <v>500</v>
      </c>
      <c r="J135" s="267" t="s">
        <v>163</v>
      </c>
      <c r="K135" s="268"/>
    </row>
    <row r="136" spans="1:11" ht="15" customHeight="1" x14ac:dyDescent="0.2">
      <c r="A136" s="579"/>
      <c r="B136" s="183"/>
      <c r="C136" s="183"/>
      <c r="D136" s="275">
        <f>IF(D131=0,0,(500/D131))</f>
        <v>1.5151515151515151</v>
      </c>
      <c r="E136" s="183"/>
      <c r="F136" s="189"/>
      <c r="G136" s="189"/>
    </row>
    <row r="137" spans="1:11" ht="15" customHeight="1" x14ac:dyDescent="0.2">
      <c r="A137" s="579"/>
      <c r="B137" s="183"/>
      <c r="C137" s="183"/>
      <c r="D137" s="275">
        <f>IF(D133=0,0,(100/D133))</f>
        <v>0.30303030303030304</v>
      </c>
      <c r="E137" s="183"/>
      <c r="F137" s="189"/>
      <c r="G137" s="189"/>
    </row>
    <row r="138" spans="1:11" ht="15" customHeight="1" x14ac:dyDescent="0.2">
      <c r="A138" s="579"/>
      <c r="B138" s="183"/>
      <c r="C138" s="183"/>
      <c r="D138" s="178"/>
      <c r="E138" s="183"/>
      <c r="F138" s="189"/>
      <c r="G138" s="189"/>
    </row>
    <row r="139" spans="1:11" ht="15" customHeight="1" x14ac:dyDescent="0.2">
      <c r="A139" s="463"/>
      <c r="B139" s="333" t="s">
        <v>182</v>
      </c>
      <c r="C139" s="333"/>
      <c r="D139" s="299"/>
      <c r="E139" s="300" t="str">
        <f>IF($G$139="","Not Scored","")</f>
        <v>Not Scored</v>
      </c>
      <c r="F139" s="334" t="str">
        <f>IF(Risk_Pre_Charter!$G$82="Not Scored","",Risk_Pre_Charter!$G$82)</f>
        <v/>
      </c>
      <c r="G139" s="334" t="str">
        <f>IF(Risk_Pre_Charter!$G$82="Not Scored","",Risk_Pre_Charter!$G$82)</f>
        <v/>
      </c>
      <c r="H139" s="138"/>
    </row>
    <row r="140" spans="1:11" ht="15" customHeight="1" x14ac:dyDescent="0.2">
      <c r="A140" s="580"/>
      <c r="B140" s="177" t="s">
        <v>214</v>
      </c>
      <c r="C140" s="177"/>
      <c r="D140" s="183"/>
      <c r="E140" s="175" t="str">
        <f>IF($G$140="","Not Scored","")</f>
        <v>Not Scored</v>
      </c>
      <c r="F140" s="208" t="str">
        <f>IF($G$131="Not Scored","",$G$131)</f>
        <v/>
      </c>
      <c r="G140" s="208" t="str">
        <f>IF($G$131="Not Scored","",$G$131)</f>
        <v/>
      </c>
    </row>
    <row r="141" spans="1:11" ht="15" customHeight="1" x14ac:dyDescent="0.2">
      <c r="A141" s="463"/>
      <c r="B141" s="177" t="s">
        <v>458</v>
      </c>
      <c r="C141" s="177"/>
      <c r="D141" s="183"/>
      <c r="E141" s="183"/>
      <c r="F141" s="323">
        <f>+SUM($G$139:$G$140)</f>
        <v>0</v>
      </c>
      <c r="G141" s="323">
        <f>+SUM($G$139:$G$140)</f>
        <v>0</v>
      </c>
    </row>
    <row r="142" spans="1:11" ht="15" customHeight="1" x14ac:dyDescent="0.2">
      <c r="A142" s="463"/>
      <c r="B142" s="324" t="s">
        <v>468</v>
      </c>
      <c r="C142" s="324"/>
      <c r="D142" s="325"/>
      <c r="E142" s="325"/>
      <c r="F142" s="326">
        <f>IF($G$141&gt;0,AVERAGE($G$139:$G$140),$G$141)</f>
        <v>0</v>
      </c>
      <c r="G142" s="326">
        <f>IF($G$141&gt;0,AVERAGE($G$139:$G$140),$G$141)</f>
        <v>0</v>
      </c>
    </row>
    <row r="143" spans="1:11" ht="15" customHeight="1" x14ac:dyDescent="0.2">
      <c r="A143" s="463"/>
      <c r="B143" s="177"/>
      <c r="C143" s="177"/>
      <c r="D143" s="183"/>
      <c r="E143" s="183"/>
      <c r="F143" s="176"/>
      <c r="G143" s="176"/>
    </row>
    <row r="144" spans="1:11" ht="15" customHeight="1" x14ac:dyDescent="0.2">
      <c r="A144" s="463"/>
      <c r="B144" s="184" t="s">
        <v>459</v>
      </c>
      <c r="C144" s="184"/>
      <c r="D144" s="185" t="s">
        <v>10</v>
      </c>
      <c r="E144" s="183"/>
      <c r="F144" s="328" t="str">
        <f>IF(ROUND(F142,0)&gt;367,"High_Complexity","")</f>
        <v/>
      </c>
      <c r="G144" s="328" t="str">
        <f>IF(ROUND(G142,0)&gt;367,"High_Complexity","")</f>
        <v/>
      </c>
    </row>
    <row r="145" spans="1:7" ht="15" customHeight="1" x14ac:dyDescent="0.2">
      <c r="A145" s="463"/>
      <c r="B145" s="184" t="s">
        <v>460</v>
      </c>
      <c r="C145" s="184"/>
      <c r="D145" s="178" t="s">
        <v>11</v>
      </c>
      <c r="E145" s="183"/>
      <c r="F145" s="327" t="str">
        <f>IF(AND(ROUND(F142,0)&gt;233,ROUND(F142,0)&lt;368),"Medium_Complexity","")</f>
        <v/>
      </c>
      <c r="G145" s="327" t="str">
        <f>IF(AND(ROUND(G142,0)&gt;233,ROUND(G142,0)&lt;368),"Medium_Complexity","")</f>
        <v/>
      </c>
    </row>
    <row r="146" spans="1:7" ht="15" customHeight="1" x14ac:dyDescent="0.2">
      <c r="A146" s="463"/>
      <c r="B146" s="184" t="s">
        <v>461</v>
      </c>
      <c r="C146" s="184"/>
      <c r="D146" s="185" t="s">
        <v>12</v>
      </c>
      <c r="E146" s="183"/>
      <c r="F146" s="329" t="str">
        <f>IF(AND(ROUND(F142,0)&gt;99,ROUND(F142,0)&lt;234),"Low_Complexity","")</f>
        <v/>
      </c>
      <c r="G146" s="329" t="str">
        <f>IF(AND(ROUND(G142,0)&gt;99,ROUND(G142,0)&lt;234),"Low_Complexity","")</f>
        <v/>
      </c>
    </row>
    <row r="147" spans="1:7" ht="15" customHeight="1" thickBot="1" x14ac:dyDescent="0.25">
      <c r="A147" s="463"/>
      <c r="B147" s="183"/>
      <c r="C147" s="183"/>
      <c r="D147" s="183"/>
      <c r="E147" s="183"/>
      <c r="F147" s="183"/>
      <c r="G147" s="183"/>
    </row>
    <row r="148" spans="1:7" ht="15" customHeight="1" thickBot="1" x14ac:dyDescent="0.25">
      <c r="A148" s="463"/>
      <c r="B148" s="211" t="s">
        <v>15</v>
      </c>
      <c r="C148" s="211"/>
      <c r="D148" s="183"/>
      <c r="E148" s="183"/>
      <c r="F148" s="191"/>
      <c r="G148" s="191"/>
    </row>
    <row r="149" spans="1:7" ht="15" customHeight="1" x14ac:dyDescent="0.2"/>
    <row r="150" spans="1:7" ht="15" customHeight="1" x14ac:dyDescent="0.2">
      <c r="D150" s="214"/>
    </row>
    <row r="151" spans="1:7" ht="15" customHeight="1" x14ac:dyDescent="0.2">
      <c r="D151" s="213"/>
    </row>
  </sheetData>
  <sheetProtection algorithmName="SHA-512" hashValue="z0IfZhEPzjKQbP3m1QKo94CF/Sg7aYMtBl5FOowvwU5mNCDfu0qdQrgRDv+zCyDgeD3n+qJLVQhzU2JzUO8mCQ==" saltValue="OFpRYU55RtNaFo0iw6mYjQ==" spinCount="100000" sheet="1" selectLockedCells="1"/>
  <mergeCells count="22">
    <mergeCell ref="B4:F4"/>
    <mergeCell ref="B84:B87"/>
    <mergeCell ref="B78:B81"/>
    <mergeCell ref="B123:B125"/>
    <mergeCell ref="B44:B46"/>
    <mergeCell ref="B117:B120"/>
    <mergeCell ref="B111:B114"/>
    <mergeCell ref="B106:B108"/>
    <mergeCell ref="B101:B103"/>
    <mergeCell ref="B96:B98"/>
    <mergeCell ref="B90:B93"/>
    <mergeCell ref="B54:B58"/>
    <mergeCell ref="B49:B51"/>
    <mergeCell ref="B72:B75"/>
    <mergeCell ref="B66:B69"/>
    <mergeCell ref="B61:B63"/>
    <mergeCell ref="B13:B16"/>
    <mergeCell ref="B7:B10"/>
    <mergeCell ref="B38:B41"/>
    <mergeCell ref="B31:B35"/>
    <mergeCell ref="B26:B28"/>
    <mergeCell ref="B19:B23"/>
  </mergeCells>
  <phoneticPr fontId="12" type="noConversion"/>
  <conditionalFormatting sqref="G148">
    <cfRule type="containsText" dxfId="463" priority="413" operator="containsText" text="RED FLAG">
      <formula>NOT(ISERROR(SEARCH("RED FLAG",G148)))</formula>
    </cfRule>
  </conditionalFormatting>
  <conditionalFormatting sqref="G21">
    <cfRule type="cellIs" dxfId="462" priority="226" operator="equal">
      <formula>"BLANK"</formula>
    </cfRule>
    <cfRule type="containsText" dxfId="461" priority="227" operator="containsText" text="Medium">
      <formula>NOT(ISERROR(SEARCH("Medium",G21)))</formula>
    </cfRule>
    <cfRule type="containsText" dxfId="460" priority="228" operator="containsText" text="Low">
      <formula>NOT(ISERROR(SEARCH("Low",G21)))</formula>
    </cfRule>
    <cfRule type="containsText" dxfId="459" priority="229" operator="containsText" text="High">
      <formula>NOT(ISERROR(SEARCH("High",G21)))</formula>
    </cfRule>
  </conditionalFormatting>
  <conditionalFormatting sqref="G131">
    <cfRule type="containsText" dxfId="458" priority="241" operator="containsText" text="Not Scored">
      <formula>NOT(ISERROR(SEARCH("Not Scored",G131)))</formula>
    </cfRule>
  </conditionalFormatting>
  <conditionalFormatting sqref="G144">
    <cfRule type="containsText" dxfId="457" priority="240" operator="containsText" text="High">
      <formula>NOT(ISERROR(SEARCH("High",G144)))</formula>
    </cfRule>
  </conditionalFormatting>
  <conditionalFormatting sqref="G145">
    <cfRule type="containsText" dxfId="456" priority="239" operator="containsText" text="Medium">
      <formula>NOT(ISERROR(SEARCH("Medium",G145)))</formula>
    </cfRule>
  </conditionalFormatting>
  <conditionalFormatting sqref="G146">
    <cfRule type="containsText" dxfId="455" priority="238" operator="containsText" text="Low">
      <formula>NOT(ISERROR(SEARCH("Low",G146)))</formula>
    </cfRule>
  </conditionalFormatting>
  <conditionalFormatting sqref="G33">
    <cfRule type="cellIs" dxfId="454" priority="218" operator="equal">
      <formula>"BLANK"</formula>
    </cfRule>
    <cfRule type="containsText" dxfId="453" priority="219" operator="containsText" text="Medium">
      <formula>NOT(ISERROR(SEARCH("Medium",G33)))</formula>
    </cfRule>
    <cfRule type="containsText" dxfId="452" priority="220" operator="containsText" text="Low">
      <formula>NOT(ISERROR(SEARCH("Low",G33)))</formula>
    </cfRule>
    <cfRule type="containsText" dxfId="451" priority="221" operator="containsText" text="High">
      <formula>NOT(ISERROR(SEARCH("High",G33)))</formula>
    </cfRule>
  </conditionalFormatting>
  <conditionalFormatting sqref="G46">
    <cfRule type="cellIs" dxfId="450" priority="94" operator="equal">
      <formula>"BLANK"</formula>
    </cfRule>
    <cfRule type="containsText" dxfId="449" priority="95" operator="containsText" text="Medium">
      <formula>NOT(ISERROR(SEARCH("Medium",G46)))</formula>
    </cfRule>
    <cfRule type="containsText" dxfId="448" priority="96" operator="containsText" text="Low">
      <formula>NOT(ISERROR(SEARCH("Low",G46)))</formula>
    </cfRule>
    <cfRule type="containsText" dxfId="447" priority="97" operator="containsText" text="High">
      <formula>NOT(ISERROR(SEARCH("High",G46)))</formula>
    </cfRule>
  </conditionalFormatting>
  <conditionalFormatting sqref="G15">
    <cfRule type="cellIs" dxfId="446" priority="162" operator="equal">
      <formula>"BLANK"</formula>
    </cfRule>
    <cfRule type="containsText" dxfId="445" priority="163" operator="containsText" text="Medium">
      <formula>NOT(ISERROR(SEARCH("Medium",G15)))</formula>
    </cfRule>
    <cfRule type="containsText" dxfId="444" priority="164" operator="containsText" text="Low">
      <formula>NOT(ISERROR(SEARCH("Low",G15)))</formula>
    </cfRule>
    <cfRule type="containsText" dxfId="443" priority="165" operator="containsText" text="High">
      <formula>NOT(ISERROR(SEARCH("High",G15)))</formula>
    </cfRule>
  </conditionalFormatting>
  <conditionalFormatting sqref="G57">
    <cfRule type="cellIs" dxfId="442" priority="154" operator="equal">
      <formula>"BLANK"</formula>
    </cfRule>
    <cfRule type="containsText" dxfId="441" priority="155" operator="containsText" text="Medium">
      <formula>NOT(ISERROR(SEARCH("Medium",G57)))</formula>
    </cfRule>
    <cfRule type="containsText" dxfId="440" priority="156" operator="containsText" text="Low">
      <formula>NOT(ISERROR(SEARCH("Low",G57)))</formula>
    </cfRule>
    <cfRule type="containsText" dxfId="439" priority="157" operator="containsText" text="High">
      <formula>NOT(ISERROR(SEARCH("High",G57)))</formula>
    </cfRule>
  </conditionalFormatting>
  <conditionalFormatting sqref="G113">
    <cfRule type="cellIs" dxfId="438" priority="138" operator="equal">
      <formula>"BLANK"</formula>
    </cfRule>
    <cfRule type="containsText" dxfId="437" priority="139" operator="containsText" text="Medium">
      <formula>NOT(ISERROR(SEARCH("Medium",G113)))</formula>
    </cfRule>
    <cfRule type="containsText" dxfId="436" priority="140" operator="containsText" text="Low">
      <formula>NOT(ISERROR(SEARCH("Low",G113)))</formula>
    </cfRule>
    <cfRule type="containsText" dxfId="435" priority="141" operator="containsText" text="High">
      <formula>NOT(ISERROR(SEARCH("High",G113)))</formula>
    </cfRule>
  </conditionalFormatting>
  <conditionalFormatting sqref="G103">
    <cfRule type="cellIs" dxfId="434" priority="130" operator="equal">
      <formula>"BLANK"</formula>
    </cfRule>
    <cfRule type="containsText" dxfId="433" priority="131" operator="containsText" text="Medium">
      <formula>NOT(ISERROR(SEARCH("Medium",G103)))</formula>
    </cfRule>
    <cfRule type="containsText" dxfId="432" priority="132" operator="containsText" text="Low">
      <formula>NOT(ISERROR(SEARCH("Low",G103)))</formula>
    </cfRule>
    <cfRule type="containsText" dxfId="431" priority="133" operator="containsText" text="High">
      <formula>NOT(ISERROR(SEARCH("High",G103)))</formula>
    </cfRule>
  </conditionalFormatting>
  <conditionalFormatting sqref="G108">
    <cfRule type="cellIs" dxfId="430" priority="126" operator="equal">
      <formula>"BLANK"</formula>
    </cfRule>
    <cfRule type="containsText" dxfId="429" priority="127" operator="containsText" text="Medium">
      <formula>NOT(ISERROR(SEARCH("Medium",G108)))</formula>
    </cfRule>
    <cfRule type="containsText" dxfId="428" priority="128" operator="containsText" text="Low">
      <formula>NOT(ISERROR(SEARCH("Low",G108)))</formula>
    </cfRule>
    <cfRule type="containsText" dxfId="427" priority="129" operator="containsText" text="High">
      <formula>NOT(ISERROR(SEARCH("High",G108)))</formula>
    </cfRule>
  </conditionalFormatting>
  <conditionalFormatting sqref="G51">
    <cfRule type="cellIs" dxfId="426" priority="90" operator="equal">
      <formula>"BLANK"</formula>
    </cfRule>
    <cfRule type="containsText" dxfId="425" priority="91" operator="containsText" text="Medium">
      <formula>NOT(ISERROR(SEARCH("Medium",G51)))</formula>
    </cfRule>
    <cfRule type="containsText" dxfId="424" priority="92" operator="containsText" text="Low">
      <formula>NOT(ISERROR(SEARCH("Low",G51)))</formula>
    </cfRule>
    <cfRule type="containsText" dxfId="423" priority="93" operator="containsText" text="High">
      <formula>NOT(ISERROR(SEARCH("High",G51)))</formula>
    </cfRule>
  </conditionalFormatting>
  <conditionalFormatting sqref="G28">
    <cfRule type="cellIs" dxfId="422" priority="82" operator="equal">
      <formula>"BLANK"</formula>
    </cfRule>
    <cfRule type="containsText" dxfId="421" priority="83" operator="containsText" text="Medium">
      <formula>NOT(ISERROR(SEARCH("Medium",G28)))</formula>
    </cfRule>
    <cfRule type="containsText" dxfId="420" priority="84" operator="containsText" text="Low">
      <formula>NOT(ISERROR(SEARCH("Low",G28)))</formula>
    </cfRule>
    <cfRule type="containsText" dxfId="419" priority="85" operator="containsText" text="High">
      <formula>NOT(ISERROR(SEARCH("High",G28)))</formula>
    </cfRule>
  </conditionalFormatting>
  <conditionalFormatting sqref="G68">
    <cfRule type="cellIs" dxfId="418" priority="78" operator="equal">
      <formula>"BLANK"</formula>
    </cfRule>
    <cfRule type="containsText" dxfId="417" priority="79" operator="containsText" text="Medium">
      <formula>NOT(ISERROR(SEARCH("Medium",G68)))</formula>
    </cfRule>
    <cfRule type="containsText" dxfId="416" priority="80" operator="containsText" text="Low">
      <formula>NOT(ISERROR(SEARCH("Low",G68)))</formula>
    </cfRule>
    <cfRule type="containsText" dxfId="415" priority="81" operator="containsText" text="High">
      <formula>NOT(ISERROR(SEARCH("High",G68)))</formula>
    </cfRule>
  </conditionalFormatting>
  <conditionalFormatting sqref="G74">
    <cfRule type="cellIs" dxfId="414" priority="74" operator="equal">
      <formula>"BLANK"</formula>
    </cfRule>
    <cfRule type="containsText" dxfId="413" priority="75" operator="containsText" text="Medium">
      <formula>NOT(ISERROR(SEARCH("Medium",G74)))</formula>
    </cfRule>
    <cfRule type="containsText" dxfId="412" priority="76" operator="containsText" text="Low">
      <formula>NOT(ISERROR(SEARCH("Low",G74)))</formula>
    </cfRule>
    <cfRule type="containsText" dxfId="411" priority="77" operator="containsText" text="High">
      <formula>NOT(ISERROR(SEARCH("High",G74)))</formula>
    </cfRule>
  </conditionalFormatting>
  <conditionalFormatting sqref="G80">
    <cfRule type="cellIs" dxfId="410" priority="70" operator="equal">
      <formula>"BLANK"</formula>
    </cfRule>
    <cfRule type="containsText" dxfId="409" priority="71" operator="containsText" text="Medium">
      <formula>NOT(ISERROR(SEARCH("Medium",G80)))</formula>
    </cfRule>
    <cfRule type="containsText" dxfId="408" priority="72" operator="containsText" text="Low">
      <formula>NOT(ISERROR(SEARCH("Low",G80)))</formula>
    </cfRule>
    <cfRule type="containsText" dxfId="407" priority="73" operator="containsText" text="High">
      <formula>NOT(ISERROR(SEARCH("High",G80)))</formula>
    </cfRule>
  </conditionalFormatting>
  <conditionalFormatting sqref="G86">
    <cfRule type="cellIs" dxfId="406" priority="66" operator="equal">
      <formula>"BLANK"</formula>
    </cfRule>
    <cfRule type="containsText" dxfId="405" priority="67" operator="containsText" text="Medium">
      <formula>NOT(ISERROR(SEARCH("Medium",G86)))</formula>
    </cfRule>
    <cfRule type="containsText" dxfId="404" priority="68" operator="containsText" text="Low">
      <formula>NOT(ISERROR(SEARCH("Low",G86)))</formula>
    </cfRule>
    <cfRule type="containsText" dxfId="403" priority="69" operator="containsText" text="High">
      <formula>NOT(ISERROR(SEARCH("High",G86)))</formula>
    </cfRule>
  </conditionalFormatting>
  <conditionalFormatting sqref="G92">
    <cfRule type="cellIs" dxfId="402" priority="62" operator="equal">
      <formula>"BLANK"</formula>
    </cfRule>
    <cfRule type="containsText" dxfId="401" priority="63" operator="containsText" text="Medium">
      <formula>NOT(ISERROR(SEARCH("Medium",G92)))</formula>
    </cfRule>
    <cfRule type="containsText" dxfId="400" priority="64" operator="containsText" text="Low">
      <formula>NOT(ISERROR(SEARCH("Low",G92)))</formula>
    </cfRule>
    <cfRule type="containsText" dxfId="399" priority="65" operator="containsText" text="High">
      <formula>NOT(ISERROR(SEARCH("High",G92)))</formula>
    </cfRule>
  </conditionalFormatting>
  <conditionalFormatting sqref="G98">
    <cfRule type="cellIs" dxfId="398" priority="58" operator="equal">
      <formula>"BLANK"</formula>
    </cfRule>
    <cfRule type="containsText" dxfId="397" priority="59" operator="containsText" text="Medium">
      <formula>NOT(ISERROR(SEARCH("Medium",G98)))</formula>
    </cfRule>
    <cfRule type="containsText" dxfId="396" priority="60" operator="containsText" text="Low">
      <formula>NOT(ISERROR(SEARCH("Low",G98)))</formula>
    </cfRule>
    <cfRule type="containsText" dxfId="395" priority="61" operator="containsText" text="High">
      <formula>NOT(ISERROR(SEARCH("High",G98)))</formula>
    </cfRule>
  </conditionalFormatting>
  <conditionalFormatting sqref="G119">
    <cfRule type="cellIs" dxfId="394" priority="46" operator="equal">
      <formula>"BLANK"</formula>
    </cfRule>
    <cfRule type="containsText" dxfId="393" priority="47" operator="containsText" text="Medium">
      <formula>NOT(ISERROR(SEARCH("Medium",G119)))</formula>
    </cfRule>
    <cfRule type="containsText" dxfId="392" priority="48" operator="containsText" text="Low">
      <formula>NOT(ISERROR(SEARCH("Low",G119)))</formula>
    </cfRule>
    <cfRule type="containsText" dxfId="391" priority="49" operator="containsText" text="High">
      <formula>NOT(ISERROR(SEARCH("High",G119)))</formula>
    </cfRule>
  </conditionalFormatting>
  <conditionalFormatting sqref="G9">
    <cfRule type="cellIs" dxfId="390" priority="38" operator="equal">
      <formula>"BLANK"</formula>
    </cfRule>
    <cfRule type="containsText" dxfId="389" priority="39" operator="containsText" text="Medium">
      <formula>NOT(ISERROR(SEARCH("Medium",G9)))</formula>
    </cfRule>
    <cfRule type="containsText" dxfId="388" priority="40" operator="containsText" text="Low">
      <formula>NOT(ISERROR(SEARCH("Low",G9)))</formula>
    </cfRule>
    <cfRule type="containsText" dxfId="387" priority="41" operator="containsText" text="High">
      <formula>NOT(ISERROR(SEARCH("High",G9)))</formula>
    </cfRule>
  </conditionalFormatting>
  <conditionalFormatting sqref="G40">
    <cfRule type="cellIs" dxfId="386" priority="34" operator="equal">
      <formula>"BLANK"</formula>
    </cfRule>
    <cfRule type="containsText" dxfId="385" priority="35" operator="containsText" text="Medium">
      <formula>NOT(ISERROR(SEARCH("Medium",G40)))</formula>
    </cfRule>
    <cfRule type="containsText" dxfId="384" priority="36" operator="containsText" text="Low">
      <formula>NOT(ISERROR(SEARCH("Low",G40)))</formula>
    </cfRule>
    <cfRule type="containsText" dxfId="383" priority="37" operator="containsText" text="High">
      <formula>NOT(ISERROR(SEARCH("High",G40)))</formula>
    </cfRule>
  </conditionalFormatting>
  <conditionalFormatting sqref="G125">
    <cfRule type="cellIs" dxfId="382" priority="30" operator="equal">
      <formula>"BLANK"</formula>
    </cfRule>
    <cfRule type="containsText" dxfId="381" priority="31" operator="containsText" text="Medium">
      <formula>NOT(ISERROR(SEARCH("Medium",G125)))</formula>
    </cfRule>
    <cfRule type="containsText" dxfId="380" priority="32" operator="containsText" text="Low">
      <formula>NOT(ISERROR(SEARCH("Low",G125)))</formula>
    </cfRule>
    <cfRule type="containsText" dxfId="379" priority="33" operator="containsText" text="High">
      <formula>NOT(ISERROR(SEARCH("High",G125)))</formula>
    </cfRule>
  </conditionalFormatting>
  <conditionalFormatting sqref="G63">
    <cfRule type="cellIs" dxfId="378" priority="22" operator="equal">
      <formula>"BLANK"</formula>
    </cfRule>
    <cfRule type="containsText" dxfId="377" priority="23" operator="containsText" text="Medium">
      <formula>NOT(ISERROR(SEARCH("Medium",G63)))</formula>
    </cfRule>
    <cfRule type="containsText" dxfId="376" priority="24" operator="containsText" text="Low">
      <formula>NOT(ISERROR(SEARCH("Low",G63)))</formula>
    </cfRule>
    <cfRule type="containsText" dxfId="375" priority="25" operator="containsText" text="High">
      <formula>NOT(ISERROR(SEARCH("High",G63)))</formula>
    </cfRule>
  </conditionalFormatting>
  <conditionalFormatting sqref="F148">
    <cfRule type="containsText" dxfId="374" priority="5" operator="containsText" text="RED FLAG">
      <formula>NOT(ISERROR(SEARCH("RED FLAG",F148)))</formula>
    </cfRule>
  </conditionalFormatting>
  <conditionalFormatting sqref="F131">
    <cfRule type="containsText" dxfId="373" priority="4" operator="containsText" text="Not Scored">
      <formula>NOT(ISERROR(SEARCH("Not Scored",F131)))</formula>
    </cfRule>
  </conditionalFormatting>
  <conditionalFormatting sqref="F144">
    <cfRule type="containsText" dxfId="372" priority="3" operator="containsText" text="High">
      <formula>NOT(ISERROR(SEARCH("High",F144)))</formula>
    </cfRule>
  </conditionalFormatting>
  <conditionalFormatting sqref="F145">
    <cfRule type="containsText" dxfId="371" priority="2" operator="containsText" text="Medium">
      <formula>NOT(ISERROR(SEARCH("Medium",F145)))</formula>
    </cfRule>
  </conditionalFormatting>
  <conditionalFormatting sqref="F146">
    <cfRule type="containsText" dxfId="370" priority="1" operator="containsText" text="Low">
      <formula>NOT(ISERROR(SEARCH("Low",F146)))</formula>
    </cfRule>
  </conditionalFormatting>
  <dataValidations count="1">
    <dataValidation type="decimal" allowBlank="1" showErrorMessage="1" sqref="I133:I135" xr:uid="{00000000-0002-0000-0600-000000000000}">
      <formula1>0</formula1>
      <formula2>500</formula2>
    </dataValidation>
  </dataValidations>
  <pageMargins left="0.5" right="0.25" top="0.47" bottom="0.5" header="0.24" footer="0.24"/>
  <pageSetup scale="56" fitToHeight="0" orientation="portrait" r:id="rId1"/>
  <headerFooter alignWithMargins="0">
    <oddHeader>&amp;CRisk Initiation Gate</oddHeader>
    <oddFooter>&amp;L&amp;D&amp;RPage &amp;P of &amp;N</oddFooter>
  </headerFooter>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ErrorMessage="1" xr:uid="{00000000-0002-0000-0600-000001000000}">
          <x14:formula1>
            <xm:f>'L_Answer Select'!$A$14:$A$19</xm:f>
          </x14:formula1>
          <xm:sqref>F32 F20</xm:sqref>
        </x14:dataValidation>
        <x14:dataValidation type="list" allowBlank="1" showErrorMessage="1" xr:uid="{00000000-0002-0000-0600-000002000000}">
          <x14:formula1>
            <xm:f>'L_Answer Select'!$A$24:$A$28</xm:f>
          </x14:formula1>
          <xm:sqref>F56 F112 F91 F14 F67 F73 F79 F85 F118 F8 F39</xm:sqref>
        </x14:dataValidation>
        <x14:dataValidation type="list" allowBlank="1" showErrorMessage="1" xr:uid="{00000000-0002-0000-0600-000003000000}">
          <x14:formula1>
            <xm:f>'L_Answer Select'!$A$33:$A$36</xm:f>
          </x14:formula1>
          <xm:sqref>F97 F102 F107 F45 F50 F124 F27 F62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K136"/>
  <sheetViews>
    <sheetView showGridLines="0" zoomScaleNormal="100" workbookViewId="0">
      <pane ySplit="2" topLeftCell="A3" activePane="bottomLeft" state="frozen"/>
      <selection activeCell="B22" sqref="B22"/>
      <selection pane="bottomLeft" activeCell="B7" sqref="B7:B10"/>
    </sheetView>
  </sheetViews>
  <sheetFormatPr defaultRowHeight="15" x14ac:dyDescent="0.2"/>
  <cols>
    <col min="1" max="1" width="100.7109375" style="215" customWidth="1"/>
    <col min="2" max="2" width="40.7109375" style="215" customWidth="1"/>
    <col min="3" max="3" width="6.7109375" style="215" hidden="1" customWidth="1"/>
    <col min="4" max="4" width="12.7109375" style="215" hidden="1" customWidth="1"/>
    <col min="5" max="5" width="14.7109375" style="220" customWidth="1"/>
    <col min="6" max="6" width="14.7109375" style="215" customWidth="1"/>
    <col min="7" max="7" width="14.7109375" style="215" hidden="1" customWidth="1"/>
    <col min="8" max="8" width="12.7109375" style="215" customWidth="1"/>
    <col min="9" max="11" width="14.7109375" style="215" customWidth="1"/>
    <col min="12" max="16384" width="9.140625" style="215"/>
  </cols>
  <sheetData>
    <row r="1" spans="1:8" ht="9.9499999999999993" customHeight="1" x14ac:dyDescent="0.2">
      <c r="A1" s="140"/>
      <c r="B1" s="140"/>
      <c r="C1" s="140"/>
      <c r="D1" s="140"/>
      <c r="E1" s="195"/>
      <c r="F1" s="140"/>
      <c r="G1" s="140"/>
    </row>
    <row r="2" spans="1:8" ht="30" x14ac:dyDescent="0.2">
      <c r="A2" s="144" t="s">
        <v>0</v>
      </c>
      <c r="B2" s="394" t="s">
        <v>7</v>
      </c>
      <c r="C2" s="394"/>
      <c r="D2" s="145" t="s">
        <v>228</v>
      </c>
      <c r="E2" s="146" t="s">
        <v>9</v>
      </c>
      <c r="F2" s="385" t="s">
        <v>245</v>
      </c>
      <c r="G2" s="147" t="s">
        <v>125</v>
      </c>
    </row>
    <row r="3" spans="1:8" s="143" customFormat="1" ht="8.1" customHeight="1" x14ac:dyDescent="0.2">
      <c r="A3" s="216"/>
      <c r="B3" s="216"/>
      <c r="C3" s="216"/>
      <c r="D3" s="217"/>
      <c r="E3" s="218"/>
      <c r="F3" s="219"/>
      <c r="G3" s="216"/>
    </row>
    <row r="4" spans="1:8" s="143" customFormat="1" ht="90" customHeight="1" x14ac:dyDescent="0.2">
      <c r="A4" s="246" t="s">
        <v>353</v>
      </c>
      <c r="B4" s="683" t="s">
        <v>670</v>
      </c>
      <c r="C4" s="683"/>
      <c r="D4" s="683"/>
      <c r="E4" s="683"/>
      <c r="F4" s="683"/>
      <c r="G4" s="120"/>
    </row>
    <row r="5" spans="1:8" s="143" customFormat="1" ht="15" customHeight="1" x14ac:dyDescent="0.2">
      <c r="A5" s="246"/>
      <c r="B5" s="256"/>
      <c r="C5" s="216"/>
      <c r="D5" s="217"/>
      <c r="E5" s="202"/>
      <c r="F5" s="318"/>
      <c r="G5" s="120"/>
    </row>
    <row r="6" spans="1:8" x14ac:dyDescent="0.2">
      <c r="A6" s="149"/>
      <c r="B6" s="248"/>
      <c r="C6" s="149"/>
      <c r="D6" s="150"/>
      <c r="E6" s="156"/>
      <c r="F6" s="154"/>
      <c r="G6" s="155"/>
    </row>
    <row r="7" spans="1:8" x14ac:dyDescent="0.2">
      <c r="A7" s="452" t="s">
        <v>173</v>
      </c>
      <c r="B7" s="687"/>
      <c r="C7" s="412">
        <v>20</v>
      </c>
      <c r="D7" s="168">
        <f>IF(F8="NA","",C7)</f>
        <v>20</v>
      </c>
      <c r="E7" s="209"/>
      <c r="F7" s="459"/>
      <c r="G7" s="448"/>
    </row>
    <row r="8" spans="1:8" x14ac:dyDescent="0.2">
      <c r="A8" s="451" t="s">
        <v>175</v>
      </c>
      <c r="B8" s="687"/>
      <c r="C8" s="207"/>
      <c r="D8" s="183"/>
      <c r="E8" s="174">
        <f>$D$116</f>
        <v>2.1739130434782608</v>
      </c>
      <c r="F8" s="616" t="s">
        <v>121</v>
      </c>
      <c r="G8" s="620">
        <f>IF($D$7="","Not Scored",IF(F8="",$D$7*E8,IF(F8="a",$D$7*E8,(IF(F8="b",$D$7*E9,IF(F8="c",$D$7*E10))))))</f>
        <v>8.695652173913043</v>
      </c>
      <c r="H8" s="143"/>
    </row>
    <row r="9" spans="1:8" x14ac:dyDescent="0.2">
      <c r="A9" s="451" t="s">
        <v>174</v>
      </c>
      <c r="B9" s="687"/>
      <c r="C9" s="207"/>
      <c r="D9" s="183"/>
      <c r="E9" s="174">
        <f>AVERAGE(E8,E10)</f>
        <v>1.3043478260869565</v>
      </c>
      <c r="F9" s="625"/>
      <c r="G9" s="615" t="str">
        <f>IF(F8="","BLANK",IF(F8="a","High",IF(F8="b","Medium",IF(F8="c","Low",IF(F8="NA","Not Applicable")))))</f>
        <v>Low</v>
      </c>
      <c r="H9" s="161"/>
    </row>
    <row r="10" spans="1:8" x14ac:dyDescent="0.2">
      <c r="A10" s="451" t="s">
        <v>354</v>
      </c>
      <c r="B10" s="687"/>
      <c r="C10" s="207"/>
      <c r="D10" s="183"/>
      <c r="E10" s="174">
        <f>$D$117</f>
        <v>0.43478260869565216</v>
      </c>
      <c r="F10" s="626"/>
      <c r="G10" s="162"/>
      <c r="H10" s="163"/>
    </row>
    <row r="11" spans="1:8" x14ac:dyDescent="0.2">
      <c r="A11" s="158"/>
      <c r="B11" s="250"/>
      <c r="C11" s="164"/>
      <c r="D11" s="138"/>
      <c r="E11" s="227"/>
      <c r="F11" s="45"/>
      <c r="G11" s="171"/>
    </row>
    <row r="12" spans="1:8" x14ac:dyDescent="0.2">
      <c r="A12" s="167"/>
      <c r="B12" s="249"/>
      <c r="C12" s="160"/>
      <c r="D12" s="137"/>
      <c r="E12" s="227"/>
      <c r="F12" s="45"/>
      <c r="G12" s="171"/>
    </row>
    <row r="13" spans="1:8" ht="30" x14ac:dyDescent="0.2">
      <c r="A13" s="452" t="s">
        <v>356</v>
      </c>
      <c r="B13" s="687"/>
      <c r="C13" s="412">
        <v>20</v>
      </c>
      <c r="D13" s="168">
        <f>IF(F14="NA","",C13)</f>
        <v>20</v>
      </c>
      <c r="E13" s="209"/>
      <c r="F13" s="454"/>
      <c r="G13" s="448"/>
    </row>
    <row r="14" spans="1:8" x14ac:dyDescent="0.2">
      <c r="A14" s="451" t="s">
        <v>59</v>
      </c>
      <c r="B14" s="687"/>
      <c r="C14" s="207"/>
      <c r="D14" s="183"/>
      <c r="E14" s="174">
        <f>$D$116</f>
        <v>2.1739130434782608</v>
      </c>
      <c r="F14" s="616" t="s">
        <v>122</v>
      </c>
      <c r="G14" s="614">
        <f>IF($D$13="","Not Scored",IF(F14="",$D$13*E14,IF(F14="a",$D$13*E14,(IF(F14="b",$D$13*E15,IF(F14="c",$D$13*E16,IF(F14="d",$D$13*E17)))))))</f>
        <v>8.695652173913043</v>
      </c>
      <c r="H14" s="136"/>
    </row>
    <row r="15" spans="1:8" x14ac:dyDescent="0.2">
      <c r="A15" s="451" t="s">
        <v>60</v>
      </c>
      <c r="B15" s="687"/>
      <c r="C15" s="207"/>
      <c r="D15" s="183"/>
      <c r="E15" s="174">
        <f>AVERAGE(E14,AVERAGE(E14,E17))</f>
        <v>1.7391304347826086</v>
      </c>
      <c r="F15" s="617"/>
      <c r="G15" s="615" t="str">
        <f>IF(F14="","BLANK",IF(F14="a","High",IF(F14="b","Medium - High",IF(F14="c","Medium - Low",IF(F14="d","Low",IF(F14="NA","Not Applicable"))))))</f>
        <v>Low</v>
      </c>
      <c r="H15" s="136"/>
    </row>
    <row r="16" spans="1:8" x14ac:dyDescent="0.2">
      <c r="A16" s="451" t="s">
        <v>61</v>
      </c>
      <c r="B16" s="687"/>
      <c r="C16" s="207"/>
      <c r="D16" s="183"/>
      <c r="E16" s="174">
        <f>AVERAGE(E17,AVERAGE(E14,E17))</f>
        <v>0.86956521739130432</v>
      </c>
      <c r="F16" s="618"/>
      <c r="G16" s="204"/>
      <c r="H16" s="161"/>
    </row>
    <row r="17" spans="1:8" x14ac:dyDescent="0.2">
      <c r="A17" s="451" t="s">
        <v>62</v>
      </c>
      <c r="B17" s="687"/>
      <c r="C17" s="207"/>
      <c r="D17" s="183"/>
      <c r="E17" s="174">
        <f>$D$117</f>
        <v>0.43478260869565216</v>
      </c>
      <c r="F17" s="619"/>
      <c r="G17" s="205"/>
      <c r="H17" s="163"/>
    </row>
    <row r="18" spans="1:8" x14ac:dyDescent="0.2">
      <c r="A18" s="167"/>
      <c r="B18" s="249"/>
      <c r="C18" s="160"/>
      <c r="D18" s="137"/>
      <c r="E18" s="227"/>
      <c r="F18" s="45"/>
      <c r="G18" s="171"/>
    </row>
    <row r="19" spans="1:8" x14ac:dyDescent="0.2">
      <c r="A19" s="167"/>
      <c r="B19" s="249"/>
      <c r="C19" s="160"/>
      <c r="D19" s="137"/>
      <c r="E19" s="227"/>
      <c r="F19" s="45"/>
      <c r="G19" s="171"/>
    </row>
    <row r="20" spans="1:8" x14ac:dyDescent="0.2">
      <c r="A20" s="452" t="s">
        <v>279</v>
      </c>
      <c r="B20" s="485"/>
      <c r="C20" s="487"/>
      <c r="D20" s="459"/>
      <c r="E20" s="453"/>
      <c r="F20" s="454"/>
      <c r="G20" s="448"/>
    </row>
    <row r="21" spans="1:8" x14ac:dyDescent="0.2">
      <c r="A21" s="495" t="s">
        <v>357</v>
      </c>
      <c r="B21" s="687"/>
      <c r="C21" s="412">
        <v>5</v>
      </c>
      <c r="D21" s="168">
        <f>IF(F22="NA","",C21)</f>
        <v>5</v>
      </c>
      <c r="E21" s="209"/>
      <c r="F21" s="475"/>
      <c r="G21" s="448"/>
    </row>
    <row r="22" spans="1:8" x14ac:dyDescent="0.2">
      <c r="A22" s="486" t="s">
        <v>63</v>
      </c>
      <c r="B22" s="687"/>
      <c r="C22" s="207"/>
      <c r="D22" s="183"/>
      <c r="E22" s="174">
        <f>$D$116</f>
        <v>2.1739130434782608</v>
      </c>
      <c r="F22" s="616" t="s">
        <v>121</v>
      </c>
      <c r="G22" s="620">
        <f>IF($D$21="","Not Scored",IF(F22="",$D$21*E22,IF(F22="a",$D$21*E22,(IF(F22="b",$D$21*E23,IF(F22="c",$D$21*E24))))))</f>
        <v>2.1739130434782608</v>
      </c>
      <c r="H22" s="136"/>
    </row>
    <row r="23" spans="1:8" x14ac:dyDescent="0.2">
      <c r="A23" s="486" t="s">
        <v>268</v>
      </c>
      <c r="B23" s="687"/>
      <c r="C23" s="207"/>
      <c r="D23" s="183"/>
      <c r="E23" s="174">
        <f>AVERAGE(E22,E24)</f>
        <v>1.3043478260869565</v>
      </c>
      <c r="F23" s="625"/>
      <c r="G23" s="615" t="str">
        <f>IF(F22="","BLANK",IF(F22="a","High",IF(F22="b","Medium",IF(F22="c","Low",IF(F22="NA","Not Applicable")))))</f>
        <v>Low</v>
      </c>
      <c r="H23" s="136"/>
    </row>
    <row r="24" spans="1:8" x14ac:dyDescent="0.2">
      <c r="A24" s="486" t="s">
        <v>69</v>
      </c>
      <c r="B24" s="687"/>
      <c r="C24" s="207"/>
      <c r="D24" s="183"/>
      <c r="E24" s="174">
        <f>$D$117</f>
        <v>0.43478260869565216</v>
      </c>
      <c r="F24" s="626"/>
      <c r="G24" s="162"/>
      <c r="H24" s="161"/>
    </row>
    <row r="25" spans="1:8" x14ac:dyDescent="0.2">
      <c r="A25" s="463"/>
      <c r="B25" s="484"/>
      <c r="C25" s="465"/>
      <c r="D25" s="459"/>
      <c r="E25" s="453"/>
      <c r="F25" s="454"/>
      <c r="G25" s="448"/>
    </row>
    <row r="26" spans="1:8" x14ac:dyDescent="0.2">
      <c r="A26" s="495" t="s">
        <v>190</v>
      </c>
      <c r="B26" s="687"/>
      <c r="C26" s="412">
        <v>5</v>
      </c>
      <c r="D26" s="168">
        <f>IF(F27="NA","",C26)</f>
        <v>5</v>
      </c>
      <c r="E26" s="209"/>
      <c r="F26" s="454"/>
      <c r="G26" s="448"/>
    </row>
    <row r="27" spans="1:8" x14ac:dyDescent="0.2">
      <c r="A27" s="486" t="s">
        <v>191</v>
      </c>
      <c r="B27" s="687"/>
      <c r="C27" s="207"/>
      <c r="D27" s="183"/>
      <c r="E27" s="174">
        <f>$D$116</f>
        <v>2.1739130434782608</v>
      </c>
      <c r="F27" s="616" t="s">
        <v>122</v>
      </c>
      <c r="G27" s="614">
        <f>IF($D$26="","Not Scored",IF(F27="",$D$26*E27,IF(F27="a",$D$26*E27,(IF(F27="b",$D$26*E28,IF(F27="c",$D$26*E29,IF(F27="d",$D$26*E30)))))))</f>
        <v>2.1739130434782608</v>
      </c>
      <c r="H27" s="136"/>
    </row>
    <row r="28" spans="1:8" x14ac:dyDescent="0.2">
      <c r="A28" s="486" t="s">
        <v>192</v>
      </c>
      <c r="B28" s="687"/>
      <c r="C28" s="207"/>
      <c r="D28" s="183"/>
      <c r="E28" s="174">
        <f>AVERAGE(E27,AVERAGE(E27,E30))</f>
        <v>1.7391304347826086</v>
      </c>
      <c r="F28" s="617"/>
      <c r="G28" s="615" t="str">
        <f>IF(F27="","BLANK",IF(F27="a","High",IF(F27="b","Medium - High",IF(F27="c","Medium - Low",IF(F27="d","Low",IF(F27="NA","Not Applicable"))))))</f>
        <v>Low</v>
      </c>
      <c r="H28" s="136"/>
    </row>
    <row r="29" spans="1:8" x14ac:dyDescent="0.2">
      <c r="A29" s="486" t="s">
        <v>95</v>
      </c>
      <c r="B29" s="687"/>
      <c r="C29" s="207"/>
      <c r="D29" s="183"/>
      <c r="E29" s="174">
        <f>AVERAGE(E30,AVERAGE(E27,E30))</f>
        <v>0.86956521739130432</v>
      </c>
      <c r="F29" s="618"/>
      <c r="G29" s="204"/>
      <c r="H29" s="161"/>
    </row>
    <row r="30" spans="1:8" x14ac:dyDescent="0.2">
      <c r="A30" s="486" t="s">
        <v>193</v>
      </c>
      <c r="B30" s="687"/>
      <c r="C30" s="207"/>
      <c r="D30" s="183"/>
      <c r="E30" s="174">
        <f>$D$117</f>
        <v>0.43478260869565216</v>
      </c>
      <c r="F30" s="619"/>
      <c r="G30" s="205"/>
      <c r="H30" s="163"/>
    </row>
    <row r="31" spans="1:8" x14ac:dyDescent="0.2">
      <c r="A31" s="158"/>
      <c r="B31" s="250"/>
      <c r="C31" s="164"/>
      <c r="D31" s="137"/>
      <c r="E31" s="227"/>
      <c r="F31" s="45"/>
      <c r="G31" s="171"/>
    </row>
    <row r="32" spans="1:8" x14ac:dyDescent="0.2">
      <c r="A32" s="158"/>
      <c r="B32" s="250"/>
      <c r="C32" s="164"/>
      <c r="D32" s="137"/>
      <c r="E32" s="227"/>
      <c r="F32" s="45"/>
      <c r="G32" s="171"/>
    </row>
    <row r="33" spans="1:8" x14ac:dyDescent="0.2">
      <c r="A33" s="452" t="s">
        <v>280</v>
      </c>
      <c r="B33" s="687"/>
      <c r="C33" s="412">
        <v>15</v>
      </c>
      <c r="D33" s="168">
        <f>IF(F34="NA","",C33)</f>
        <v>15</v>
      </c>
      <c r="E33" s="209"/>
      <c r="F33" s="454"/>
      <c r="G33" s="448"/>
    </row>
    <row r="34" spans="1:8" x14ac:dyDescent="0.2">
      <c r="A34" s="451" t="s">
        <v>64</v>
      </c>
      <c r="B34" s="687"/>
      <c r="C34" s="207"/>
      <c r="D34" s="183"/>
      <c r="E34" s="174">
        <f>$D$116</f>
        <v>2.1739130434782608</v>
      </c>
      <c r="F34" s="616" t="s">
        <v>122</v>
      </c>
      <c r="G34" s="614">
        <f>IF($D$33="","Not Scored",IF(F34="",$D$33*E34,IF(F34="a",$D$33*E34,(IF(F34="b",$D$33*E35,IF(F34="c",$D$33*E36,IF(F34="d",$D$33*E37)))))))</f>
        <v>6.5217391304347823</v>
      </c>
      <c r="H34" s="136"/>
    </row>
    <row r="35" spans="1:8" x14ac:dyDescent="0.2">
      <c r="A35" s="451" t="s">
        <v>269</v>
      </c>
      <c r="B35" s="687"/>
      <c r="C35" s="207"/>
      <c r="D35" s="183"/>
      <c r="E35" s="174">
        <f>AVERAGE(E34,AVERAGE(E34,E37))</f>
        <v>1.7391304347826086</v>
      </c>
      <c r="F35" s="617"/>
      <c r="G35" s="615" t="str">
        <f>IF(F34="","BLANK",IF(F34="a","High",IF(F34="b","Medium - High",IF(F34="c","Medium - Low",IF(F34="d","Low",IF(F34="NA","Not Applicable"))))))</f>
        <v>Low</v>
      </c>
      <c r="H35" s="136"/>
    </row>
    <row r="36" spans="1:8" x14ac:dyDescent="0.2">
      <c r="A36" s="451" t="s">
        <v>270</v>
      </c>
      <c r="B36" s="687"/>
      <c r="C36" s="207"/>
      <c r="D36" s="183"/>
      <c r="E36" s="174">
        <f>AVERAGE(E37,AVERAGE(E34,E37))</f>
        <v>0.86956521739130432</v>
      </c>
      <c r="F36" s="618"/>
      <c r="G36" s="204"/>
      <c r="H36" s="161"/>
    </row>
    <row r="37" spans="1:8" x14ac:dyDescent="0.2">
      <c r="A37" s="451" t="s">
        <v>271</v>
      </c>
      <c r="B37" s="687"/>
      <c r="C37" s="207"/>
      <c r="D37" s="183"/>
      <c r="E37" s="174">
        <f>$D$117</f>
        <v>0.43478260869565216</v>
      </c>
      <c r="F37" s="619"/>
      <c r="G37" s="205"/>
      <c r="H37" s="163"/>
    </row>
    <row r="38" spans="1:8" x14ac:dyDescent="0.2">
      <c r="A38" s="167"/>
      <c r="B38" s="249"/>
      <c r="C38" s="160"/>
      <c r="D38" s="137"/>
      <c r="E38" s="227"/>
      <c r="F38" s="45"/>
      <c r="G38" s="171"/>
    </row>
    <row r="39" spans="1:8" x14ac:dyDescent="0.2">
      <c r="A39" s="167"/>
      <c r="B39" s="249"/>
      <c r="C39" s="160"/>
      <c r="D39" s="137"/>
      <c r="E39" s="227"/>
      <c r="F39" s="45"/>
      <c r="G39" s="171"/>
    </row>
    <row r="40" spans="1:8" x14ac:dyDescent="0.2">
      <c r="A40" s="452" t="s">
        <v>339</v>
      </c>
      <c r="B40" s="687"/>
      <c r="C40" s="412">
        <v>20</v>
      </c>
      <c r="D40" s="168">
        <f>IF(F41="NA","",C40)</f>
        <v>20</v>
      </c>
      <c r="E40" s="209"/>
      <c r="F40" s="454"/>
      <c r="G40" s="448"/>
    </row>
    <row r="41" spans="1:8" x14ac:dyDescent="0.2">
      <c r="A41" s="451" t="s">
        <v>272</v>
      </c>
      <c r="B41" s="687"/>
      <c r="C41" s="207"/>
      <c r="D41" s="183"/>
      <c r="E41" s="174">
        <f>$D$116</f>
        <v>2.1739130434782608</v>
      </c>
      <c r="F41" s="616" t="s">
        <v>120</v>
      </c>
      <c r="G41" s="620">
        <f>IF($D$40="","Not Scored",IF(F41="",$D$40*E41,IF(F41="a",$D$40*E41,(IF(F41="b",$D$40*E42)))))</f>
        <v>8.695652173913043</v>
      </c>
      <c r="H41" s="136"/>
    </row>
    <row r="42" spans="1:8" ht="30" x14ac:dyDescent="0.2">
      <c r="A42" s="451" t="s">
        <v>273</v>
      </c>
      <c r="B42" s="687"/>
      <c r="C42" s="207"/>
      <c r="D42" s="183"/>
      <c r="E42" s="174">
        <f>$D$117</f>
        <v>0.43478260869565216</v>
      </c>
      <c r="F42" s="621"/>
      <c r="G42" s="615" t="str">
        <f>IF(F41="","BLANK",IF(F41="a","High",IF(F41="b","Low",IF(F41="NA","Not Applicable"))))</f>
        <v>Low</v>
      </c>
      <c r="H42" s="136"/>
    </row>
    <row r="43" spans="1:8" x14ac:dyDescent="0.2">
      <c r="A43" s="167"/>
      <c r="B43" s="249"/>
      <c r="C43" s="160"/>
      <c r="D43" s="137"/>
      <c r="E43" s="227"/>
      <c r="F43" s="45"/>
      <c r="G43" s="171"/>
    </row>
    <row r="44" spans="1:8" x14ac:dyDescent="0.2">
      <c r="A44" s="158"/>
      <c r="B44" s="250"/>
      <c r="C44" s="164"/>
      <c r="D44" s="137"/>
      <c r="E44" s="227"/>
      <c r="F44" s="45"/>
      <c r="G44" s="171"/>
    </row>
    <row r="45" spans="1:8" x14ac:dyDescent="0.2">
      <c r="A45" s="452" t="s">
        <v>340</v>
      </c>
      <c r="B45" s="687"/>
      <c r="C45" s="412">
        <v>15</v>
      </c>
      <c r="D45" s="168">
        <f>IF(F46="NA","",C45)</f>
        <v>15</v>
      </c>
      <c r="E45" s="209"/>
      <c r="F45" s="454"/>
      <c r="G45" s="448"/>
    </row>
    <row r="46" spans="1:8" x14ac:dyDescent="0.2">
      <c r="A46" s="451" t="s">
        <v>176</v>
      </c>
      <c r="B46" s="687"/>
      <c r="C46" s="207"/>
      <c r="D46" s="183"/>
      <c r="E46" s="174">
        <f>$D$116</f>
        <v>2.1739130434782608</v>
      </c>
      <c r="F46" s="616" t="s">
        <v>121</v>
      </c>
      <c r="G46" s="620">
        <f>IF($D$45="","Not Scored",IF(F46="",$D$45*E46,IF(F46="a",$D$45*E46,(IF(F46="b",$D$45*E47,IF(F46="c",$D$45*E48))))))</f>
        <v>6.5217391304347823</v>
      </c>
      <c r="H46" s="136"/>
    </row>
    <row r="47" spans="1:8" x14ac:dyDescent="0.2">
      <c r="A47" s="451" t="s">
        <v>177</v>
      </c>
      <c r="B47" s="687"/>
      <c r="C47" s="207"/>
      <c r="D47" s="183"/>
      <c r="E47" s="174">
        <f>AVERAGE(E46,E48)</f>
        <v>1.3043478260869565</v>
      </c>
      <c r="F47" s="625"/>
      <c r="G47" s="615" t="str">
        <f>IF(F46="","BLANK",IF(F46="a","High",IF(F46="b","Medium",IF(F46="c","Low",IF(F46="NA","Not Applicable")))))</f>
        <v>Low</v>
      </c>
      <c r="H47" s="136"/>
    </row>
    <row r="48" spans="1:8" x14ac:dyDescent="0.2">
      <c r="A48" s="451" t="s">
        <v>178</v>
      </c>
      <c r="B48" s="687"/>
      <c r="C48" s="207"/>
      <c r="D48" s="183"/>
      <c r="E48" s="174">
        <f>$D$117</f>
        <v>0.43478260869565216</v>
      </c>
      <c r="F48" s="626"/>
      <c r="G48" s="162"/>
      <c r="H48" s="161"/>
    </row>
    <row r="49" spans="1:8" x14ac:dyDescent="0.2">
      <c r="A49" s="159"/>
      <c r="B49" s="249"/>
      <c r="C49" s="160"/>
      <c r="D49" s="143"/>
      <c r="E49" s="224"/>
      <c r="F49" s="48"/>
      <c r="G49" s="171"/>
      <c r="H49" s="138"/>
    </row>
    <row r="50" spans="1:8" x14ac:dyDescent="0.2">
      <c r="A50" s="159"/>
      <c r="B50" s="249"/>
      <c r="C50" s="160"/>
      <c r="D50" s="143"/>
      <c r="E50" s="224"/>
      <c r="F50" s="48"/>
      <c r="G50" s="171"/>
      <c r="H50" s="138"/>
    </row>
    <row r="51" spans="1:8" ht="30" x14ac:dyDescent="0.2">
      <c r="A51" s="452" t="s">
        <v>358</v>
      </c>
      <c r="B51" s="687"/>
      <c r="C51" s="412">
        <v>10</v>
      </c>
      <c r="D51" s="168">
        <f>IF(F53="NA","",C51)</f>
        <v>10</v>
      </c>
      <c r="E51" s="209"/>
      <c r="F51" s="454"/>
      <c r="G51" s="448"/>
    </row>
    <row r="52" spans="1:8" ht="15" customHeight="1" x14ac:dyDescent="0.2">
      <c r="A52" s="488" t="s">
        <v>65</v>
      </c>
      <c r="B52" s="687"/>
      <c r="C52" s="465"/>
      <c r="D52" s="462"/>
      <c r="E52" s="209"/>
      <c r="F52" s="454"/>
      <c r="G52" s="448"/>
    </row>
    <row r="53" spans="1:8" x14ac:dyDescent="0.2">
      <c r="A53" s="451" t="s">
        <v>274</v>
      </c>
      <c r="B53" s="687"/>
      <c r="C53" s="207"/>
      <c r="D53" s="183"/>
      <c r="E53" s="174">
        <f>$D$116</f>
        <v>2.1739130434782608</v>
      </c>
      <c r="F53" s="616" t="s">
        <v>120</v>
      </c>
      <c r="G53" s="620">
        <f>IF($D$51="","Not Scored",IF(F53="",$D$51*E53,IF(F53="a",$D$51*E53,(IF(F53="b",$D$51*E54)))))</f>
        <v>4.3478260869565215</v>
      </c>
      <c r="H53" s="136"/>
    </row>
    <row r="54" spans="1:8" x14ac:dyDescent="0.2">
      <c r="A54" s="451" t="s">
        <v>275</v>
      </c>
      <c r="B54" s="687"/>
      <c r="C54" s="207"/>
      <c r="D54" s="183"/>
      <c r="E54" s="174">
        <f>$D$117</f>
        <v>0.43478260869565216</v>
      </c>
      <c r="F54" s="621"/>
      <c r="G54" s="615" t="str">
        <f>IF(F53="","BLANK",IF(F53="a","High",IF(F53="b","Low",IF(F53="NA","Not Applicable"))))</f>
        <v>Low</v>
      </c>
      <c r="H54" s="136"/>
    </row>
    <row r="55" spans="1:8" x14ac:dyDescent="0.2">
      <c r="A55" s="167"/>
      <c r="B55" s="249"/>
      <c r="C55" s="160"/>
      <c r="D55" s="137"/>
      <c r="E55" s="227"/>
      <c r="F55" s="45"/>
      <c r="G55" s="171"/>
    </row>
    <row r="56" spans="1:8" x14ac:dyDescent="0.2">
      <c r="A56" s="167"/>
      <c r="B56" s="249"/>
      <c r="C56" s="160"/>
      <c r="D56" s="277"/>
      <c r="E56" s="224"/>
      <c r="F56" s="48"/>
      <c r="G56" s="171"/>
    </row>
    <row r="57" spans="1:8" ht="30" x14ac:dyDescent="0.2">
      <c r="A57" s="452" t="s">
        <v>308</v>
      </c>
      <c r="B57" s="687"/>
      <c r="C57" s="412">
        <v>15</v>
      </c>
      <c r="D57" s="168">
        <f>IF(F58="NA","",C57)</f>
        <v>15</v>
      </c>
      <c r="E57" s="209"/>
      <c r="F57" s="481"/>
      <c r="G57" s="448"/>
    </row>
    <row r="58" spans="1:8" ht="30" x14ac:dyDescent="0.2">
      <c r="A58" s="451" t="s">
        <v>359</v>
      </c>
      <c r="B58" s="687"/>
      <c r="C58" s="207"/>
      <c r="D58" s="183"/>
      <c r="E58" s="174">
        <f>$D$116</f>
        <v>2.1739130434782608</v>
      </c>
      <c r="F58" s="616" t="s">
        <v>121</v>
      </c>
      <c r="G58" s="620">
        <f>IF($D$57="","Not Scored",IF(F58="",$D$57*E58,IF(F58="a",$D$57*E58,(IF(F58="b",$D$57*E59,IF(F58="c",$D$57*E60))))))</f>
        <v>6.5217391304347823</v>
      </c>
      <c r="H58" s="143"/>
    </row>
    <row r="59" spans="1:8" ht="30" x14ac:dyDescent="0.2">
      <c r="A59" s="451" t="s">
        <v>179</v>
      </c>
      <c r="B59" s="687"/>
      <c r="C59" s="207"/>
      <c r="D59" s="183"/>
      <c r="E59" s="174">
        <f>AVERAGE(E58,E60)</f>
        <v>1.3043478260869565</v>
      </c>
      <c r="F59" s="625"/>
      <c r="G59" s="615" t="str">
        <f>IF(F58="","BLANK",IF(F58="a","High",IF(F58="b","Medium",IF(F58="c","Low",IF(F58="NA","Not Applicable")))))</f>
        <v>Low</v>
      </c>
      <c r="H59" s="161"/>
    </row>
    <row r="60" spans="1:8" ht="30" x14ac:dyDescent="0.2">
      <c r="A60" s="451" t="s">
        <v>180</v>
      </c>
      <c r="B60" s="687"/>
      <c r="C60" s="207"/>
      <c r="D60" s="183"/>
      <c r="E60" s="174">
        <f>$D$117</f>
        <v>0.43478260869565216</v>
      </c>
      <c r="F60" s="626"/>
      <c r="G60" s="162"/>
      <c r="H60" s="163"/>
    </row>
    <row r="61" spans="1:8" x14ac:dyDescent="0.2">
      <c r="A61" s="158"/>
      <c r="B61" s="250"/>
      <c r="C61" s="164"/>
      <c r="D61" s="137"/>
      <c r="E61" s="227"/>
      <c r="F61" s="45"/>
      <c r="G61" s="171"/>
    </row>
    <row r="62" spans="1:8" x14ac:dyDescent="0.2">
      <c r="A62" s="158"/>
      <c r="B62" s="251"/>
      <c r="C62" s="431"/>
      <c r="D62" s="137"/>
      <c r="E62" s="227"/>
      <c r="F62" s="45"/>
      <c r="G62" s="171"/>
    </row>
    <row r="63" spans="1:8" x14ac:dyDescent="0.2">
      <c r="A63" s="452" t="s">
        <v>309</v>
      </c>
      <c r="B63" s="687"/>
      <c r="C63" s="412">
        <v>20</v>
      </c>
      <c r="D63" s="168">
        <f>IF(F64="NA","",C63)</f>
        <v>20</v>
      </c>
      <c r="E63" s="209"/>
      <c r="F63" s="454"/>
      <c r="G63" s="448"/>
    </row>
    <row r="64" spans="1:8" x14ac:dyDescent="0.2">
      <c r="A64" s="451" t="s">
        <v>58</v>
      </c>
      <c r="B64" s="687"/>
      <c r="C64" s="207"/>
      <c r="D64" s="183"/>
      <c r="E64" s="174">
        <f>$D$116</f>
        <v>2.1739130434782608</v>
      </c>
      <c r="F64" s="616" t="s">
        <v>120</v>
      </c>
      <c r="G64" s="620">
        <f>IF($D$63="","Not Scored",IF(F64="",$D$63*E64,IF(F64="a",$D$63*E64,(IF(F64="b",$D$63*E65)))))</f>
        <v>8.695652173913043</v>
      </c>
      <c r="H64" s="136"/>
    </row>
    <row r="65" spans="1:8" x14ac:dyDescent="0.2">
      <c r="A65" s="451" t="s">
        <v>246</v>
      </c>
      <c r="B65" s="687"/>
      <c r="C65" s="207"/>
      <c r="D65" s="183"/>
      <c r="E65" s="174">
        <f>$D$117</f>
        <v>0.43478260869565216</v>
      </c>
      <c r="F65" s="621"/>
      <c r="G65" s="615" t="str">
        <f>IF(F64="","BLANK",IF(F64="a","High",IF(F64="b","Low",IF(F64="NA","Not Applicable"))))</f>
        <v>Low</v>
      </c>
      <c r="H65" s="136"/>
    </row>
    <row r="66" spans="1:8" x14ac:dyDescent="0.2">
      <c r="A66" s="167"/>
      <c r="B66" s="249"/>
      <c r="C66" s="160"/>
      <c r="D66" s="137"/>
      <c r="E66" s="227"/>
      <c r="F66" s="45"/>
      <c r="G66" s="171"/>
    </row>
    <row r="67" spans="1:8" x14ac:dyDescent="0.2">
      <c r="A67" s="167"/>
      <c r="B67" s="249"/>
      <c r="C67" s="160"/>
      <c r="D67" s="137"/>
      <c r="E67" s="227"/>
      <c r="F67" s="45"/>
      <c r="G67" s="171"/>
    </row>
    <row r="68" spans="1:8" ht="30" x14ac:dyDescent="0.2">
      <c r="A68" s="452" t="s">
        <v>310</v>
      </c>
      <c r="B68" s="687"/>
      <c r="C68" s="412">
        <v>15</v>
      </c>
      <c r="D68" s="168">
        <f>IF(F70="NA","",C68)</f>
        <v>15</v>
      </c>
      <c r="E68" s="209"/>
      <c r="F68" s="454"/>
      <c r="G68" s="448"/>
    </row>
    <row r="69" spans="1:8" x14ac:dyDescent="0.2">
      <c r="A69" s="460" t="s">
        <v>70</v>
      </c>
      <c r="B69" s="687"/>
      <c r="C69" s="465"/>
      <c r="D69" s="462"/>
      <c r="E69" s="209"/>
      <c r="F69" s="454"/>
      <c r="G69" s="448"/>
    </row>
    <row r="70" spans="1:8" x14ac:dyDescent="0.2">
      <c r="A70" s="451" t="s">
        <v>71</v>
      </c>
      <c r="B70" s="687"/>
      <c r="C70" s="207"/>
      <c r="D70" s="183"/>
      <c r="E70" s="174">
        <f>$D$116</f>
        <v>2.1739130434782608</v>
      </c>
      <c r="F70" s="616" t="s">
        <v>122</v>
      </c>
      <c r="G70" s="614">
        <f>IF($D$68="","Not Scored",IF(F70="",$D$68*E70,IF(F70="a",$D$68*E70,(IF(F70="b",$D$68*E71,IF(F70="c",$D$68*E72,IF(F70="d",$D$68*E73)))))))</f>
        <v>6.5217391304347823</v>
      </c>
      <c r="H70" s="136"/>
    </row>
    <row r="71" spans="1:8" x14ac:dyDescent="0.2">
      <c r="A71" s="451" t="s">
        <v>72</v>
      </c>
      <c r="B71" s="687"/>
      <c r="C71" s="207"/>
      <c r="D71" s="183"/>
      <c r="E71" s="174">
        <f>AVERAGE(E70,AVERAGE(E70,E73))</f>
        <v>1.7391304347826086</v>
      </c>
      <c r="F71" s="617"/>
      <c r="G71" s="615" t="str">
        <f>IF(F70="","BLANK",IF(F70="a","High",IF(F70="b","Medium - High",IF(F70="c","Medium - Low",IF(F70="d","Low",IF(F70="NA","Not Applicable"))))))</f>
        <v>Low</v>
      </c>
      <c r="H71" s="136"/>
    </row>
    <row r="72" spans="1:8" x14ac:dyDescent="0.2">
      <c r="A72" s="451" t="s">
        <v>73</v>
      </c>
      <c r="B72" s="687"/>
      <c r="C72" s="207"/>
      <c r="D72" s="183"/>
      <c r="E72" s="174">
        <f>AVERAGE(E73,AVERAGE(E70,E73))</f>
        <v>0.86956521739130432</v>
      </c>
      <c r="F72" s="618"/>
      <c r="G72" s="204"/>
      <c r="H72" s="161"/>
    </row>
    <row r="73" spans="1:8" x14ac:dyDescent="0.2">
      <c r="A73" s="451" t="s">
        <v>74</v>
      </c>
      <c r="B73" s="687"/>
      <c r="C73" s="207"/>
      <c r="D73" s="183"/>
      <c r="E73" s="174">
        <f>$D$117</f>
        <v>0.43478260869565216</v>
      </c>
      <c r="F73" s="619"/>
      <c r="G73" s="205"/>
      <c r="H73" s="163"/>
    </row>
    <row r="74" spans="1:8" x14ac:dyDescent="0.2">
      <c r="A74" s="167"/>
      <c r="B74" s="249"/>
      <c r="C74" s="160"/>
      <c r="D74" s="137"/>
      <c r="E74" s="227"/>
      <c r="F74" s="45"/>
      <c r="G74" s="171"/>
    </row>
    <row r="75" spans="1:8" x14ac:dyDescent="0.2">
      <c r="A75" s="167"/>
      <c r="B75" s="249"/>
      <c r="C75" s="160"/>
      <c r="D75" s="137"/>
      <c r="E75" s="227"/>
      <c r="F75" s="45"/>
      <c r="G75" s="171"/>
    </row>
    <row r="76" spans="1:8" x14ac:dyDescent="0.2">
      <c r="A76" s="452" t="s">
        <v>311</v>
      </c>
      <c r="B76" s="687"/>
      <c r="C76" s="412">
        <v>10</v>
      </c>
      <c r="D76" s="168">
        <f>IF(F77="NA","",C76)</f>
        <v>10</v>
      </c>
      <c r="E76" s="209"/>
      <c r="F76" s="454"/>
      <c r="G76" s="448"/>
    </row>
    <row r="77" spans="1:8" x14ac:dyDescent="0.2">
      <c r="A77" s="451" t="s">
        <v>36</v>
      </c>
      <c r="B77" s="687"/>
      <c r="C77" s="207"/>
      <c r="D77" s="183"/>
      <c r="E77" s="174">
        <f>$D$116</f>
        <v>2.1739130434782608</v>
      </c>
      <c r="F77" s="616" t="s">
        <v>120</v>
      </c>
      <c r="G77" s="620">
        <f>IF($D$76="","Not Scored",IF(F77="",$D$76*E77,IF(F77="a",$D$76*E77,(IF(F77="b",$D$76*E78)))))</f>
        <v>4.3478260869565215</v>
      </c>
      <c r="H77" s="143"/>
    </row>
    <row r="78" spans="1:8" x14ac:dyDescent="0.2">
      <c r="A78" s="451" t="s">
        <v>360</v>
      </c>
      <c r="B78" s="687"/>
      <c r="C78" s="207"/>
      <c r="D78" s="183"/>
      <c r="E78" s="174">
        <f>$D$117</f>
        <v>0.43478260869565216</v>
      </c>
      <c r="F78" s="621"/>
      <c r="G78" s="615" t="str">
        <f>IF(F77="","BLANK",IF(F77="a","High",IF(F77="b","Low",IF(F77="NA","Not Applicable"))))</f>
        <v>Low</v>
      </c>
      <c r="H78" s="161"/>
    </row>
    <row r="79" spans="1:8" x14ac:dyDescent="0.2">
      <c r="A79" s="158"/>
      <c r="B79" s="250"/>
      <c r="C79" s="164"/>
      <c r="D79" s="138"/>
      <c r="E79" s="227"/>
      <c r="F79" s="45"/>
      <c r="G79" s="171"/>
    </row>
    <row r="80" spans="1:8" x14ac:dyDescent="0.2">
      <c r="A80" s="167"/>
      <c r="B80" s="570"/>
      <c r="C80" s="160"/>
      <c r="D80" s="137"/>
      <c r="E80" s="227"/>
      <c r="F80" s="45"/>
      <c r="G80" s="171"/>
    </row>
    <row r="81" spans="1:8" x14ac:dyDescent="0.2">
      <c r="A81" s="452" t="s">
        <v>312</v>
      </c>
      <c r="B81" s="484"/>
      <c r="C81" s="465"/>
      <c r="D81" s="183"/>
      <c r="E81" s="209"/>
      <c r="F81" s="454"/>
      <c r="G81" s="448"/>
    </row>
    <row r="82" spans="1:8" x14ac:dyDescent="0.2">
      <c r="A82" s="495" t="s">
        <v>454</v>
      </c>
      <c r="B82" s="687"/>
      <c r="C82" s="412">
        <v>10</v>
      </c>
      <c r="D82" s="168">
        <f>IF(F83="NA","",C82)</f>
        <v>10</v>
      </c>
      <c r="E82" s="174"/>
      <c r="F82" s="475"/>
      <c r="G82" s="448"/>
    </row>
    <row r="83" spans="1:8" x14ac:dyDescent="0.2">
      <c r="A83" s="486" t="s">
        <v>94</v>
      </c>
      <c r="B83" s="687"/>
      <c r="C83" s="207"/>
      <c r="D83" s="183"/>
      <c r="E83" s="174">
        <f>$D$116</f>
        <v>2.1739130434782608</v>
      </c>
      <c r="F83" s="616" t="s">
        <v>120</v>
      </c>
      <c r="G83" s="620">
        <f>IF($D$82="","Not Scored",IF(F83="",$D$82*E83,IF(F83="a",$D$82*E83,(IF(F83="b",$D$82*E84)))))</f>
        <v>4.3478260869565215</v>
      </c>
      <c r="H83" s="161"/>
    </row>
    <row r="84" spans="1:8" x14ac:dyDescent="0.2">
      <c r="A84" s="486" t="s">
        <v>130</v>
      </c>
      <c r="B84" s="687"/>
      <c r="C84" s="207"/>
      <c r="D84" s="183"/>
      <c r="E84" s="174">
        <f>$D$117</f>
        <v>0.43478260869565216</v>
      </c>
      <c r="F84" s="621"/>
      <c r="G84" s="615" t="str">
        <f>IF(F83="","BLANK",IF(F83="a","High",IF(F83="b","Low",IF(F83="NA","Not Applicable"))))</f>
        <v>Low</v>
      </c>
      <c r="H84" s="163"/>
    </row>
    <row r="85" spans="1:8" x14ac:dyDescent="0.2">
      <c r="A85" s="173"/>
      <c r="B85" s="458"/>
      <c r="C85" s="207"/>
      <c r="D85" s="183"/>
      <c r="E85" s="174"/>
      <c r="F85" s="477"/>
      <c r="G85" s="448"/>
    </row>
    <row r="86" spans="1:8" x14ac:dyDescent="0.2">
      <c r="A86" s="495" t="s">
        <v>455</v>
      </c>
      <c r="B86" s="687"/>
      <c r="C86" s="412">
        <v>10</v>
      </c>
      <c r="D86" s="168">
        <f>IF(F87="NA","",C86)</f>
        <v>10</v>
      </c>
      <c r="E86" s="174"/>
      <c r="F86" s="454"/>
      <c r="G86" s="490"/>
    </row>
    <row r="87" spans="1:8" x14ac:dyDescent="0.2">
      <c r="A87" s="486" t="s">
        <v>94</v>
      </c>
      <c r="B87" s="687"/>
      <c r="C87" s="207"/>
      <c r="D87" s="183"/>
      <c r="E87" s="174">
        <f>$D$116</f>
        <v>2.1739130434782608</v>
      </c>
      <c r="F87" s="616" t="s">
        <v>120</v>
      </c>
      <c r="G87" s="620">
        <f>IF($D$86="","Not Scored",IF(F87="",$D$86*E87,IF(F87="a",$D$86*E87,(IF(F87="b",$D$86*E88)))))</f>
        <v>4.3478260869565215</v>
      </c>
      <c r="H87" s="161"/>
    </row>
    <row r="88" spans="1:8" x14ac:dyDescent="0.2">
      <c r="A88" s="486" t="s">
        <v>130</v>
      </c>
      <c r="B88" s="687"/>
      <c r="C88" s="207"/>
      <c r="D88" s="183"/>
      <c r="E88" s="174">
        <f>$D$117</f>
        <v>0.43478260869565216</v>
      </c>
      <c r="F88" s="621"/>
      <c r="G88" s="615" t="str">
        <f>IF(F87="","BLANK",IF(F87="a","High",IF(F87="b","Low",IF(F87="NA","Not Applicable"))))</f>
        <v>Low</v>
      </c>
      <c r="H88" s="163"/>
    </row>
    <row r="89" spans="1:8" x14ac:dyDescent="0.2">
      <c r="A89" s="167"/>
      <c r="B89" s="249"/>
      <c r="C89" s="160"/>
      <c r="D89" s="137"/>
      <c r="E89" s="227"/>
      <c r="F89" s="45"/>
      <c r="G89" s="171"/>
    </row>
    <row r="90" spans="1:8" x14ac:dyDescent="0.2">
      <c r="A90" s="167"/>
      <c r="B90" s="249"/>
      <c r="C90" s="160"/>
      <c r="D90" s="137"/>
      <c r="E90" s="227"/>
      <c r="F90" s="45"/>
      <c r="G90" s="171"/>
    </row>
    <row r="91" spans="1:8" x14ac:dyDescent="0.2">
      <c r="A91" s="452" t="s">
        <v>313</v>
      </c>
      <c r="B91" s="687"/>
      <c r="C91" s="412">
        <v>15</v>
      </c>
      <c r="D91" s="168">
        <f>IF(F93="NA","",C91)</f>
        <v>15</v>
      </c>
      <c r="E91" s="209"/>
      <c r="F91" s="454"/>
      <c r="G91" s="448"/>
    </row>
    <row r="92" spans="1:8" ht="60" x14ac:dyDescent="0.2">
      <c r="A92" s="460" t="s">
        <v>75</v>
      </c>
      <c r="B92" s="687"/>
      <c r="C92" s="465"/>
      <c r="D92" s="462"/>
      <c r="E92" s="209"/>
      <c r="F92" s="454"/>
      <c r="G92" s="448"/>
    </row>
    <row r="93" spans="1:8" x14ac:dyDescent="0.2">
      <c r="A93" s="451" t="s">
        <v>276</v>
      </c>
      <c r="B93" s="687"/>
      <c r="C93" s="207"/>
      <c r="D93" s="183"/>
      <c r="E93" s="174">
        <f>$D$116</f>
        <v>2.1739130434782608</v>
      </c>
      <c r="F93" s="616" t="s">
        <v>121</v>
      </c>
      <c r="G93" s="620">
        <f>IF($D$91="","Not Scored",IF(F93="",$D$91*E93,IF(F93="a",$D$91*E93,(IF(F93="b",$D$91*E94,IF(F93="c",$D$91*E95))))))</f>
        <v>6.5217391304347823</v>
      </c>
      <c r="H93" s="136"/>
    </row>
    <row r="94" spans="1:8" x14ac:dyDescent="0.2">
      <c r="A94" s="451" t="s">
        <v>277</v>
      </c>
      <c r="B94" s="687"/>
      <c r="C94" s="207"/>
      <c r="D94" s="183"/>
      <c r="E94" s="174">
        <f>AVERAGE(E93,E95)</f>
        <v>1.3043478260869565</v>
      </c>
      <c r="F94" s="625"/>
      <c r="G94" s="615" t="str">
        <f>IF(F93="","BLANK",IF(F93="a","High",IF(F93="b","Medium",IF(F93="c","Low",IF(F93="NA","Not Applicable")))))</f>
        <v>Low</v>
      </c>
      <c r="H94" s="136"/>
    </row>
    <row r="95" spans="1:8" x14ac:dyDescent="0.2">
      <c r="A95" s="451" t="s">
        <v>278</v>
      </c>
      <c r="B95" s="687"/>
      <c r="C95" s="207"/>
      <c r="D95" s="183"/>
      <c r="E95" s="174">
        <f>$D$117</f>
        <v>0.43478260869565216</v>
      </c>
      <c r="F95" s="626"/>
      <c r="G95" s="162"/>
      <c r="H95" s="161"/>
    </row>
    <row r="96" spans="1:8" x14ac:dyDescent="0.2">
      <c r="A96" s="167"/>
      <c r="B96" s="249"/>
      <c r="C96" s="160"/>
      <c r="D96" s="137"/>
      <c r="E96" s="227"/>
      <c r="F96" s="45"/>
      <c r="G96" s="171"/>
    </row>
    <row r="97" spans="1:11" x14ac:dyDescent="0.2">
      <c r="A97" s="159"/>
      <c r="B97" s="160"/>
      <c r="C97" s="160"/>
      <c r="D97" s="137"/>
      <c r="E97" s="157"/>
      <c r="F97" s="139"/>
      <c r="G97" s="169"/>
      <c r="H97" s="138"/>
    </row>
    <row r="98" spans="1:11" ht="30" x14ac:dyDescent="0.2">
      <c r="A98" s="452" t="s">
        <v>361</v>
      </c>
      <c r="B98" s="687"/>
      <c r="C98" s="412">
        <v>15</v>
      </c>
      <c r="D98" s="168">
        <f>IF(F99="NA","",C98)</f>
        <v>15</v>
      </c>
      <c r="E98" s="453"/>
      <c r="F98" s="454"/>
      <c r="G98" s="176"/>
      <c r="H98" s="138"/>
    </row>
    <row r="99" spans="1:11" x14ac:dyDescent="0.2">
      <c r="A99" s="451" t="s">
        <v>58</v>
      </c>
      <c r="B99" s="687"/>
      <c r="C99" s="207"/>
      <c r="D99" s="459"/>
      <c r="E99" s="174">
        <f>$D$116</f>
        <v>2.1739130434782608</v>
      </c>
      <c r="F99" s="616" t="s">
        <v>120</v>
      </c>
      <c r="G99" s="620">
        <f>IF($D$98="","Not Scored",IF(F99="",$D$98*E99,IF(F99="a",$D$98*E99,(IF(F99="b",$D$98*E100)))))</f>
        <v>6.5217391304347823</v>
      </c>
      <c r="H99" s="138"/>
    </row>
    <row r="100" spans="1:11" x14ac:dyDescent="0.2">
      <c r="A100" s="451" t="s">
        <v>246</v>
      </c>
      <c r="B100" s="687"/>
      <c r="C100" s="207"/>
      <c r="D100" s="459"/>
      <c r="E100" s="174">
        <f>$D$117</f>
        <v>0.43478260869565216</v>
      </c>
      <c r="F100" s="621"/>
      <c r="G100" s="615" t="str">
        <f>IF(F99="","BLANK",IF(F99="a","High",IF(F99="b","Low",IF(F99="NA","Not Applicable"))))</f>
        <v>Low</v>
      </c>
      <c r="H100" s="138"/>
    </row>
    <row r="101" spans="1:11" x14ac:dyDescent="0.2">
      <c r="A101" s="159"/>
      <c r="B101" s="570"/>
      <c r="C101" s="160"/>
      <c r="D101" s="137"/>
      <c r="E101" s="157"/>
      <c r="F101" s="139"/>
      <c r="G101" s="169"/>
      <c r="H101" s="138"/>
    </row>
    <row r="102" spans="1:11" x14ac:dyDescent="0.2">
      <c r="A102" s="159"/>
      <c r="B102" s="570"/>
      <c r="C102" s="160"/>
      <c r="D102" s="137"/>
      <c r="E102" s="157"/>
      <c r="F102" s="139"/>
      <c r="G102" s="169"/>
      <c r="H102" s="138"/>
    </row>
    <row r="103" spans="1:11" x14ac:dyDescent="0.2">
      <c r="A103" s="452" t="s">
        <v>456</v>
      </c>
      <c r="B103" s="687"/>
      <c r="C103" s="412">
        <v>10</v>
      </c>
      <c r="D103" s="168">
        <f>IF(F104="NA","",C103)</f>
        <v>10</v>
      </c>
      <c r="E103" s="453"/>
      <c r="F103" s="454"/>
      <c r="G103" s="176"/>
      <c r="H103" s="138"/>
    </row>
    <row r="104" spans="1:11" x14ac:dyDescent="0.2">
      <c r="A104" s="451" t="s">
        <v>58</v>
      </c>
      <c r="B104" s="687"/>
      <c r="C104" s="207"/>
      <c r="D104" s="459"/>
      <c r="E104" s="174">
        <f>$D$116</f>
        <v>2.1739130434782608</v>
      </c>
      <c r="F104" s="616" t="s">
        <v>120</v>
      </c>
      <c r="G104" s="620">
        <f>IF($D$103="","Not Scored",IF(F104="",$D$103*E104,IF(F104="a",$D$103*E104,(IF(F104="b",$D$103*E105)))))</f>
        <v>4.3478260869565215</v>
      </c>
      <c r="H104" s="138"/>
    </row>
    <row r="105" spans="1:11" x14ac:dyDescent="0.2">
      <c r="A105" s="451" t="s">
        <v>246</v>
      </c>
      <c r="B105" s="687"/>
      <c r="C105" s="207"/>
      <c r="D105" s="459"/>
      <c r="E105" s="174">
        <f>$D$117</f>
        <v>0.43478260869565216</v>
      </c>
      <c r="F105" s="621"/>
      <c r="G105" s="615" t="str">
        <f>IF(F104="","BLANK",IF(F104="a","High",IF(F104="b","Low",IF(F104="NA","Not Applicable"))))</f>
        <v>Low</v>
      </c>
      <c r="H105" s="138"/>
    </row>
    <row r="106" spans="1:11" x14ac:dyDescent="0.2">
      <c r="A106" s="159"/>
      <c r="B106" s="160"/>
      <c r="C106" s="160"/>
      <c r="D106" s="137"/>
      <c r="E106" s="157"/>
      <c r="F106" s="139"/>
      <c r="G106" s="169"/>
      <c r="H106" s="138"/>
    </row>
    <row r="107" spans="1:11" hidden="1" x14ac:dyDescent="0.2">
      <c r="A107" s="159"/>
      <c r="B107" s="160"/>
      <c r="C107" s="160"/>
      <c r="D107" s="137"/>
      <c r="E107" s="157"/>
      <c r="F107" s="139"/>
      <c r="G107" s="169"/>
      <c r="H107" s="138"/>
    </row>
    <row r="108" spans="1:11" hidden="1" x14ac:dyDescent="0.2">
      <c r="A108" s="223"/>
      <c r="B108" s="426" t="s">
        <v>229</v>
      </c>
      <c r="C108" s="425">
        <f>SUM(C4:C107)</f>
        <v>230</v>
      </c>
      <c r="E108" s="224"/>
      <c r="F108" s="427" t="s">
        <v>202</v>
      </c>
      <c r="G108" s="429">
        <f>SUM(G4:G107)</f>
        <v>99.999999999999972</v>
      </c>
      <c r="H108" s="138"/>
    </row>
    <row r="109" spans="1:11" hidden="1" x14ac:dyDescent="0.2">
      <c r="A109" s="223"/>
      <c r="B109" s="434"/>
      <c r="C109" s="434"/>
      <c r="E109" s="224"/>
      <c r="F109" s="222"/>
      <c r="G109" s="171"/>
      <c r="H109" s="138"/>
    </row>
    <row r="110" spans="1:11" x14ac:dyDescent="0.2">
      <c r="A110" s="223"/>
      <c r="B110" s="434"/>
      <c r="C110" s="434"/>
      <c r="E110" s="224"/>
      <c r="F110" s="222"/>
      <c r="G110" s="171"/>
      <c r="H110" s="138"/>
    </row>
    <row r="111" spans="1:11" ht="15" customHeight="1" x14ac:dyDescent="0.2">
      <c r="A111" s="173"/>
      <c r="B111" s="172"/>
      <c r="C111" s="172"/>
      <c r="D111" s="173">
        <f>+SUM(D7:D107)</f>
        <v>230</v>
      </c>
      <c r="E111" s="175"/>
      <c r="F111" s="322" t="str">
        <f>IF(AND(Summary!$A$8="Yes",Summary!$A$16="Yes",$G$108&gt;0),$G$108,"Not Scored")</f>
        <v>Not Scored</v>
      </c>
      <c r="G111" s="322" t="str">
        <f>IF(AND(Summary!$A$8="Yes",Summary!$A$16="Yes",$G$108&gt;0),$G$108,"Not Scored")</f>
        <v>Not Scored</v>
      </c>
      <c r="I111" s="295" t="s">
        <v>202</v>
      </c>
    </row>
    <row r="112" spans="1:11" ht="15" customHeight="1" x14ac:dyDescent="0.2">
      <c r="A112" s="173"/>
      <c r="B112" s="74"/>
      <c r="C112" s="432"/>
      <c r="D112" s="173"/>
      <c r="E112" s="176"/>
      <c r="F112" s="176"/>
      <c r="G112" s="176"/>
      <c r="I112" s="265" t="s">
        <v>158</v>
      </c>
      <c r="J112" s="265" t="s">
        <v>159</v>
      </c>
      <c r="K112" s="265" t="s">
        <v>160</v>
      </c>
    </row>
    <row r="113" spans="1:11" ht="15" customHeight="1" x14ac:dyDescent="0.2">
      <c r="A113" s="183"/>
      <c r="B113" s="74"/>
      <c r="C113" s="432"/>
      <c r="D113" s="173">
        <f>+D111+D112</f>
        <v>230</v>
      </c>
      <c r="E113" s="176"/>
      <c r="F113" s="176"/>
      <c r="G113" s="176"/>
      <c r="I113" s="266">
        <v>100</v>
      </c>
      <c r="J113" s="267" t="s">
        <v>161</v>
      </c>
      <c r="K113" s="268"/>
    </row>
    <row r="114" spans="1:11" ht="15" customHeight="1" x14ac:dyDescent="0.2">
      <c r="A114" s="183"/>
      <c r="B114" s="172"/>
      <c r="C114" s="172"/>
      <c r="D114" s="173"/>
      <c r="E114" s="176"/>
      <c r="F114" s="176"/>
      <c r="G114" s="176"/>
      <c r="I114" s="269">
        <f>F122</f>
        <v>0</v>
      </c>
      <c r="J114" s="270" t="s">
        <v>162</v>
      </c>
      <c r="K114" s="271">
        <v>4</v>
      </c>
    </row>
    <row r="115" spans="1:11" s="182" customFormat="1" ht="15" customHeight="1" x14ac:dyDescent="0.2">
      <c r="A115" s="575"/>
      <c r="B115" s="177"/>
      <c r="C115" s="177"/>
      <c r="D115" s="178"/>
      <c r="E115" s="180"/>
      <c r="F115" s="181"/>
      <c r="G115" s="181"/>
      <c r="I115" s="266">
        <v>500</v>
      </c>
      <c r="J115" s="267" t="s">
        <v>163</v>
      </c>
      <c r="K115" s="268"/>
    </row>
    <row r="116" spans="1:11" s="182" customFormat="1" ht="15" customHeight="1" x14ac:dyDescent="0.2">
      <c r="A116" s="575"/>
      <c r="B116" s="183"/>
      <c r="C116" s="183"/>
      <c r="D116" s="275">
        <f>IF(D111=0,0,(500/D111))</f>
        <v>2.1739130434782608</v>
      </c>
      <c r="E116" s="180"/>
      <c r="F116" s="181"/>
      <c r="G116" s="181"/>
    </row>
    <row r="117" spans="1:11" s="182" customFormat="1" ht="15" customHeight="1" x14ac:dyDescent="0.2">
      <c r="A117" s="575"/>
      <c r="B117" s="183"/>
      <c r="C117" s="183"/>
      <c r="D117" s="275">
        <f>IF(D113=0,0,(100/D113))</f>
        <v>0.43478260869565216</v>
      </c>
      <c r="E117" s="180"/>
      <c r="F117" s="181"/>
      <c r="G117" s="181"/>
    </row>
    <row r="118" spans="1:11" ht="15" customHeight="1" x14ac:dyDescent="0.2">
      <c r="A118" s="183"/>
      <c r="B118" s="172"/>
      <c r="C118" s="172"/>
      <c r="D118" s="173"/>
      <c r="E118" s="176"/>
      <c r="F118" s="176"/>
      <c r="G118" s="176"/>
    </row>
    <row r="119" spans="1:11" s="143" customFormat="1" ht="15" customHeight="1" x14ac:dyDescent="0.2">
      <c r="A119" s="463"/>
      <c r="B119" s="333" t="s">
        <v>212</v>
      </c>
      <c r="C119" s="333"/>
      <c r="D119" s="299"/>
      <c r="E119" s="300" t="str">
        <f>IF($G$119="","Not Scored","")</f>
        <v>Not Scored</v>
      </c>
      <c r="F119" s="334" t="str">
        <f>IF(Complexity_Pre_Charter!$G$86="Not Scored","",Complexity_Pre_Charter!$G$86)</f>
        <v/>
      </c>
      <c r="G119" s="334" t="str">
        <f>IF(Complexity_Pre_Charter!$G$86="Not Scored","",Complexity_Pre_Charter!$G$86)</f>
        <v/>
      </c>
      <c r="H119" s="138"/>
    </row>
    <row r="120" spans="1:11" s="182" customFormat="1" ht="15" customHeight="1" x14ac:dyDescent="0.2">
      <c r="A120" s="593"/>
      <c r="B120" s="177" t="s">
        <v>213</v>
      </c>
      <c r="C120" s="177"/>
      <c r="D120" s="180"/>
      <c r="E120" s="175" t="str">
        <f>IF($G$120="","Not Scored","")</f>
        <v>Not Scored</v>
      </c>
      <c r="F120" s="208" t="str">
        <f>IF($G$111="Not Scored","",$G$111)</f>
        <v/>
      </c>
      <c r="G120" s="208" t="str">
        <f>IF($G$111="Not Scored","",$G$111)</f>
        <v/>
      </c>
      <c r="I120" s="143"/>
    </row>
    <row r="121" spans="1:11" s="182" customFormat="1" ht="15" customHeight="1" x14ac:dyDescent="0.2">
      <c r="A121" s="594"/>
      <c r="B121" s="177" t="s">
        <v>467</v>
      </c>
      <c r="C121" s="177"/>
      <c r="D121" s="180"/>
      <c r="E121" s="180"/>
      <c r="F121" s="323">
        <f>+SUM($G$119:$G$120)</f>
        <v>0</v>
      </c>
      <c r="G121" s="323">
        <f>+SUM($G$119:$G$120)</f>
        <v>0</v>
      </c>
      <c r="I121" s="143"/>
    </row>
    <row r="122" spans="1:11" s="182" customFormat="1" ht="15" customHeight="1" x14ac:dyDescent="0.2">
      <c r="A122" s="594"/>
      <c r="B122" s="324" t="s">
        <v>469</v>
      </c>
      <c r="C122" s="324"/>
      <c r="D122" s="325"/>
      <c r="E122" s="325"/>
      <c r="F122" s="326">
        <f>IF($G$121&gt;0,AVERAGE($G$119:$G$120),$G$121)</f>
        <v>0</v>
      </c>
      <c r="G122" s="326">
        <f>IF($G$121&gt;0,AVERAGE($G$119:$G$120),$G$121)</f>
        <v>0</v>
      </c>
      <c r="I122" s="143"/>
    </row>
    <row r="123" spans="1:11" ht="15" customHeight="1" x14ac:dyDescent="0.2">
      <c r="A123" s="183"/>
      <c r="B123" s="172"/>
      <c r="C123" s="172"/>
      <c r="D123" s="173"/>
      <c r="E123" s="176"/>
      <c r="F123" s="176"/>
      <c r="G123" s="176"/>
    </row>
    <row r="124" spans="1:11" ht="15" customHeight="1" x14ac:dyDescent="0.2">
      <c r="A124" s="183"/>
      <c r="B124" s="184" t="s">
        <v>462</v>
      </c>
      <c r="C124" s="184"/>
      <c r="D124" s="185"/>
      <c r="E124" s="176"/>
      <c r="F124" s="328" t="str">
        <f>+IF(ROUND(F122,0)&gt;367,"High_Complexity","")</f>
        <v/>
      </c>
      <c r="G124" s="328" t="str">
        <f>+IF(ROUND(G122,0)&gt;367,"High_Complexity","")</f>
        <v/>
      </c>
      <c r="I124" s="295" t="s">
        <v>204</v>
      </c>
      <c r="J124" s="143"/>
      <c r="K124" s="138"/>
    </row>
    <row r="125" spans="1:11" ht="15" customHeight="1" x14ac:dyDescent="0.2">
      <c r="A125" s="183"/>
      <c r="B125" s="184" t="s">
        <v>463</v>
      </c>
      <c r="C125" s="184"/>
      <c r="D125" s="178"/>
      <c r="E125" s="176"/>
      <c r="F125" s="327" t="str">
        <f>+IF(AND(ROUND(F122,0)&gt;233,ROUND(F122,0)&lt;368),"Medium_Complexity","")</f>
        <v/>
      </c>
      <c r="G125" s="327" t="str">
        <f>+IF(AND(ROUND(G122,0)&gt;233,ROUND(G122,0)&lt;368),"Medium_Complexity","")</f>
        <v/>
      </c>
      <c r="I125" s="265" t="s">
        <v>158</v>
      </c>
      <c r="J125" s="265" t="s">
        <v>159</v>
      </c>
      <c r="K125" s="265" t="s">
        <v>160</v>
      </c>
    </row>
    <row r="126" spans="1:11" ht="15" customHeight="1" x14ac:dyDescent="0.2">
      <c r="A126" s="494"/>
      <c r="B126" s="184" t="s">
        <v>464</v>
      </c>
      <c r="C126" s="184"/>
      <c r="D126" s="185"/>
      <c r="E126" s="176"/>
      <c r="F126" s="329" t="str">
        <f>+IF(AND(ROUND(F122,0)&gt;99,ROUND(F122,0)&lt;234),"Low_Complexity","")</f>
        <v/>
      </c>
      <c r="G126" s="329" t="str">
        <f>+IF(AND(ROUND(G122,0)&gt;99,ROUND(G122,0)&lt;234),"Low_Complexity","")</f>
        <v/>
      </c>
      <c r="I126" s="266">
        <v>1</v>
      </c>
      <c r="J126" s="267" t="s">
        <v>161</v>
      </c>
      <c r="K126" s="268"/>
    </row>
    <row r="127" spans="1:11" ht="15" customHeight="1" thickBot="1" x14ac:dyDescent="0.25">
      <c r="A127" s="183"/>
      <c r="B127" s="189"/>
      <c r="C127" s="189"/>
      <c r="D127" s="183"/>
      <c r="E127" s="183"/>
      <c r="F127" s="183"/>
      <c r="G127" s="183"/>
      <c r="I127" s="269">
        <f>IF(F128="Not Scored",0,F128)</f>
        <v>0</v>
      </c>
      <c r="J127" s="270" t="s">
        <v>162</v>
      </c>
      <c r="K127" s="271">
        <v>4</v>
      </c>
    </row>
    <row r="128" spans="1:11" ht="15" customHeight="1" thickBot="1" x14ac:dyDescent="0.25">
      <c r="A128" s="183"/>
      <c r="B128" s="287" t="s">
        <v>466</v>
      </c>
      <c r="C128" s="287"/>
      <c r="D128" s="288"/>
      <c r="E128" s="290"/>
      <c r="F128" s="190" t="str">
        <f>'Project Category Lookup Table'!$D$11</f>
        <v>Not Scored</v>
      </c>
      <c r="G128" s="190" t="str">
        <f>'Project Category Lookup Table'!$D$11</f>
        <v>Not Scored</v>
      </c>
      <c r="I128" s="266">
        <v>4</v>
      </c>
      <c r="J128" s="267" t="s">
        <v>163</v>
      </c>
      <c r="K128" s="268"/>
    </row>
    <row r="129" spans="2:3" ht="15" customHeight="1" x14ac:dyDescent="0.2">
      <c r="B129" s="232"/>
      <c r="C129" s="232"/>
    </row>
    <row r="130" spans="2:3" ht="15" customHeight="1" x14ac:dyDescent="0.2">
      <c r="B130" s="232"/>
      <c r="C130" s="232"/>
    </row>
    <row r="131" spans="2:3" ht="15" customHeight="1" x14ac:dyDescent="0.2">
      <c r="B131" s="232"/>
      <c r="C131" s="232"/>
    </row>
    <row r="132" spans="2:3" ht="15" customHeight="1" x14ac:dyDescent="0.2">
      <c r="B132" s="232"/>
      <c r="C132" s="232"/>
    </row>
    <row r="133" spans="2:3" ht="15" customHeight="1" x14ac:dyDescent="0.2">
      <c r="B133" s="232"/>
      <c r="C133" s="232"/>
    </row>
    <row r="134" spans="2:3" ht="15" customHeight="1" x14ac:dyDescent="0.2">
      <c r="B134" s="232"/>
      <c r="C134" s="232"/>
    </row>
    <row r="135" spans="2:3" ht="15" customHeight="1" x14ac:dyDescent="0.2"/>
    <row r="136" spans="2:3" ht="15" customHeight="1" x14ac:dyDescent="0.2"/>
  </sheetData>
  <sheetProtection algorithmName="SHA-512" hashValue="ms0aaBEETnvNtLQZPwtrU83bigznn2paFPDBXwv48d1yuwo2rrbuHujJ4YkF7viK0yQtuT/mQ/GYLRFmi+OPiw==" saltValue="d1kXGPnFfngijRkkDZ2W/g==" spinCount="100000" sheet="1" selectLockedCells="1"/>
  <mergeCells count="18">
    <mergeCell ref="B103:B105"/>
    <mergeCell ref="B98:B100"/>
    <mergeCell ref="B91:B95"/>
    <mergeCell ref="B76:B78"/>
    <mergeCell ref="B13:B17"/>
    <mergeCell ref="B21:B24"/>
    <mergeCell ref="B26:B30"/>
    <mergeCell ref="B33:B37"/>
    <mergeCell ref="B40:B42"/>
    <mergeCell ref="B45:B48"/>
    <mergeCell ref="B51:B54"/>
    <mergeCell ref="B57:B60"/>
    <mergeCell ref="B63:B65"/>
    <mergeCell ref="B68:B73"/>
    <mergeCell ref="B4:F4"/>
    <mergeCell ref="B86:B88"/>
    <mergeCell ref="B82:B84"/>
    <mergeCell ref="B7:B10"/>
  </mergeCells>
  <phoneticPr fontId="12" type="noConversion"/>
  <conditionalFormatting sqref="G124">
    <cfRule type="containsText" dxfId="364" priority="362" operator="containsText" text="High">
      <formula>NOT(ISERROR(SEARCH("High",G124)))</formula>
    </cfRule>
  </conditionalFormatting>
  <conditionalFormatting sqref="G125">
    <cfRule type="containsText" dxfId="363" priority="361" operator="containsText" text="Medium">
      <formula>NOT(ISERROR(SEARCH("Medium",G125)))</formula>
    </cfRule>
  </conditionalFormatting>
  <conditionalFormatting sqref="G126">
    <cfRule type="containsText" dxfId="362" priority="360" operator="containsText" text="Low">
      <formula>NOT(ISERROR(SEARCH("Low",G126)))</formula>
    </cfRule>
  </conditionalFormatting>
  <conditionalFormatting sqref="G128">
    <cfRule type="containsText" dxfId="361" priority="205" operator="containsText" text="Not Scored">
      <formula>NOT(ISERROR(SEARCH("Not Scored",G128)))</formula>
    </cfRule>
    <cfRule type="cellIs" dxfId="360" priority="357" operator="between">
      <formula>1</formula>
      <formula>1</formula>
    </cfRule>
    <cfRule type="cellIs" dxfId="359" priority="358" operator="between">
      <formula>2</formula>
      <formula>3</formula>
    </cfRule>
    <cfRule type="cellIs" dxfId="358" priority="359" operator="between">
      <formula>4</formula>
      <formula>4</formula>
    </cfRule>
  </conditionalFormatting>
  <conditionalFormatting sqref="G111">
    <cfRule type="containsText" dxfId="357" priority="206" operator="containsText" text="Not Scored">
      <formula>NOT(ISERROR(SEARCH("Not Scored",G111)))</formula>
    </cfRule>
  </conditionalFormatting>
  <conditionalFormatting sqref="G9">
    <cfRule type="cellIs" dxfId="356" priority="201" operator="equal">
      <formula>"BLANK"</formula>
    </cfRule>
    <cfRule type="containsText" dxfId="355" priority="202" operator="containsText" text="Medium">
      <formula>NOT(ISERROR(SEARCH("Medium",G9)))</formula>
    </cfRule>
    <cfRule type="containsText" dxfId="354" priority="203" operator="containsText" text="Low">
      <formula>NOT(ISERROR(SEARCH("Low",G9)))</formula>
    </cfRule>
    <cfRule type="containsText" dxfId="353" priority="204" operator="containsText" text="High">
      <formula>NOT(ISERROR(SEARCH("High",G9)))</formula>
    </cfRule>
  </conditionalFormatting>
  <conditionalFormatting sqref="G47">
    <cfRule type="cellIs" dxfId="352" priority="193" operator="equal">
      <formula>"BLANK"</formula>
    </cfRule>
    <cfRule type="containsText" dxfId="351" priority="194" operator="containsText" text="Medium">
      <formula>NOT(ISERROR(SEARCH("Medium",G47)))</formula>
    </cfRule>
    <cfRule type="containsText" dxfId="350" priority="195" operator="containsText" text="Low">
      <formula>NOT(ISERROR(SEARCH("Low",G47)))</formula>
    </cfRule>
    <cfRule type="containsText" dxfId="349" priority="196" operator="containsText" text="High">
      <formula>NOT(ISERROR(SEARCH("High",G47)))</formula>
    </cfRule>
  </conditionalFormatting>
  <conditionalFormatting sqref="G59">
    <cfRule type="cellIs" dxfId="348" priority="181" operator="equal">
      <formula>"BLANK"</formula>
    </cfRule>
    <cfRule type="containsText" dxfId="347" priority="182" operator="containsText" text="Medium">
      <formula>NOT(ISERROR(SEARCH("Medium",G59)))</formula>
    </cfRule>
    <cfRule type="containsText" dxfId="346" priority="183" operator="containsText" text="Low">
      <formula>NOT(ISERROR(SEARCH("Low",G59)))</formula>
    </cfRule>
    <cfRule type="containsText" dxfId="345" priority="184" operator="containsText" text="High">
      <formula>NOT(ISERROR(SEARCH("High",G59)))</formula>
    </cfRule>
  </conditionalFormatting>
  <conditionalFormatting sqref="G15">
    <cfRule type="cellIs" dxfId="344" priority="157" operator="equal">
      <formula>"BLANK"</formula>
    </cfRule>
    <cfRule type="containsText" dxfId="343" priority="158" operator="containsText" text="Medium">
      <formula>NOT(ISERROR(SEARCH("Medium",G15)))</formula>
    </cfRule>
    <cfRule type="containsText" dxfId="342" priority="159" operator="containsText" text="Low">
      <formula>NOT(ISERROR(SEARCH("Low",G15)))</formula>
    </cfRule>
    <cfRule type="containsText" dxfId="341" priority="160" operator="containsText" text="High">
      <formula>NOT(ISERROR(SEARCH("High",G15)))</formula>
    </cfRule>
  </conditionalFormatting>
  <conditionalFormatting sqref="G28">
    <cfRule type="cellIs" dxfId="340" priority="149" operator="equal">
      <formula>"BLANK"</formula>
    </cfRule>
    <cfRule type="containsText" dxfId="339" priority="150" operator="containsText" text="Medium">
      <formula>NOT(ISERROR(SEARCH("Medium",G28)))</formula>
    </cfRule>
    <cfRule type="containsText" dxfId="338" priority="151" operator="containsText" text="Low">
      <formula>NOT(ISERROR(SEARCH("Low",G28)))</formula>
    </cfRule>
    <cfRule type="containsText" dxfId="337" priority="152" operator="containsText" text="High">
      <formula>NOT(ISERROR(SEARCH("High",G28)))</formula>
    </cfRule>
  </conditionalFormatting>
  <conditionalFormatting sqref="G35">
    <cfRule type="cellIs" dxfId="336" priority="145" operator="equal">
      <formula>"BLANK"</formula>
    </cfRule>
    <cfRule type="containsText" dxfId="335" priority="146" operator="containsText" text="Medium">
      <formula>NOT(ISERROR(SEARCH("Medium",G35)))</formula>
    </cfRule>
    <cfRule type="containsText" dxfId="334" priority="147" operator="containsText" text="Low">
      <formula>NOT(ISERROR(SEARCH("Low",G35)))</formula>
    </cfRule>
    <cfRule type="containsText" dxfId="333" priority="148" operator="containsText" text="High">
      <formula>NOT(ISERROR(SEARCH("High",G35)))</formula>
    </cfRule>
  </conditionalFormatting>
  <conditionalFormatting sqref="G71">
    <cfRule type="cellIs" dxfId="332" priority="113" operator="equal">
      <formula>"BLANK"</formula>
    </cfRule>
    <cfRule type="containsText" dxfId="331" priority="114" operator="containsText" text="Medium">
      <formula>NOT(ISERROR(SEARCH("Medium",G71)))</formula>
    </cfRule>
    <cfRule type="containsText" dxfId="330" priority="115" operator="containsText" text="Low">
      <formula>NOT(ISERROR(SEARCH("Low",G71)))</formula>
    </cfRule>
    <cfRule type="containsText" dxfId="329" priority="116" operator="containsText" text="High">
      <formula>NOT(ISERROR(SEARCH("High",G71)))</formula>
    </cfRule>
  </conditionalFormatting>
  <conditionalFormatting sqref="G84">
    <cfRule type="cellIs" dxfId="328" priority="81" operator="equal">
      <formula>"BLANK"</formula>
    </cfRule>
    <cfRule type="containsText" dxfId="327" priority="82" operator="containsText" text="Medium">
      <formula>NOT(ISERROR(SEARCH("Medium",G84)))</formula>
    </cfRule>
    <cfRule type="containsText" dxfId="326" priority="83" operator="containsText" text="Low">
      <formula>NOT(ISERROR(SEARCH("Low",G84)))</formula>
    </cfRule>
    <cfRule type="containsText" dxfId="325" priority="84" operator="containsText" text="High">
      <formula>NOT(ISERROR(SEARCH("High",G84)))</formula>
    </cfRule>
  </conditionalFormatting>
  <conditionalFormatting sqref="G88">
    <cfRule type="cellIs" dxfId="324" priority="77" operator="equal">
      <formula>"BLANK"</formula>
    </cfRule>
    <cfRule type="containsText" dxfId="323" priority="78" operator="containsText" text="Medium">
      <formula>NOT(ISERROR(SEARCH("Medium",G88)))</formula>
    </cfRule>
    <cfRule type="containsText" dxfId="322" priority="79" operator="containsText" text="Low">
      <formula>NOT(ISERROR(SEARCH("Low",G88)))</formula>
    </cfRule>
    <cfRule type="containsText" dxfId="321" priority="80" operator="containsText" text="High">
      <formula>NOT(ISERROR(SEARCH("High",G88)))</formula>
    </cfRule>
  </conditionalFormatting>
  <conditionalFormatting sqref="G23">
    <cfRule type="cellIs" dxfId="320" priority="61" operator="equal">
      <formula>"BLANK"</formula>
    </cfRule>
    <cfRule type="containsText" dxfId="319" priority="62" operator="containsText" text="Medium">
      <formula>NOT(ISERROR(SEARCH("Medium",G23)))</formula>
    </cfRule>
    <cfRule type="containsText" dxfId="318" priority="63" operator="containsText" text="Low">
      <formula>NOT(ISERROR(SEARCH("Low",G23)))</formula>
    </cfRule>
    <cfRule type="containsText" dxfId="317" priority="64" operator="containsText" text="High">
      <formula>NOT(ISERROR(SEARCH("High",G23)))</formula>
    </cfRule>
  </conditionalFormatting>
  <conditionalFormatting sqref="G42">
    <cfRule type="cellIs" dxfId="316" priority="57" operator="equal">
      <formula>"BLANK"</formula>
    </cfRule>
    <cfRule type="containsText" dxfId="315" priority="58" operator="containsText" text="Medium">
      <formula>NOT(ISERROR(SEARCH("Medium",G42)))</formula>
    </cfRule>
    <cfRule type="containsText" dxfId="314" priority="59" operator="containsText" text="Low">
      <formula>NOT(ISERROR(SEARCH("Low",G42)))</formula>
    </cfRule>
    <cfRule type="containsText" dxfId="313" priority="60" operator="containsText" text="High">
      <formula>NOT(ISERROR(SEARCH("High",G42)))</formula>
    </cfRule>
  </conditionalFormatting>
  <conditionalFormatting sqref="G54">
    <cfRule type="cellIs" dxfId="312" priority="53" operator="equal">
      <formula>"BLANK"</formula>
    </cfRule>
    <cfRule type="containsText" dxfId="311" priority="54" operator="containsText" text="Medium">
      <formula>NOT(ISERROR(SEARCH("Medium",G54)))</formula>
    </cfRule>
    <cfRule type="containsText" dxfId="310" priority="55" operator="containsText" text="Low">
      <formula>NOT(ISERROR(SEARCH("Low",G54)))</formula>
    </cfRule>
    <cfRule type="containsText" dxfId="309" priority="56" operator="containsText" text="High">
      <formula>NOT(ISERROR(SEARCH("High",G54)))</formula>
    </cfRule>
  </conditionalFormatting>
  <conditionalFormatting sqref="G94">
    <cfRule type="cellIs" dxfId="308" priority="37" operator="equal">
      <formula>"BLANK"</formula>
    </cfRule>
    <cfRule type="containsText" dxfId="307" priority="38" operator="containsText" text="Medium">
      <formula>NOT(ISERROR(SEARCH("Medium",G94)))</formula>
    </cfRule>
    <cfRule type="containsText" dxfId="306" priority="39" operator="containsText" text="Low">
      <formula>NOT(ISERROR(SEARCH("Low",G94)))</formula>
    </cfRule>
    <cfRule type="containsText" dxfId="305" priority="40" operator="containsText" text="High">
      <formula>NOT(ISERROR(SEARCH("High",G94)))</formula>
    </cfRule>
  </conditionalFormatting>
  <conditionalFormatting sqref="G65">
    <cfRule type="cellIs" dxfId="304" priority="29" operator="equal">
      <formula>"BLANK"</formula>
    </cfRule>
    <cfRule type="containsText" dxfId="303" priority="30" operator="containsText" text="Medium">
      <formula>NOT(ISERROR(SEARCH("Medium",G65)))</formula>
    </cfRule>
    <cfRule type="containsText" dxfId="302" priority="31" operator="containsText" text="Low">
      <formula>NOT(ISERROR(SEARCH("Low",G65)))</formula>
    </cfRule>
    <cfRule type="containsText" dxfId="301" priority="32" operator="containsText" text="High">
      <formula>NOT(ISERROR(SEARCH("High",G65)))</formula>
    </cfRule>
  </conditionalFormatting>
  <conditionalFormatting sqref="G78">
    <cfRule type="cellIs" dxfId="300" priority="25" operator="equal">
      <formula>"BLANK"</formula>
    </cfRule>
    <cfRule type="containsText" dxfId="299" priority="26" operator="containsText" text="Medium">
      <formula>NOT(ISERROR(SEARCH("Medium",G78)))</formula>
    </cfRule>
    <cfRule type="containsText" dxfId="298" priority="27" operator="containsText" text="Low">
      <formula>NOT(ISERROR(SEARCH("Low",G78)))</formula>
    </cfRule>
    <cfRule type="containsText" dxfId="297" priority="28" operator="containsText" text="High">
      <formula>NOT(ISERROR(SEARCH("High",G78)))</formula>
    </cfRule>
  </conditionalFormatting>
  <conditionalFormatting sqref="G100">
    <cfRule type="cellIs" dxfId="296" priority="21" operator="equal">
      <formula>"BLANK"</formula>
    </cfRule>
    <cfRule type="containsText" dxfId="295" priority="22" operator="containsText" text="Medium">
      <formula>NOT(ISERROR(SEARCH("Medium",G100)))</formula>
    </cfRule>
    <cfRule type="containsText" dxfId="294" priority="23" operator="containsText" text="Low">
      <formula>NOT(ISERROR(SEARCH("Low",G100)))</formula>
    </cfRule>
    <cfRule type="containsText" dxfId="293" priority="24" operator="containsText" text="High">
      <formula>NOT(ISERROR(SEARCH("High",G100)))</formula>
    </cfRule>
  </conditionalFormatting>
  <conditionalFormatting sqref="G105">
    <cfRule type="cellIs" dxfId="292" priority="9" operator="equal">
      <formula>"BLANK"</formula>
    </cfRule>
    <cfRule type="containsText" dxfId="291" priority="10" operator="containsText" text="Medium">
      <formula>NOT(ISERROR(SEARCH("Medium",G105)))</formula>
    </cfRule>
    <cfRule type="containsText" dxfId="290" priority="11" operator="containsText" text="Low">
      <formula>NOT(ISERROR(SEARCH("Low",G105)))</formula>
    </cfRule>
    <cfRule type="containsText" dxfId="289" priority="12" operator="containsText" text="High">
      <formula>NOT(ISERROR(SEARCH("High",G105)))</formula>
    </cfRule>
  </conditionalFormatting>
  <conditionalFormatting sqref="F124">
    <cfRule type="containsText" dxfId="288" priority="8" operator="containsText" text="High">
      <formula>NOT(ISERROR(SEARCH("High",F124)))</formula>
    </cfRule>
  </conditionalFormatting>
  <conditionalFormatting sqref="F125">
    <cfRule type="containsText" dxfId="287" priority="7" operator="containsText" text="Medium">
      <formula>NOT(ISERROR(SEARCH("Medium",F125)))</formula>
    </cfRule>
  </conditionalFormatting>
  <conditionalFormatting sqref="F126">
    <cfRule type="containsText" dxfId="286" priority="6" operator="containsText" text="Low">
      <formula>NOT(ISERROR(SEARCH("Low",F126)))</formula>
    </cfRule>
  </conditionalFormatting>
  <conditionalFormatting sqref="F128">
    <cfRule type="containsText" dxfId="285" priority="1" operator="containsText" text="Not Scored">
      <formula>NOT(ISERROR(SEARCH("Not Scored",F128)))</formula>
    </cfRule>
    <cfRule type="cellIs" dxfId="284" priority="3" operator="between">
      <formula>1</formula>
      <formula>1</formula>
    </cfRule>
    <cfRule type="cellIs" dxfId="283" priority="4" operator="between">
      <formula>2</formula>
      <formula>3</formula>
    </cfRule>
    <cfRule type="cellIs" dxfId="282" priority="5" operator="between">
      <formula>4</formula>
      <formula>4</formula>
    </cfRule>
  </conditionalFormatting>
  <conditionalFormatting sqref="F111">
    <cfRule type="containsText" dxfId="281" priority="2" operator="containsText" text="Not Scored">
      <formula>NOT(ISERROR(SEARCH("Not Scored",F111)))</formula>
    </cfRule>
  </conditionalFormatting>
  <dataValidations count="2">
    <dataValidation type="whole" allowBlank="1" showErrorMessage="1" sqref="I126:I128" xr:uid="{00000000-0002-0000-0700-000000000000}">
      <formula1>0</formula1>
      <formula2>4</formula2>
    </dataValidation>
    <dataValidation type="decimal" allowBlank="1" showErrorMessage="1" sqref="I113:I115" xr:uid="{00000000-0002-0000-0700-000001000000}">
      <formula1>0</formula1>
      <formula2>500</formula2>
    </dataValidation>
  </dataValidations>
  <pageMargins left="0.5" right="0.25" top="0.47" bottom="0.5" header="0.24" footer="0.24"/>
  <pageSetup scale="59" fitToHeight="0" orientation="portrait" r:id="rId1"/>
  <headerFooter alignWithMargins="0">
    <oddHeader>&amp;CComplexity Initiation Gate</oddHeader>
    <oddFooter>&amp;L&amp;D&amp;RPage &amp;P of &amp;N</oddFooter>
  </headerFooter>
  <drawing r:id="rId2"/>
  <tableParts count="2">
    <tablePart r:id="rId3"/>
    <tablePart r:id="rId4"/>
  </tableParts>
  <extLst>
    <ext xmlns:x14="http://schemas.microsoft.com/office/spreadsheetml/2009/9/main" uri="{CCE6A557-97BC-4b89-ADB6-D9C93CAAB3DF}">
      <x14:dataValidations xmlns:xm="http://schemas.microsoft.com/office/excel/2006/main" count="3">
        <x14:dataValidation type="list" allowBlank="1" showErrorMessage="1" xr:uid="{00000000-0002-0000-0700-000002000000}">
          <x14:formula1>
            <xm:f>'L_Answer Select'!$A$24:$A$28</xm:f>
          </x14:formula1>
          <xm:sqref>F8 F22 F58 F93 F46</xm:sqref>
        </x14:dataValidation>
        <x14:dataValidation type="list" allowBlank="1" showErrorMessage="1" xr:uid="{00000000-0002-0000-0700-000003000000}">
          <x14:formula1>
            <xm:f>'L_Answer Select'!$A$14:$A$19</xm:f>
          </x14:formula1>
          <xm:sqref>F14 F70 F27 F34</xm:sqref>
        </x14:dataValidation>
        <x14:dataValidation type="list" allowBlank="1" showErrorMessage="1" xr:uid="{00000000-0002-0000-0700-000004000000}">
          <x14:formula1>
            <xm:f>'L_Answer Select'!$A$33:$A$36</xm:f>
          </x14:formula1>
          <xm:sqref>F83 F87 F41 F53 F64 F77 F99 F104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K173"/>
  <sheetViews>
    <sheetView showGridLines="0" zoomScaleNormal="100" workbookViewId="0">
      <pane ySplit="2" topLeftCell="A3" activePane="bottomLeft" state="frozen"/>
      <selection activeCell="B22" sqref="B22"/>
      <selection pane="bottomLeft" activeCell="B7" sqref="B7"/>
    </sheetView>
  </sheetViews>
  <sheetFormatPr defaultRowHeight="15" x14ac:dyDescent="0.2"/>
  <cols>
    <col min="1" max="1" width="100.7109375" style="225" customWidth="1"/>
    <col min="2" max="2" width="40.7109375" style="215" customWidth="1"/>
    <col min="3" max="3" width="6.7109375" style="215" hidden="1" customWidth="1"/>
    <col min="4" max="4" width="12.7109375" style="215" hidden="1" customWidth="1"/>
    <col min="5" max="5" width="14.7109375" style="220" customWidth="1"/>
    <col min="6" max="6" width="14.7109375" style="215" customWidth="1"/>
    <col min="7" max="7" width="14.7109375" style="215" hidden="1" customWidth="1"/>
    <col min="8" max="8" width="12.7109375" style="215" customWidth="1"/>
    <col min="9" max="11" width="14.7109375" style="215" customWidth="1"/>
    <col min="12" max="16384" width="9.140625" style="215"/>
  </cols>
  <sheetData>
    <row r="1" spans="1:8" ht="9.9499999999999993" customHeight="1" x14ac:dyDescent="0.2">
      <c r="A1" s="233"/>
      <c r="B1" s="140"/>
      <c r="C1" s="140"/>
      <c r="D1" s="140"/>
      <c r="E1" s="195"/>
      <c r="F1" s="140"/>
      <c r="G1" s="140"/>
    </row>
    <row r="2" spans="1:8" ht="30" x14ac:dyDescent="0.2">
      <c r="A2" s="196" t="s">
        <v>4</v>
      </c>
      <c r="B2" s="394" t="s">
        <v>7</v>
      </c>
      <c r="C2" s="394"/>
      <c r="D2" s="147" t="s">
        <v>228</v>
      </c>
      <c r="E2" s="146" t="s">
        <v>8</v>
      </c>
      <c r="F2" s="385" t="s">
        <v>245</v>
      </c>
      <c r="G2" s="147" t="s">
        <v>1</v>
      </c>
    </row>
    <row r="3" spans="1:8" ht="8.1" customHeight="1" x14ac:dyDescent="0.2">
      <c r="A3" s="234"/>
      <c r="B3" s="235"/>
      <c r="C3" s="235"/>
      <c r="D3" s="234"/>
      <c r="E3" s="236"/>
      <c r="F3" s="237"/>
      <c r="G3" s="234"/>
    </row>
    <row r="4" spans="1:8" ht="90" x14ac:dyDescent="0.2">
      <c r="A4" s="246" t="s">
        <v>243</v>
      </c>
      <c r="B4" s="683" t="s">
        <v>670</v>
      </c>
      <c r="C4" s="683"/>
      <c r="D4" s="683"/>
      <c r="E4" s="683"/>
      <c r="F4" s="683"/>
      <c r="G4" s="120"/>
    </row>
    <row r="5" spans="1:8" x14ac:dyDescent="0.2">
      <c r="A5" s="246"/>
      <c r="B5" s="257"/>
      <c r="C5" s="235"/>
      <c r="D5" s="234"/>
      <c r="E5" s="202"/>
      <c r="F5" s="318"/>
      <c r="G5" s="120"/>
    </row>
    <row r="6" spans="1:8" x14ac:dyDescent="0.2">
      <c r="A6" s="234"/>
      <c r="B6" s="257"/>
      <c r="C6" s="235"/>
      <c r="D6" s="234"/>
      <c r="E6" s="156"/>
      <c r="F6" s="154"/>
      <c r="G6" s="155"/>
    </row>
    <row r="7" spans="1:8" x14ac:dyDescent="0.2">
      <c r="A7" s="452" t="s">
        <v>76</v>
      </c>
      <c r="B7" s="491"/>
      <c r="C7" s="494"/>
      <c r="D7" s="176"/>
      <c r="E7" s="209"/>
      <c r="F7" s="183"/>
      <c r="G7" s="183"/>
    </row>
    <row r="8" spans="1:8" x14ac:dyDescent="0.2">
      <c r="A8" s="495" t="s">
        <v>77</v>
      </c>
      <c r="B8" s="684"/>
      <c r="C8" s="412">
        <v>5</v>
      </c>
      <c r="D8" s="168">
        <f>IF(F9="NA","",C8)</f>
        <v>5</v>
      </c>
      <c r="E8" s="209"/>
      <c r="F8" s="183"/>
      <c r="G8" s="183"/>
    </row>
    <row r="9" spans="1:8" x14ac:dyDescent="0.2">
      <c r="A9" s="486" t="s">
        <v>58</v>
      </c>
      <c r="B9" s="684"/>
      <c r="C9" s="493"/>
      <c r="D9" s="176"/>
      <c r="E9" s="174">
        <f>$D$131</f>
        <v>2.6315789473684212</v>
      </c>
      <c r="F9" s="616" t="s">
        <v>120</v>
      </c>
      <c r="G9" s="620">
        <f>IF($D$8="","Not Scored",IF(F9="",$D$8*E9,IF(F9="a",$D$8*E9,(IF(F9="b",$D$8*E10)))))</f>
        <v>2.6315789473684208</v>
      </c>
      <c r="H9" s="136"/>
    </row>
    <row r="10" spans="1:8" x14ac:dyDescent="0.2">
      <c r="A10" s="486" t="s">
        <v>246</v>
      </c>
      <c r="B10" s="684"/>
      <c r="C10" s="494"/>
      <c r="D10" s="176"/>
      <c r="E10" s="174">
        <f>$D$132</f>
        <v>0.52631578947368418</v>
      </c>
      <c r="F10" s="621"/>
      <c r="G10" s="615" t="str">
        <f>IF(F9="","BLANK",IF(F9="a","High",IF(F9="b","Low",IF(F9="NA","Not Applicable"))))</f>
        <v>Low</v>
      </c>
      <c r="H10" s="136"/>
    </row>
    <row r="11" spans="1:8" x14ac:dyDescent="0.2">
      <c r="A11" s="173"/>
      <c r="B11" s="491"/>
      <c r="C11" s="494"/>
      <c r="D11" s="176"/>
      <c r="E11" s="174"/>
      <c r="F11" s="475"/>
      <c r="G11" s="176"/>
    </row>
    <row r="12" spans="1:8" x14ac:dyDescent="0.2">
      <c r="A12" s="495" t="s">
        <v>281</v>
      </c>
      <c r="B12" s="684"/>
      <c r="C12" s="412">
        <v>5</v>
      </c>
      <c r="D12" s="168">
        <f>IF(F13="NA","",C12)</f>
        <v>5</v>
      </c>
      <c r="E12" s="174"/>
      <c r="F12" s="475"/>
      <c r="G12" s="176"/>
    </row>
    <row r="13" spans="1:8" x14ac:dyDescent="0.2">
      <c r="A13" s="486" t="s">
        <v>58</v>
      </c>
      <c r="B13" s="684"/>
      <c r="C13" s="493"/>
      <c r="D13" s="176"/>
      <c r="E13" s="174">
        <f>$D$131</f>
        <v>2.6315789473684212</v>
      </c>
      <c r="F13" s="616" t="s">
        <v>120</v>
      </c>
      <c r="G13" s="620">
        <f>IF($D$12="","Not Scored",IF(F13="",$D$12*E13,IF(F13="a",$D$12*E13,(IF(F13="b",$D$12*E14)))))</f>
        <v>2.6315789473684208</v>
      </c>
      <c r="H13" s="136"/>
    </row>
    <row r="14" spans="1:8" x14ac:dyDescent="0.2">
      <c r="A14" s="486" t="s">
        <v>246</v>
      </c>
      <c r="B14" s="684"/>
      <c r="C14" s="178"/>
      <c r="D14" s="176"/>
      <c r="E14" s="174">
        <f>$D$132</f>
        <v>0.52631578947368418</v>
      </c>
      <c r="F14" s="621"/>
      <c r="G14" s="615" t="str">
        <f>IF(F13="","BLANK",IF(F13="a","High",IF(F13="b","Low",IF(F13="NA","Not Applicable"))))</f>
        <v>Low</v>
      </c>
      <c r="H14" s="136"/>
    </row>
    <row r="15" spans="1:8" x14ac:dyDescent="0.2">
      <c r="A15" s="221"/>
      <c r="B15" s="46"/>
      <c r="C15" s="226"/>
      <c r="D15" s="226"/>
      <c r="E15" s="224"/>
      <c r="F15" s="46"/>
      <c r="G15" s="171"/>
    </row>
    <row r="16" spans="1:8" x14ac:dyDescent="0.2">
      <c r="A16" s="221"/>
      <c r="B16" s="46"/>
      <c r="C16" s="226"/>
      <c r="D16" s="226"/>
      <c r="E16" s="224"/>
      <c r="F16" s="46"/>
      <c r="G16" s="171"/>
    </row>
    <row r="17" spans="1:8" x14ac:dyDescent="0.2">
      <c r="A17" s="452" t="s">
        <v>511</v>
      </c>
      <c r="B17" s="684"/>
      <c r="C17" s="412">
        <v>10</v>
      </c>
      <c r="D17" s="168">
        <f>IF(F18="NA","",C17)</f>
        <v>10</v>
      </c>
      <c r="E17" s="174"/>
      <c r="F17" s="475"/>
      <c r="G17" s="448"/>
    </row>
    <row r="18" spans="1:8" x14ac:dyDescent="0.2">
      <c r="A18" s="451" t="s">
        <v>58</v>
      </c>
      <c r="B18" s="684"/>
      <c r="C18" s="493"/>
      <c r="D18" s="176"/>
      <c r="E18" s="174">
        <f>$D$131</f>
        <v>2.6315789473684212</v>
      </c>
      <c r="F18" s="616" t="s">
        <v>120</v>
      </c>
      <c r="G18" s="620">
        <f>IF($D$17="","Not Scored",IF(F18="",$D$17*E18,IF(F18="a",$D$17*E18,(IF(F18="b",$D$17*E19)))))</f>
        <v>5.2631578947368416</v>
      </c>
      <c r="H18" s="136"/>
    </row>
    <row r="19" spans="1:8" x14ac:dyDescent="0.2">
      <c r="A19" s="451" t="s">
        <v>246</v>
      </c>
      <c r="B19" s="684"/>
      <c r="C19" s="494"/>
      <c r="D19" s="176"/>
      <c r="E19" s="174">
        <f>$D$132</f>
        <v>0.52631578947368418</v>
      </c>
      <c r="F19" s="621"/>
      <c r="G19" s="615" t="str">
        <f>IF(F18="","BLANK",IF(F18="a","High",IF(F18="b","Low",IF(F18="NA","Not Applicable"))))</f>
        <v>Low</v>
      </c>
      <c r="H19" s="161"/>
    </row>
    <row r="20" spans="1:8" x14ac:dyDescent="0.2">
      <c r="A20" s="221"/>
      <c r="B20" s="46"/>
      <c r="C20" s="226"/>
      <c r="D20" s="226"/>
      <c r="E20" s="224"/>
      <c r="F20" s="46"/>
      <c r="G20" s="171"/>
    </row>
    <row r="21" spans="1:8" x14ac:dyDescent="0.2">
      <c r="A21" s="221"/>
      <c r="B21" s="46"/>
      <c r="C21" s="226"/>
      <c r="D21" s="226"/>
      <c r="E21" s="224"/>
      <c r="F21" s="46"/>
      <c r="G21" s="171"/>
    </row>
    <row r="22" spans="1:8" x14ac:dyDescent="0.2">
      <c r="A22" s="452" t="s">
        <v>509</v>
      </c>
      <c r="B22" s="684"/>
      <c r="C22" s="412">
        <v>10</v>
      </c>
      <c r="D22" s="168">
        <f>IF(F23="NA","",C22)</f>
        <v>10</v>
      </c>
      <c r="E22" s="174"/>
      <c r="F22" s="475"/>
      <c r="G22" s="448"/>
    </row>
    <row r="23" spans="1:8" ht="15" customHeight="1" x14ac:dyDescent="0.2">
      <c r="A23" s="451" t="s">
        <v>143</v>
      </c>
      <c r="B23" s="684"/>
      <c r="C23" s="494"/>
      <c r="D23" s="176"/>
      <c r="E23" s="174">
        <f>$D$131</f>
        <v>2.6315789473684212</v>
      </c>
      <c r="F23" s="616" t="s">
        <v>120</v>
      </c>
      <c r="G23" s="620">
        <f>IF($D$22="","Not Scored",IF(F23="",$D$22*E23,IF(F23="a",$D$22*E23,(IF(F23="b",$D$22*E24)))))</f>
        <v>5.2631578947368416</v>
      </c>
      <c r="H23" s="143"/>
    </row>
    <row r="24" spans="1:8" ht="15" customHeight="1" x14ac:dyDescent="0.2">
      <c r="A24" s="451" t="s">
        <v>296</v>
      </c>
      <c r="B24" s="684"/>
      <c r="C24" s="494"/>
      <c r="D24" s="176"/>
      <c r="E24" s="174">
        <f>$D$132</f>
        <v>0.52631578947368418</v>
      </c>
      <c r="F24" s="621"/>
      <c r="G24" s="615" t="str">
        <f>IF(F23="","BLANK",IF(F23="a","High",IF(F23="b","Low",IF(F23="NA","Not Applicable"))))</f>
        <v>Low</v>
      </c>
      <c r="H24" s="161"/>
    </row>
    <row r="25" spans="1:8" x14ac:dyDescent="0.2">
      <c r="A25" s="221"/>
      <c r="B25" s="46"/>
      <c r="C25" s="226"/>
      <c r="D25" s="226"/>
      <c r="E25" s="224"/>
      <c r="F25" s="46"/>
      <c r="G25" s="171"/>
    </row>
    <row r="26" spans="1:8" x14ac:dyDescent="0.2">
      <c r="A26" s="221"/>
      <c r="B26" s="46"/>
      <c r="C26" s="226"/>
      <c r="D26" s="226"/>
      <c r="E26" s="224"/>
      <c r="F26" s="46"/>
      <c r="G26" s="171"/>
    </row>
    <row r="27" spans="1:8" x14ac:dyDescent="0.2">
      <c r="A27" s="452" t="s">
        <v>78</v>
      </c>
      <c r="B27" s="491"/>
      <c r="C27" s="494"/>
      <c r="D27" s="176"/>
      <c r="E27" s="174"/>
      <c r="F27" s="475"/>
      <c r="G27" s="448"/>
    </row>
    <row r="28" spans="1:8" x14ac:dyDescent="0.2">
      <c r="A28" s="495" t="s">
        <v>282</v>
      </c>
      <c r="B28" s="684"/>
      <c r="C28" s="412">
        <v>10</v>
      </c>
      <c r="D28" s="168">
        <f>IF(F29="NA","",C28)</f>
        <v>10</v>
      </c>
      <c r="E28" s="174"/>
      <c r="F28" s="475"/>
      <c r="G28" s="448"/>
    </row>
    <row r="29" spans="1:8" x14ac:dyDescent="0.2">
      <c r="A29" s="486" t="s">
        <v>146</v>
      </c>
      <c r="B29" s="684"/>
      <c r="C29" s="494"/>
      <c r="D29" s="176"/>
      <c r="E29" s="174">
        <f>$D$131</f>
        <v>2.6315789473684212</v>
      </c>
      <c r="F29" s="616" t="s">
        <v>122</v>
      </c>
      <c r="G29" s="614">
        <f>IF($D$28="","Not Scored",IF(F29="",$D$28*E29,IF(F29="a",$D$28*E29,(IF(F29="b",$D$28*E30,IF(F29="c",$D$28*E31,IF(F29="d",$D$28*E32)))))))</f>
        <v>5.2631578947368416</v>
      </c>
      <c r="H29" s="136"/>
    </row>
    <row r="30" spans="1:8" x14ac:dyDescent="0.2">
      <c r="A30" s="486" t="s">
        <v>147</v>
      </c>
      <c r="B30" s="684"/>
      <c r="C30" s="494"/>
      <c r="D30" s="176"/>
      <c r="E30" s="174">
        <f>AVERAGE(E29,AVERAGE(E29,E32))</f>
        <v>2.1052631578947372</v>
      </c>
      <c r="F30" s="617"/>
      <c r="G30" s="615" t="str">
        <f>IF(F29="","BLANK",IF(F29="a","High",IF(F29="b","Medium - High",IF(F29="c","Medium - Low",IF(F29="d","Low",IF(F29="NA","Not Applicable"))))))</f>
        <v>Low</v>
      </c>
      <c r="H30" s="136"/>
    </row>
    <row r="31" spans="1:8" x14ac:dyDescent="0.2">
      <c r="A31" s="486" t="s">
        <v>148</v>
      </c>
      <c r="B31" s="684"/>
      <c r="C31" s="494"/>
      <c r="D31" s="176"/>
      <c r="E31" s="174">
        <f>AVERAGE(E32,AVERAGE(E29,E32))</f>
        <v>1.0526315789473684</v>
      </c>
      <c r="F31" s="618"/>
      <c r="G31" s="204"/>
      <c r="H31" s="161"/>
    </row>
    <row r="32" spans="1:8" x14ac:dyDescent="0.2">
      <c r="A32" s="486" t="s">
        <v>369</v>
      </c>
      <c r="B32" s="684"/>
      <c r="C32" s="494"/>
      <c r="D32" s="176"/>
      <c r="E32" s="174">
        <f>$D$132</f>
        <v>0.52631578947368418</v>
      </c>
      <c r="F32" s="619"/>
      <c r="G32" s="205"/>
      <c r="H32" s="276"/>
    </row>
    <row r="33" spans="1:8" x14ac:dyDescent="0.2">
      <c r="A33" s="173"/>
      <c r="B33" s="492"/>
      <c r="C33" s="493"/>
      <c r="D33" s="176"/>
      <c r="E33" s="174"/>
      <c r="F33" s="475"/>
      <c r="G33" s="448"/>
    </row>
    <row r="34" spans="1:8" x14ac:dyDescent="0.2">
      <c r="A34" s="495" t="s">
        <v>284</v>
      </c>
      <c r="B34" s="684"/>
      <c r="C34" s="412">
        <v>10</v>
      </c>
      <c r="D34" s="168">
        <f>IF(F35="NA","",C34)</f>
        <v>10</v>
      </c>
      <c r="E34" s="174"/>
      <c r="F34" s="475"/>
      <c r="G34" s="448"/>
    </row>
    <row r="35" spans="1:8" x14ac:dyDescent="0.2">
      <c r="A35" s="486" t="s">
        <v>283</v>
      </c>
      <c r="B35" s="684"/>
      <c r="C35" s="493"/>
      <c r="D35" s="176"/>
      <c r="E35" s="174">
        <f>$D$131</f>
        <v>2.6315789473684212</v>
      </c>
      <c r="F35" s="616" t="s">
        <v>122</v>
      </c>
      <c r="G35" s="614">
        <f>IF($D$34="","Not Scored",IF(F35="",$D$34*E35,IF(F35="a",$D$34*E35,(IF(F35="b",$D$34*E36,IF(F35="c",$D$34*E37,IF(F35="d",$D$34*E38)))))))</f>
        <v>5.2631578947368416</v>
      </c>
      <c r="H35" s="136"/>
    </row>
    <row r="36" spans="1:8" x14ac:dyDescent="0.2">
      <c r="A36" s="486" t="s">
        <v>79</v>
      </c>
      <c r="B36" s="684"/>
      <c r="C36" s="494"/>
      <c r="D36" s="176"/>
      <c r="E36" s="174">
        <f>AVERAGE(E35,AVERAGE(E35,E38))</f>
        <v>2.1052631578947372</v>
      </c>
      <c r="F36" s="617"/>
      <c r="G36" s="615" t="str">
        <f>IF(F35="","BLANK",IF(F35="a","High",IF(F35="b","Medium - High",IF(F35="c","Medium - Low",IF(F35="d","Low",IF(F35="NA","Not Applicable"))))))</f>
        <v>Low</v>
      </c>
      <c r="H36" s="136"/>
    </row>
    <row r="37" spans="1:8" x14ac:dyDescent="0.2">
      <c r="A37" s="486" t="s">
        <v>80</v>
      </c>
      <c r="B37" s="684"/>
      <c r="C37" s="494"/>
      <c r="D37" s="176"/>
      <c r="E37" s="174">
        <f>AVERAGE(E38,AVERAGE(E35,E38))</f>
        <v>1.0526315789473684</v>
      </c>
      <c r="F37" s="618"/>
      <c r="G37" s="204"/>
      <c r="H37" s="161"/>
    </row>
    <row r="38" spans="1:8" x14ac:dyDescent="0.2">
      <c r="A38" s="486" t="s">
        <v>149</v>
      </c>
      <c r="B38" s="684"/>
      <c r="C38" s="494"/>
      <c r="D38" s="176"/>
      <c r="E38" s="174">
        <f>$D$132</f>
        <v>0.52631578947368418</v>
      </c>
      <c r="F38" s="619"/>
      <c r="G38" s="205"/>
      <c r="H38" s="163"/>
    </row>
    <row r="39" spans="1:8" x14ac:dyDescent="0.2">
      <c r="A39" s="239"/>
      <c r="B39" s="257"/>
      <c r="C39" s="235"/>
      <c r="D39" s="226"/>
      <c r="E39" s="224"/>
      <c r="F39" s="46"/>
      <c r="G39" s="171"/>
    </row>
    <row r="40" spans="1:8" x14ac:dyDescent="0.2">
      <c r="A40" s="239"/>
      <c r="B40" s="257"/>
      <c r="C40" s="235"/>
      <c r="D40" s="226"/>
      <c r="E40" s="224"/>
      <c r="F40" s="46"/>
      <c r="G40" s="171"/>
    </row>
    <row r="41" spans="1:8" x14ac:dyDescent="0.2">
      <c r="A41" s="452" t="s">
        <v>287</v>
      </c>
      <c r="B41" s="684"/>
      <c r="C41" s="412">
        <v>9</v>
      </c>
      <c r="D41" s="168">
        <f>IF(F42="NA","",C41)</f>
        <v>9</v>
      </c>
      <c r="E41" s="174"/>
      <c r="F41" s="475"/>
      <c r="G41" s="448"/>
    </row>
    <row r="42" spans="1:8" x14ac:dyDescent="0.2">
      <c r="A42" s="451" t="s">
        <v>56</v>
      </c>
      <c r="B42" s="684"/>
      <c r="C42" s="496"/>
      <c r="D42" s="176"/>
      <c r="E42" s="174">
        <f>$D$131</f>
        <v>2.6315789473684212</v>
      </c>
      <c r="F42" s="616" t="s">
        <v>120</v>
      </c>
      <c r="G42" s="620">
        <f>IF($D$41="","Not Scored",IF(F42="",$D$41*E42,IF(F42="a",$D$41*E42,(IF(F42="b",$D$41*E43)))))</f>
        <v>4.7368421052631575</v>
      </c>
      <c r="H42" s="143"/>
    </row>
    <row r="43" spans="1:8" x14ac:dyDescent="0.2">
      <c r="A43" s="451" t="s">
        <v>57</v>
      </c>
      <c r="B43" s="684"/>
      <c r="C43" s="496"/>
      <c r="D43" s="176"/>
      <c r="E43" s="174">
        <f>$D$132</f>
        <v>0.52631578947368418</v>
      </c>
      <c r="F43" s="621"/>
      <c r="G43" s="615" t="str">
        <f>IF(F42="","BLANK",IF(F42="a","High",IF(F42="b","Low",IF(F42="NA","Not Applicable"))))</f>
        <v>Low</v>
      </c>
      <c r="H43" s="161"/>
    </row>
    <row r="44" spans="1:8" x14ac:dyDescent="0.2">
      <c r="B44" s="260"/>
      <c r="C44" s="435"/>
      <c r="D44" s="226"/>
      <c r="E44" s="224"/>
      <c r="F44" s="46"/>
      <c r="G44" s="171"/>
    </row>
    <row r="45" spans="1:8" x14ac:dyDescent="0.2">
      <c r="A45" s="228"/>
      <c r="B45" s="258"/>
      <c r="C45" s="231"/>
      <c r="D45" s="226"/>
      <c r="E45" s="224"/>
      <c r="F45" s="46"/>
      <c r="G45" s="171"/>
    </row>
    <row r="46" spans="1:8" ht="30" x14ac:dyDescent="0.2">
      <c r="A46" s="452" t="s">
        <v>288</v>
      </c>
      <c r="B46" s="684"/>
      <c r="C46" s="412">
        <v>10</v>
      </c>
      <c r="D46" s="168">
        <f>IF(F47="NA","",C46)</f>
        <v>10</v>
      </c>
      <c r="E46" s="174"/>
      <c r="F46" s="475"/>
      <c r="G46" s="448"/>
    </row>
    <row r="47" spans="1:8" x14ac:dyDescent="0.2">
      <c r="A47" s="451" t="s">
        <v>56</v>
      </c>
      <c r="B47" s="684"/>
      <c r="C47" s="493"/>
      <c r="D47" s="176"/>
      <c r="E47" s="174">
        <f>$D$131</f>
        <v>2.6315789473684212</v>
      </c>
      <c r="F47" s="616" t="s">
        <v>120</v>
      </c>
      <c r="G47" s="620">
        <f>IF($D$46="","Not Scored",IF(F47="",$D$46*E47,IF(F47="a",$D$46*E47,(IF(F47="b",$D$46*E48)))))</f>
        <v>5.2631578947368416</v>
      </c>
      <c r="H47" s="143"/>
    </row>
    <row r="48" spans="1:8" x14ac:dyDescent="0.2">
      <c r="A48" s="451" t="s">
        <v>57</v>
      </c>
      <c r="B48" s="684"/>
      <c r="C48" s="494"/>
      <c r="D48" s="176"/>
      <c r="E48" s="174">
        <f>$D$132</f>
        <v>0.52631578947368418</v>
      </c>
      <c r="F48" s="621"/>
      <c r="G48" s="615" t="str">
        <f>IF(F47="","BLANK",IF(F47="a","High",IF(F47="b","Low",IF(F47="NA","Not Applicable"))))</f>
        <v>Low</v>
      </c>
      <c r="H48" s="143"/>
    </row>
    <row r="49" spans="1:8" x14ac:dyDescent="0.2">
      <c r="A49" s="221"/>
      <c r="B49" s="46"/>
      <c r="C49" s="226"/>
      <c r="D49" s="226"/>
      <c r="E49" s="224"/>
      <c r="F49" s="46"/>
      <c r="G49" s="171"/>
    </row>
    <row r="50" spans="1:8" x14ac:dyDescent="0.2">
      <c r="B50" s="604"/>
      <c r="D50" s="226"/>
      <c r="E50" s="224"/>
      <c r="F50" s="46"/>
      <c r="G50" s="171"/>
    </row>
    <row r="51" spans="1:8" x14ac:dyDescent="0.2">
      <c r="A51" s="452" t="s">
        <v>518</v>
      </c>
      <c r="B51" s="684"/>
      <c r="C51" s="412">
        <v>10</v>
      </c>
      <c r="D51" s="168">
        <f>IF(F52="NA","",C51)</f>
        <v>10</v>
      </c>
      <c r="E51" s="174"/>
      <c r="F51" s="475"/>
      <c r="G51" s="448"/>
    </row>
    <row r="52" spans="1:8" x14ac:dyDescent="0.2">
      <c r="A52" s="451" t="s">
        <v>56</v>
      </c>
      <c r="B52" s="684"/>
      <c r="C52" s="494"/>
      <c r="D52" s="176"/>
      <c r="E52" s="174">
        <f>$D$131</f>
        <v>2.6315789473684212</v>
      </c>
      <c r="F52" s="616" t="s">
        <v>120</v>
      </c>
      <c r="G52" s="620">
        <f>IF($D$51="","Not Scored",IF(F52="",$D$51*E52,IF(F52="a",$D$51*E52,(IF(F52="b",$D$51*E53)))))</f>
        <v>5.2631578947368416</v>
      </c>
      <c r="H52" s="161"/>
    </row>
    <row r="53" spans="1:8" x14ac:dyDescent="0.2">
      <c r="A53" s="451" t="s">
        <v>57</v>
      </c>
      <c r="B53" s="684"/>
      <c r="C53" s="494"/>
      <c r="D53" s="176"/>
      <c r="E53" s="174">
        <f>$D$132</f>
        <v>0.52631578947368418</v>
      </c>
      <c r="F53" s="621"/>
      <c r="G53" s="615" t="str">
        <f>IF(F52="","BLANK",IF(F52="a","High",IF(F52="b","Low",IF(F52="NA","Not Applicable"))))</f>
        <v>Low</v>
      </c>
      <c r="H53" s="163"/>
    </row>
    <row r="54" spans="1:8" x14ac:dyDescent="0.2">
      <c r="A54" s="221"/>
      <c r="B54" s="46"/>
      <c r="C54" s="226"/>
      <c r="D54" s="226"/>
      <c r="E54" s="224"/>
      <c r="F54" s="47"/>
      <c r="G54" s="171"/>
    </row>
    <row r="55" spans="1:8" x14ac:dyDescent="0.2">
      <c r="A55" s="221"/>
      <c r="B55" s="604"/>
      <c r="C55" s="226"/>
      <c r="D55" s="226"/>
      <c r="E55" s="224"/>
      <c r="F55" s="46"/>
      <c r="G55" s="171"/>
    </row>
    <row r="56" spans="1:8" x14ac:dyDescent="0.2">
      <c r="A56" s="221"/>
      <c r="B56" s="604"/>
      <c r="C56" s="226"/>
      <c r="D56" s="226"/>
      <c r="E56" s="224"/>
      <c r="F56" s="46"/>
      <c r="G56" s="171"/>
    </row>
    <row r="57" spans="1:8" ht="30" customHeight="1" x14ac:dyDescent="0.2">
      <c r="A57" s="452" t="s">
        <v>519</v>
      </c>
      <c r="B57" s="684"/>
      <c r="C57" s="412">
        <v>6</v>
      </c>
      <c r="D57" s="168">
        <f>IF(F58="NA","",C57)</f>
        <v>6</v>
      </c>
      <c r="E57" s="174"/>
      <c r="F57" s="475"/>
      <c r="G57" s="448"/>
    </row>
    <row r="58" spans="1:8" x14ac:dyDescent="0.2">
      <c r="A58" s="451" t="s">
        <v>81</v>
      </c>
      <c r="B58" s="684"/>
      <c r="C58" s="493"/>
      <c r="D58" s="176"/>
      <c r="E58" s="174">
        <f>$D$131</f>
        <v>2.6315789473684212</v>
      </c>
      <c r="F58" s="616" t="s">
        <v>121</v>
      </c>
      <c r="G58" s="620">
        <f>IF($D$57="","Not Scored",IF(F58="",$D$57*E58,IF(F58="a",$D$57*E58,(IF(F58="b",$D$57*E59,IF(F58="c",$D$57*E60))))))</f>
        <v>3.1578947368421053</v>
      </c>
      <c r="H58" s="143"/>
    </row>
    <row r="59" spans="1:8" ht="30" x14ac:dyDescent="0.2">
      <c r="A59" s="451" t="s">
        <v>285</v>
      </c>
      <c r="B59" s="684"/>
      <c r="C59" s="494"/>
      <c r="D59" s="176"/>
      <c r="E59" s="174">
        <f>AVERAGE(E58,E60)</f>
        <v>1.5789473684210527</v>
      </c>
      <c r="F59" s="622"/>
      <c r="G59" s="615" t="str">
        <f>IF(F58="","BLANK",IF(F58="a","High",IF(F58="b","Medium",IF(F58="c","Low",IF(F58="NA","Not Applicable")))))</f>
        <v>Low</v>
      </c>
      <c r="H59" s="143"/>
    </row>
    <row r="60" spans="1:8" x14ac:dyDescent="0.2">
      <c r="A60" s="451" t="s">
        <v>408</v>
      </c>
      <c r="B60" s="684"/>
      <c r="C60" s="177"/>
      <c r="D60" s="176"/>
      <c r="E60" s="174">
        <f>$D$132</f>
        <v>0.52631578947368418</v>
      </c>
      <c r="F60" s="623"/>
      <c r="G60" s="162"/>
    </row>
    <row r="61" spans="1:8" x14ac:dyDescent="0.2">
      <c r="A61" s="240"/>
      <c r="B61" s="261"/>
      <c r="C61" s="437"/>
      <c r="D61" s="226"/>
      <c r="E61" s="224"/>
      <c r="F61" s="47"/>
      <c r="G61" s="171"/>
    </row>
    <row r="62" spans="1:8" x14ac:dyDescent="0.2">
      <c r="A62" s="240"/>
      <c r="B62" s="261"/>
      <c r="C62" s="437"/>
      <c r="D62" s="226"/>
      <c r="E62" s="224"/>
      <c r="F62" s="47"/>
      <c r="G62" s="171"/>
    </row>
    <row r="63" spans="1:8" x14ac:dyDescent="0.2">
      <c r="A63" s="452" t="s">
        <v>520</v>
      </c>
      <c r="B63" s="684"/>
      <c r="C63" s="412">
        <v>10</v>
      </c>
      <c r="D63" s="168">
        <f>IF(F64="NA","",C63)</f>
        <v>10</v>
      </c>
      <c r="E63" s="174"/>
      <c r="F63" s="481"/>
      <c r="G63" s="448"/>
    </row>
    <row r="64" spans="1:8" x14ac:dyDescent="0.2">
      <c r="A64" s="486" t="s">
        <v>56</v>
      </c>
      <c r="B64" s="684"/>
      <c r="C64" s="493"/>
      <c r="D64" s="176"/>
      <c r="E64" s="174">
        <f>$D$131</f>
        <v>2.6315789473684212</v>
      </c>
      <c r="F64" s="616" t="s">
        <v>120</v>
      </c>
      <c r="G64" s="620">
        <f>IF($D$63="","Not Scored",IF(F64="",$D$63*E64,IF(F64="a",$D$63*E64,(IF(F64="b",$D$63*E65)))))</f>
        <v>5.2631578947368416</v>
      </c>
      <c r="H64" s="143"/>
    </row>
    <row r="65" spans="1:8" x14ac:dyDescent="0.2">
      <c r="A65" s="486" t="s">
        <v>57</v>
      </c>
      <c r="B65" s="684"/>
      <c r="C65" s="494"/>
      <c r="D65" s="176"/>
      <c r="E65" s="174">
        <f>$D$132</f>
        <v>0.52631578947368418</v>
      </c>
      <c r="F65" s="621"/>
      <c r="G65" s="615" t="str">
        <f>IF(F64="","BLANK",IF(F64="a","High",IF(F64="b","Low",IF(F64="NA","Not Applicable"))))</f>
        <v>Low</v>
      </c>
      <c r="H65" s="161"/>
    </row>
    <row r="66" spans="1:8" x14ac:dyDescent="0.2">
      <c r="B66" s="259"/>
      <c r="D66" s="226"/>
      <c r="E66" s="224"/>
      <c r="F66" s="47"/>
      <c r="G66" s="171"/>
    </row>
    <row r="67" spans="1:8" x14ac:dyDescent="0.2">
      <c r="B67" s="259"/>
      <c r="D67" s="226"/>
      <c r="E67" s="224"/>
      <c r="F67" s="47"/>
      <c r="G67" s="171"/>
    </row>
    <row r="68" spans="1:8" x14ac:dyDescent="0.2">
      <c r="A68" s="452" t="s">
        <v>521</v>
      </c>
      <c r="B68" s="684"/>
      <c r="C68" s="412">
        <v>10</v>
      </c>
      <c r="D68" s="168">
        <f>IF(F70="NA","",C68)</f>
        <v>10</v>
      </c>
      <c r="E68" s="174"/>
      <c r="F68" s="481"/>
      <c r="G68" s="448"/>
    </row>
    <row r="69" spans="1:8" x14ac:dyDescent="0.2">
      <c r="A69" s="460" t="s">
        <v>82</v>
      </c>
      <c r="B69" s="684"/>
      <c r="C69" s="173"/>
      <c r="D69" s="448"/>
      <c r="E69" s="174"/>
      <c r="F69" s="481"/>
      <c r="G69" s="448"/>
    </row>
    <row r="70" spans="1:8" x14ac:dyDescent="0.2">
      <c r="A70" s="451" t="s">
        <v>83</v>
      </c>
      <c r="B70" s="684"/>
      <c r="C70" s="493"/>
      <c r="D70" s="176"/>
      <c r="E70" s="174">
        <f>$D$131</f>
        <v>2.6315789473684212</v>
      </c>
      <c r="F70" s="616" t="s">
        <v>120</v>
      </c>
      <c r="G70" s="620">
        <f>IF($D$68="","Not Scored",IF(F70="",$D$68*E70,IF(F70="a",$D$68*E70,(IF(F70="b",$D$68*E71)))))</f>
        <v>5.2631578947368416</v>
      </c>
      <c r="H70" s="143"/>
    </row>
    <row r="71" spans="1:8" x14ac:dyDescent="0.2">
      <c r="A71" s="451" t="s">
        <v>84</v>
      </c>
      <c r="B71" s="684"/>
      <c r="C71" s="494"/>
      <c r="D71" s="176"/>
      <c r="E71" s="174">
        <f>$D$132</f>
        <v>0.52631578947368418</v>
      </c>
      <c r="F71" s="621"/>
      <c r="G71" s="615" t="str">
        <f>IF(F70="","BLANK",IF(F70="a","High",IF(F70="b","Low",IF(F70="NA","Not Applicable"))))</f>
        <v>Low</v>
      </c>
      <c r="H71" s="161"/>
    </row>
    <row r="72" spans="1:8" x14ac:dyDescent="0.2">
      <c r="A72" s="239"/>
      <c r="B72" s="262"/>
      <c r="C72" s="438"/>
      <c r="D72" s="226"/>
      <c r="E72" s="224"/>
      <c r="F72" s="47"/>
      <c r="G72" s="171"/>
    </row>
    <row r="73" spans="1:8" x14ac:dyDescent="0.2">
      <c r="A73" s="239"/>
      <c r="B73" s="262"/>
      <c r="C73" s="438"/>
      <c r="D73" s="226"/>
      <c r="E73" s="224"/>
      <c r="F73" s="47"/>
      <c r="G73" s="171"/>
    </row>
    <row r="74" spans="1:8" x14ac:dyDescent="0.2">
      <c r="A74" s="452" t="s">
        <v>522</v>
      </c>
      <c r="B74" s="602"/>
      <c r="C74" s="175"/>
      <c r="D74" s="176"/>
      <c r="E74" s="174"/>
      <c r="F74" s="481"/>
      <c r="G74" s="448"/>
    </row>
    <row r="75" spans="1:8" ht="30" x14ac:dyDescent="0.2">
      <c r="A75" s="495" t="s">
        <v>286</v>
      </c>
      <c r="B75" s="684"/>
      <c r="C75" s="412">
        <v>10</v>
      </c>
      <c r="D75" s="168">
        <f>IF(F76="NA","",C75)</f>
        <v>10</v>
      </c>
      <c r="E75" s="174"/>
      <c r="F75" s="481"/>
      <c r="G75" s="448"/>
    </row>
    <row r="76" spans="1:8" x14ac:dyDescent="0.2">
      <c r="A76" s="486" t="s">
        <v>56</v>
      </c>
      <c r="B76" s="684"/>
      <c r="C76" s="494"/>
      <c r="D76" s="183"/>
      <c r="E76" s="174">
        <f>$D$131</f>
        <v>2.6315789473684212</v>
      </c>
      <c r="F76" s="616" t="s">
        <v>120</v>
      </c>
      <c r="G76" s="620">
        <f>IF($D$75="","Not Scored",IF(F76="",$D$75*E76,IF(F76="a",$D$75*E76,(IF(F76="b",$D$75*E77)))))</f>
        <v>5.2631578947368416</v>
      </c>
      <c r="H76" s="161"/>
    </row>
    <row r="77" spans="1:8" x14ac:dyDescent="0.2">
      <c r="A77" s="486" t="s">
        <v>57</v>
      </c>
      <c r="B77" s="684"/>
      <c r="C77" s="494"/>
      <c r="D77" s="183"/>
      <c r="E77" s="174">
        <f>$D$132</f>
        <v>0.52631578947368418</v>
      </c>
      <c r="F77" s="621"/>
      <c r="G77" s="615" t="str">
        <f>IF(F76="","BLANK",IF(F76="a","High",IF(F76="b","Low",IF(F76="NA","Not Applicable"))))</f>
        <v>Low</v>
      </c>
      <c r="H77" s="163"/>
    </row>
    <row r="78" spans="1:8" x14ac:dyDescent="0.2">
      <c r="A78" s="173"/>
      <c r="B78" s="476"/>
      <c r="C78" s="178"/>
      <c r="D78" s="183"/>
      <c r="E78" s="174"/>
      <c r="F78" s="481"/>
      <c r="G78" s="448"/>
    </row>
    <row r="79" spans="1:8" ht="15" customHeight="1" x14ac:dyDescent="0.2">
      <c r="A79" s="495" t="s">
        <v>508</v>
      </c>
      <c r="B79" s="684"/>
      <c r="C79" s="412">
        <v>5</v>
      </c>
      <c r="D79" s="168">
        <f>IF(F80="NA","",C79)</f>
        <v>5</v>
      </c>
      <c r="E79" s="174"/>
      <c r="F79" s="481"/>
      <c r="G79" s="448"/>
    </row>
    <row r="80" spans="1:8" x14ac:dyDescent="0.2">
      <c r="A80" s="486" t="s">
        <v>56</v>
      </c>
      <c r="B80" s="684"/>
      <c r="C80" s="494"/>
      <c r="D80" s="183"/>
      <c r="E80" s="174">
        <f>$D$131</f>
        <v>2.6315789473684212</v>
      </c>
      <c r="F80" s="616" t="s">
        <v>120</v>
      </c>
      <c r="G80" s="620">
        <f>IF($D$79="","Not Scored",IF(F80="",$D$79*E80,IF(F80="a",$D$79*E80,(IF(F80="b",$D$79*E81)))))</f>
        <v>2.6315789473684208</v>
      </c>
      <c r="H80" s="161"/>
    </row>
    <row r="81" spans="1:8" x14ac:dyDescent="0.2">
      <c r="A81" s="486" t="s">
        <v>57</v>
      </c>
      <c r="B81" s="684"/>
      <c r="C81" s="494"/>
      <c r="D81" s="183"/>
      <c r="E81" s="174">
        <f>$D$132</f>
        <v>0.52631578947368418</v>
      </c>
      <c r="F81" s="621"/>
      <c r="G81" s="615" t="str">
        <f>IF(F80="","BLANK",IF(F80="a","High",IF(F80="b","Low",IF(F80="NA","Not Applicable"))))</f>
        <v>Low</v>
      </c>
      <c r="H81" s="163"/>
    </row>
    <row r="82" spans="1:8" x14ac:dyDescent="0.2">
      <c r="A82" s="228"/>
      <c r="B82" s="595"/>
      <c r="C82" s="231"/>
      <c r="E82" s="224"/>
      <c r="F82" s="230"/>
      <c r="G82" s="171"/>
      <c r="H82" s="138"/>
    </row>
    <row r="83" spans="1:8" x14ac:dyDescent="0.2">
      <c r="A83" s="228"/>
      <c r="B83" s="595"/>
      <c r="C83" s="231"/>
      <c r="E83" s="224"/>
      <c r="F83" s="230"/>
      <c r="G83" s="171"/>
      <c r="H83" s="138"/>
    </row>
    <row r="84" spans="1:8" x14ac:dyDescent="0.2">
      <c r="A84" s="452" t="s">
        <v>523</v>
      </c>
      <c r="B84" s="684"/>
      <c r="C84" s="412">
        <v>10</v>
      </c>
      <c r="D84" s="168">
        <f>IF(F85="NA","",C84)</f>
        <v>10</v>
      </c>
      <c r="E84" s="174"/>
      <c r="F84" s="481"/>
      <c r="G84" s="448"/>
      <c r="H84" s="138"/>
    </row>
    <row r="85" spans="1:8" x14ac:dyDescent="0.2">
      <c r="A85" s="451" t="s">
        <v>56</v>
      </c>
      <c r="B85" s="684"/>
      <c r="C85" s="493"/>
      <c r="D85" s="176"/>
      <c r="E85" s="174">
        <f>$D$131</f>
        <v>2.6315789473684212</v>
      </c>
      <c r="F85" s="616" t="s">
        <v>120</v>
      </c>
      <c r="G85" s="620">
        <f>IF($D$84="","Not Scored",IF(F85="",$D$84*E85,IF(F85="a",$D$84*E85,(IF(F85="b",$D$84*E86)))))</f>
        <v>5.2631578947368416</v>
      </c>
      <c r="H85" s="138"/>
    </row>
    <row r="86" spans="1:8" x14ac:dyDescent="0.2">
      <c r="A86" s="451" t="s">
        <v>57</v>
      </c>
      <c r="B86" s="684"/>
      <c r="C86" s="494"/>
      <c r="D86" s="176"/>
      <c r="E86" s="174">
        <f>$D$132</f>
        <v>0.52631578947368418</v>
      </c>
      <c r="F86" s="621"/>
      <c r="G86" s="615" t="str">
        <f>IF(F85="","BLANK",IF(F85="a","High",IF(F85="b","Low",IF(F85="NA","Not Applicable"))))</f>
        <v>Low</v>
      </c>
      <c r="H86" s="138"/>
    </row>
    <row r="87" spans="1:8" x14ac:dyDescent="0.2">
      <c r="A87" s="228"/>
      <c r="B87" s="595"/>
      <c r="C87" s="231"/>
      <c r="E87" s="224"/>
      <c r="F87" s="230"/>
      <c r="G87" s="171"/>
      <c r="H87" s="138"/>
    </row>
    <row r="88" spans="1:8" x14ac:dyDescent="0.2">
      <c r="A88" s="228"/>
      <c r="B88" s="595"/>
      <c r="C88" s="231"/>
      <c r="E88" s="224"/>
      <c r="F88" s="230"/>
      <c r="G88" s="171"/>
      <c r="H88" s="138"/>
    </row>
    <row r="89" spans="1:8" ht="30" x14ac:dyDescent="0.2">
      <c r="A89" s="452" t="s">
        <v>524</v>
      </c>
      <c r="B89" s="684"/>
      <c r="C89" s="412">
        <v>10</v>
      </c>
      <c r="D89" s="168">
        <f>IF(F90="NA","",C89)</f>
        <v>10</v>
      </c>
      <c r="E89" s="174"/>
      <c r="F89" s="475"/>
      <c r="G89" s="448"/>
      <c r="H89" s="138"/>
    </row>
    <row r="90" spans="1:8" ht="15" customHeight="1" x14ac:dyDescent="0.2">
      <c r="A90" s="451" t="s">
        <v>56</v>
      </c>
      <c r="B90" s="684"/>
      <c r="C90" s="494"/>
      <c r="D90" s="176"/>
      <c r="E90" s="174">
        <f>$D$131</f>
        <v>2.6315789473684212</v>
      </c>
      <c r="F90" s="616" t="s">
        <v>121</v>
      </c>
      <c r="G90" s="620">
        <f>IF($D$89="","Not Scored",IF(F90="",$D$89*E90,IF(F90="a",$D$89*E90,(IF(F90="b",$D$89*E91,IF(F90="c",$D$89*E92))))))</f>
        <v>5.2631578947368416</v>
      </c>
      <c r="H90" s="138"/>
    </row>
    <row r="91" spans="1:8" ht="15" customHeight="1" x14ac:dyDescent="0.2">
      <c r="A91" s="451" t="s">
        <v>512</v>
      </c>
      <c r="B91" s="684"/>
      <c r="C91" s="494"/>
      <c r="D91" s="176"/>
      <c r="E91" s="174">
        <f>AVERAGE(E90,E92)</f>
        <v>1.5789473684210527</v>
      </c>
      <c r="F91" s="622"/>
      <c r="G91" s="615" t="str">
        <f>IF(F90="","BLANK",IF(F90="a","High",IF(F90="b","Medium",IF(F90="c","Low",IF(F90="NA","Not Applicable")))))</f>
        <v>Low</v>
      </c>
      <c r="H91" s="138"/>
    </row>
    <row r="92" spans="1:8" ht="15" customHeight="1" x14ac:dyDescent="0.2">
      <c r="A92" s="497" t="s">
        <v>406</v>
      </c>
      <c r="B92" s="684"/>
      <c r="C92" s="494"/>
      <c r="D92" s="176"/>
      <c r="E92" s="174">
        <f>$D$132</f>
        <v>0.52631578947368418</v>
      </c>
      <c r="F92" s="623"/>
      <c r="G92" s="162"/>
      <c r="H92" s="138"/>
    </row>
    <row r="93" spans="1:8" x14ac:dyDescent="0.2">
      <c r="A93" s="228"/>
      <c r="B93" s="595"/>
      <c r="C93" s="231"/>
      <c r="E93" s="224"/>
      <c r="F93" s="230"/>
      <c r="G93" s="171"/>
      <c r="H93" s="138"/>
    </row>
    <row r="94" spans="1:8" x14ac:dyDescent="0.2">
      <c r="A94" s="228"/>
      <c r="B94" s="595"/>
      <c r="C94" s="231"/>
      <c r="E94" s="224"/>
      <c r="F94" s="230"/>
      <c r="G94" s="171"/>
      <c r="H94" s="138"/>
    </row>
    <row r="95" spans="1:8" x14ac:dyDescent="0.2">
      <c r="A95" s="452" t="s">
        <v>525</v>
      </c>
      <c r="B95" s="684"/>
      <c r="C95" s="412">
        <v>10</v>
      </c>
      <c r="D95" s="168">
        <f>IF(F96="NA","",C95)</f>
        <v>10</v>
      </c>
      <c r="E95" s="174"/>
      <c r="F95" s="475"/>
      <c r="G95" s="448"/>
      <c r="H95" s="138"/>
    </row>
    <row r="96" spans="1:8" x14ac:dyDescent="0.2">
      <c r="A96" s="451" t="s">
        <v>516</v>
      </c>
      <c r="B96" s="684"/>
      <c r="C96" s="494"/>
      <c r="D96" s="176"/>
      <c r="E96" s="174">
        <f>$D$131</f>
        <v>2.6315789473684212</v>
      </c>
      <c r="F96" s="616" t="s">
        <v>122</v>
      </c>
      <c r="G96" s="614">
        <f>IF($D$95="","Not Scored",IF(F96="",$D$95*E96,IF(F96="a",$D$95*E96,(IF(F96="b",$D$95*E97,IF(F96="c",$D$95*E98,IF(F96="d",$D$95*E99)))))))</f>
        <v>5.2631578947368416</v>
      </c>
      <c r="H96" s="138"/>
    </row>
    <row r="97" spans="1:8" x14ac:dyDescent="0.2">
      <c r="A97" s="451" t="s">
        <v>515</v>
      </c>
      <c r="B97" s="684"/>
      <c r="C97" s="494"/>
      <c r="D97" s="176"/>
      <c r="E97" s="174">
        <f>AVERAGE(E96,AVERAGE(E96,E99))</f>
        <v>2.1052631578947372</v>
      </c>
      <c r="F97" s="617"/>
      <c r="G97" s="615" t="str">
        <f>IF(F96="","BLANK",IF(F96="a","High",IF(F96="b","Medium - High",IF(F96="c","Medium - Low",IF(F96="d","Low",IF(F96="NA","Not Applicable"))))))</f>
        <v>Low</v>
      </c>
      <c r="H97" s="138"/>
    </row>
    <row r="98" spans="1:8" x14ac:dyDescent="0.2">
      <c r="A98" s="497" t="s">
        <v>514</v>
      </c>
      <c r="B98" s="684"/>
      <c r="C98" s="494"/>
      <c r="D98" s="176"/>
      <c r="E98" s="174">
        <f>AVERAGE(E99,AVERAGE(E96,E99))</f>
        <v>1.0526315789473684</v>
      </c>
      <c r="F98" s="618"/>
      <c r="G98" s="204"/>
      <c r="H98" s="138"/>
    </row>
    <row r="99" spans="1:8" x14ac:dyDescent="0.2">
      <c r="A99" s="497" t="s">
        <v>513</v>
      </c>
      <c r="B99" s="603"/>
      <c r="C99" s="494"/>
      <c r="D99" s="183"/>
      <c r="E99" s="174">
        <f>$D$132</f>
        <v>0.52631578947368418</v>
      </c>
      <c r="F99" s="619"/>
      <c r="G99" s="205"/>
      <c r="H99" s="138"/>
    </row>
    <row r="100" spans="1:8" x14ac:dyDescent="0.2">
      <c r="A100" s="228"/>
      <c r="B100" s="595"/>
      <c r="C100" s="231"/>
      <c r="E100" s="224"/>
      <c r="F100" s="230"/>
      <c r="G100" s="171"/>
      <c r="H100" s="138"/>
    </row>
    <row r="101" spans="1:8" x14ac:dyDescent="0.2">
      <c r="A101" s="228"/>
      <c r="B101" s="595"/>
      <c r="C101" s="231"/>
      <c r="E101" s="224"/>
      <c r="F101" s="230"/>
      <c r="G101" s="171"/>
      <c r="H101" s="138"/>
    </row>
    <row r="102" spans="1:8" ht="30" x14ac:dyDescent="0.2">
      <c r="A102" s="452" t="s">
        <v>526</v>
      </c>
      <c r="B102" s="684"/>
      <c r="C102" s="412">
        <v>10</v>
      </c>
      <c r="D102" s="168">
        <f>IF(F103="NA","",C102)</f>
        <v>10</v>
      </c>
      <c r="E102" s="174"/>
      <c r="F102" s="481"/>
      <c r="G102" s="448"/>
      <c r="H102" s="138"/>
    </row>
    <row r="103" spans="1:8" x14ac:dyDescent="0.2">
      <c r="A103" s="451" t="s">
        <v>56</v>
      </c>
      <c r="B103" s="684"/>
      <c r="C103" s="493"/>
      <c r="D103" s="176"/>
      <c r="E103" s="174">
        <f>$D$131</f>
        <v>2.6315789473684212</v>
      </c>
      <c r="F103" s="616" t="s">
        <v>120</v>
      </c>
      <c r="G103" s="620">
        <f>IF($D$102="","Not Scored",IF(F103="",$D$102*E103,IF(F103="a",$D$102*E103,(IF(F103="b",$D$102*E104)))))</f>
        <v>5.2631578947368416</v>
      </c>
      <c r="H103" s="138"/>
    </row>
    <row r="104" spans="1:8" x14ac:dyDescent="0.2">
      <c r="A104" s="451" t="s">
        <v>57</v>
      </c>
      <c r="B104" s="684"/>
      <c r="C104" s="494"/>
      <c r="D104" s="176"/>
      <c r="E104" s="174">
        <f>$D$132</f>
        <v>0.52631578947368418</v>
      </c>
      <c r="F104" s="621"/>
      <c r="G104" s="615" t="str">
        <f>IF(F103="","BLANK",IF(F103="a","High",IF(F103="b","Low",IF(F103="NA","Not Applicable"))))</f>
        <v>Low</v>
      </c>
      <c r="H104" s="138"/>
    </row>
    <row r="105" spans="1:8" x14ac:dyDescent="0.2">
      <c r="A105" s="228"/>
      <c r="B105" s="595"/>
      <c r="C105" s="231"/>
      <c r="E105" s="224"/>
      <c r="F105" s="230"/>
      <c r="G105" s="171"/>
      <c r="H105" s="138"/>
    </row>
    <row r="106" spans="1:8" x14ac:dyDescent="0.2">
      <c r="A106" s="228"/>
      <c r="B106" s="595"/>
      <c r="C106" s="231"/>
      <c r="E106" s="224"/>
      <c r="F106" s="230"/>
      <c r="G106" s="171"/>
      <c r="H106" s="138"/>
    </row>
    <row r="107" spans="1:8" x14ac:dyDescent="0.2">
      <c r="A107" s="452" t="s">
        <v>527</v>
      </c>
      <c r="B107" s="684"/>
      <c r="C107" s="412">
        <v>10</v>
      </c>
      <c r="D107" s="168">
        <f>IF(F108="NA","",C107)</f>
        <v>10</v>
      </c>
      <c r="E107" s="174"/>
      <c r="F107" s="481"/>
      <c r="G107" s="448"/>
      <c r="H107" s="138"/>
    </row>
    <row r="108" spans="1:8" x14ac:dyDescent="0.2">
      <c r="A108" s="451" t="s">
        <v>56</v>
      </c>
      <c r="B108" s="684"/>
      <c r="C108" s="493"/>
      <c r="D108" s="176"/>
      <c r="E108" s="174">
        <f>$D$131</f>
        <v>2.6315789473684212</v>
      </c>
      <c r="F108" s="616" t="s">
        <v>120</v>
      </c>
      <c r="G108" s="620">
        <f>IF($D$107="","Not Scored",IF(F108="",$D$107*E108,IF(F108="a",$D$107*E108,(IF(F108="b",$D$107*E109)))))</f>
        <v>5.2631578947368416</v>
      </c>
      <c r="H108" s="138"/>
    </row>
    <row r="109" spans="1:8" x14ac:dyDescent="0.2">
      <c r="A109" s="451" t="s">
        <v>57</v>
      </c>
      <c r="B109" s="684"/>
      <c r="C109" s="494"/>
      <c r="D109" s="176"/>
      <c r="E109" s="174">
        <f>$D$132</f>
        <v>0.52631578947368418</v>
      </c>
      <c r="F109" s="621"/>
      <c r="G109" s="615" t="str">
        <f>IF(F108="","BLANK",IF(F108="a","High",IF(F108="b","Low",IF(F108="NA","Not Applicable"))))</f>
        <v>Low</v>
      </c>
      <c r="H109" s="138"/>
    </row>
    <row r="110" spans="1:8" x14ac:dyDescent="0.2">
      <c r="A110" s="228"/>
      <c r="B110" s="595"/>
      <c r="C110" s="231"/>
      <c r="E110" s="224"/>
      <c r="F110" s="230"/>
      <c r="G110" s="171"/>
      <c r="H110" s="138"/>
    </row>
    <row r="111" spans="1:8" x14ac:dyDescent="0.2">
      <c r="A111" s="228"/>
      <c r="B111" s="595"/>
      <c r="C111" s="231"/>
      <c r="E111" s="224"/>
      <c r="F111" s="230"/>
      <c r="G111" s="171"/>
      <c r="H111" s="138"/>
    </row>
    <row r="112" spans="1:8" x14ac:dyDescent="0.2">
      <c r="A112" s="452" t="s">
        <v>528</v>
      </c>
      <c r="B112" s="684"/>
      <c r="C112" s="412">
        <v>10</v>
      </c>
      <c r="D112" s="168">
        <f>IF(F113="NA","",C112)</f>
        <v>10</v>
      </c>
      <c r="E112" s="174"/>
      <c r="F112" s="475"/>
      <c r="G112" s="448"/>
      <c r="H112" s="138"/>
    </row>
    <row r="113" spans="1:11" x14ac:dyDescent="0.2">
      <c r="A113" s="451" t="s">
        <v>56</v>
      </c>
      <c r="B113" s="684"/>
      <c r="C113" s="494"/>
      <c r="D113" s="176"/>
      <c r="E113" s="174">
        <f>$D$131</f>
        <v>2.6315789473684212</v>
      </c>
      <c r="F113" s="616" t="s">
        <v>121</v>
      </c>
      <c r="G113" s="620">
        <f>IF($D$112="","Not Scored",IF(F113="",$D$112*E113,IF(F113="a",$D$112*E113,(IF(F113="b",$D$112*E114,IF(F113="c",$D$112*E115))))))</f>
        <v>5.2631578947368416</v>
      </c>
      <c r="H113" s="138"/>
    </row>
    <row r="114" spans="1:11" x14ac:dyDescent="0.2">
      <c r="A114" s="451" t="s">
        <v>57</v>
      </c>
      <c r="B114" s="684"/>
      <c r="C114" s="494"/>
      <c r="D114" s="176"/>
      <c r="E114" s="174">
        <f>AVERAGE(E113,E115)</f>
        <v>1.5789473684210527</v>
      </c>
      <c r="F114" s="622"/>
      <c r="G114" s="615" t="str">
        <f>IF(F113="","BLANK",IF(F113="a","High",IF(F113="b","Medium",IF(F113="c","Low",IF(F113="NA","Not Applicable")))))</f>
        <v>Low</v>
      </c>
      <c r="H114" s="138"/>
    </row>
    <row r="115" spans="1:11" x14ac:dyDescent="0.2">
      <c r="A115" s="497" t="s">
        <v>517</v>
      </c>
      <c r="B115" s="684"/>
      <c r="C115" s="494"/>
      <c r="D115" s="176"/>
      <c r="E115" s="174">
        <f>$D$132</f>
        <v>0.52631578947368418</v>
      </c>
      <c r="F115" s="623"/>
      <c r="G115" s="162"/>
      <c r="H115" s="138"/>
    </row>
    <row r="116" spans="1:11" x14ac:dyDescent="0.2">
      <c r="A116" s="228"/>
      <c r="B116" s="595"/>
      <c r="C116" s="231"/>
      <c r="E116" s="224"/>
      <c r="F116" s="230"/>
      <c r="G116" s="171"/>
      <c r="H116" s="138"/>
    </row>
    <row r="117" spans="1:11" x14ac:dyDescent="0.2">
      <c r="A117" s="228"/>
      <c r="B117" s="595"/>
      <c r="C117" s="231"/>
      <c r="E117" s="224"/>
      <c r="F117" s="230"/>
      <c r="G117" s="171"/>
      <c r="H117" s="138"/>
    </row>
    <row r="118" spans="1:11" ht="30" x14ac:dyDescent="0.2">
      <c r="A118" s="452" t="s">
        <v>529</v>
      </c>
      <c r="B118" s="684"/>
      <c r="C118" s="412">
        <v>10</v>
      </c>
      <c r="D118" s="168">
        <f>IF(F119="NA","",C118)</f>
        <v>10</v>
      </c>
      <c r="E118" s="174"/>
      <c r="F118" s="481"/>
      <c r="G118" s="448"/>
      <c r="H118" s="138"/>
    </row>
    <row r="119" spans="1:11" x14ac:dyDescent="0.2">
      <c r="A119" s="451" t="s">
        <v>56</v>
      </c>
      <c r="B119" s="684"/>
      <c r="C119" s="493"/>
      <c r="D119" s="176"/>
      <c r="E119" s="174">
        <f>$D$131</f>
        <v>2.6315789473684212</v>
      </c>
      <c r="F119" s="616" t="s">
        <v>120</v>
      </c>
      <c r="G119" s="620">
        <f>IF($D$118="","Not Scored",IF(F119="",$D$118*E119,IF(F119="a",$D$118*E119,(IF(F119="b",$D$118*E120)))))</f>
        <v>5.2631578947368416</v>
      </c>
      <c r="H119" s="138"/>
    </row>
    <row r="120" spans="1:11" x14ac:dyDescent="0.2">
      <c r="A120" s="451" t="s">
        <v>57</v>
      </c>
      <c r="B120" s="684"/>
      <c r="C120" s="494"/>
      <c r="D120" s="176"/>
      <c r="E120" s="174">
        <f>$D$132</f>
        <v>0.52631578947368418</v>
      </c>
      <c r="F120" s="621"/>
      <c r="G120" s="615" t="str">
        <f>IF(F119="","BLANK",IF(F119="a","High",IF(F119="b","Low",IF(F119="NA","Not Applicable"))))</f>
        <v>Low</v>
      </c>
      <c r="H120" s="138"/>
    </row>
    <row r="121" spans="1:11" x14ac:dyDescent="0.2">
      <c r="A121" s="228"/>
      <c r="B121" s="595"/>
      <c r="C121" s="231"/>
      <c r="E121" s="224"/>
      <c r="F121" s="230"/>
      <c r="G121" s="171"/>
      <c r="H121" s="138"/>
    </row>
    <row r="122" spans="1:11" hidden="1" x14ac:dyDescent="0.2">
      <c r="A122" s="228"/>
      <c r="B122" s="231"/>
      <c r="C122" s="231"/>
      <c r="E122" s="224"/>
      <c r="F122" s="230"/>
      <c r="G122" s="171"/>
      <c r="H122" s="138"/>
    </row>
    <row r="123" spans="1:11" hidden="1" x14ac:dyDescent="0.2">
      <c r="A123" s="228"/>
      <c r="B123" s="426" t="s">
        <v>229</v>
      </c>
      <c r="C123" s="425">
        <f>SUM(C4:C122)</f>
        <v>190</v>
      </c>
      <c r="E123" s="224"/>
      <c r="F123" s="427" t="s">
        <v>202</v>
      </c>
      <c r="G123" s="429">
        <f>SUM(G4:G122)</f>
        <v>99.999999999999943</v>
      </c>
      <c r="H123" s="138"/>
    </row>
    <row r="124" spans="1:11" hidden="1" x14ac:dyDescent="0.2">
      <c r="A124" s="228"/>
      <c r="B124" s="231"/>
      <c r="C124" s="231"/>
      <c r="E124" s="224"/>
      <c r="F124" s="230"/>
      <c r="G124" s="171"/>
      <c r="H124" s="138"/>
    </row>
    <row r="125" spans="1:11" x14ac:dyDescent="0.2">
      <c r="A125" s="228"/>
      <c r="B125" s="231"/>
      <c r="C125" s="231"/>
      <c r="E125" s="224"/>
      <c r="F125" s="230"/>
      <c r="G125" s="171"/>
      <c r="H125" s="138"/>
    </row>
    <row r="126" spans="1:11" ht="15" customHeight="1" x14ac:dyDescent="0.2">
      <c r="A126" s="463"/>
      <c r="B126" s="172"/>
      <c r="C126" s="172"/>
      <c r="D126" s="207">
        <f>+SUM(D8:D122)</f>
        <v>190</v>
      </c>
      <c r="E126" s="175"/>
      <c r="F126" s="321" t="str">
        <f>IF(AND(Summary!$A$8="Yes",Summary!$A$16="Yes",Summary!$A$24="Yes",$G$123&gt;0),$G$123,"Not Scored")</f>
        <v>Not Scored</v>
      </c>
      <c r="G126" s="321" t="str">
        <f>IF(AND(Summary!$A$8="Yes",Summary!$A$16="Yes",Summary!$A$24="Yes",$G$123&gt;0),$G$123,"Not Scored")</f>
        <v>Not Scored</v>
      </c>
      <c r="I126" s="295" t="s">
        <v>202</v>
      </c>
    </row>
    <row r="127" spans="1:11" ht="15" customHeight="1" x14ac:dyDescent="0.2">
      <c r="A127" s="463"/>
      <c r="B127" s="74"/>
      <c r="C127" s="432"/>
      <c r="D127" s="207"/>
      <c r="E127" s="177"/>
      <c r="F127" s="183"/>
      <c r="G127" s="183"/>
      <c r="I127" s="265" t="s">
        <v>158</v>
      </c>
      <c r="J127" s="265" t="s">
        <v>159</v>
      </c>
      <c r="K127" s="265" t="s">
        <v>160</v>
      </c>
    </row>
    <row r="128" spans="1:11" ht="15" customHeight="1" x14ac:dyDescent="0.2">
      <c r="A128" s="463"/>
      <c r="B128" s="74"/>
      <c r="C128" s="432"/>
      <c r="D128" s="207">
        <f>+D126+D127</f>
        <v>190</v>
      </c>
      <c r="E128" s="177"/>
      <c r="F128" s="183"/>
      <c r="G128" s="183"/>
      <c r="I128" s="266">
        <v>100</v>
      </c>
      <c r="J128" s="267" t="s">
        <v>161</v>
      </c>
      <c r="K128" s="268"/>
    </row>
    <row r="129" spans="1:11" s="143" customFormat="1" ht="15" customHeight="1" x14ac:dyDescent="0.2">
      <c r="A129" s="596"/>
      <c r="B129" s="172"/>
      <c r="C129" s="172"/>
      <c r="D129" s="173"/>
      <c r="E129" s="176"/>
      <c r="F129" s="176"/>
      <c r="G129" s="176"/>
      <c r="I129" s="269">
        <f>F138</f>
        <v>0</v>
      </c>
      <c r="J129" s="270" t="s">
        <v>162</v>
      </c>
      <c r="K129" s="271">
        <v>4</v>
      </c>
    </row>
    <row r="130" spans="1:11" s="182" customFormat="1" ht="15" customHeight="1" x14ac:dyDescent="0.2">
      <c r="A130" s="575"/>
      <c r="B130" s="177"/>
      <c r="C130" s="177"/>
      <c r="D130" s="178"/>
      <c r="E130" s="180"/>
      <c r="F130" s="181"/>
      <c r="G130" s="181"/>
      <c r="I130" s="266">
        <v>500</v>
      </c>
      <c r="J130" s="267" t="s">
        <v>163</v>
      </c>
      <c r="K130" s="268"/>
    </row>
    <row r="131" spans="1:11" s="182" customFormat="1" ht="15" customHeight="1" x14ac:dyDescent="0.2">
      <c r="A131" s="575"/>
      <c r="B131" s="183"/>
      <c r="C131" s="183"/>
      <c r="D131" s="275">
        <f>IF(D126=0,0,(500/D126))</f>
        <v>2.6315789473684212</v>
      </c>
      <c r="E131" s="180"/>
      <c r="F131" s="181"/>
      <c r="G131" s="181"/>
    </row>
    <row r="132" spans="1:11" s="182" customFormat="1" ht="15" customHeight="1" x14ac:dyDescent="0.2">
      <c r="A132" s="575"/>
      <c r="B132" s="183"/>
      <c r="C132" s="183"/>
      <c r="D132" s="275">
        <f>IF(D128=0,0,(100/D128))</f>
        <v>0.52631578947368418</v>
      </c>
      <c r="E132" s="180"/>
      <c r="F132" s="181"/>
      <c r="G132" s="181"/>
    </row>
    <row r="133" spans="1:11" s="182" customFormat="1" ht="15" customHeight="1" x14ac:dyDescent="0.2">
      <c r="A133" s="575"/>
      <c r="B133" s="180"/>
      <c r="C133" s="180"/>
      <c r="D133" s="178"/>
      <c r="E133" s="180"/>
      <c r="F133" s="181"/>
      <c r="G133" s="181"/>
    </row>
    <row r="134" spans="1:11" s="143" customFormat="1" ht="15" customHeight="1" x14ac:dyDescent="0.2">
      <c r="A134" s="463"/>
      <c r="B134" s="333" t="s">
        <v>182</v>
      </c>
      <c r="C134" s="333"/>
      <c r="D134" s="299"/>
      <c r="E134" s="300" t="str">
        <f>IF($G$134="","Not Scored","")</f>
        <v>Not Scored</v>
      </c>
      <c r="F134" s="334" t="str">
        <f>IF(Risk_Pre_Charter!$G$82="Not Scored","",Risk_Pre_Charter!$G$82)</f>
        <v/>
      </c>
      <c r="G134" s="334" t="str">
        <f>IF(Risk_Pre_Charter!$G$82="Not Scored","",Risk_Pre_Charter!$G$82)</f>
        <v/>
      </c>
    </row>
    <row r="135" spans="1:11" s="182" customFormat="1" ht="15" customHeight="1" x14ac:dyDescent="0.2">
      <c r="A135" s="593"/>
      <c r="B135" s="333" t="s">
        <v>214</v>
      </c>
      <c r="C135" s="333"/>
      <c r="D135" s="335"/>
      <c r="E135" s="300" t="str">
        <f>IF($G$135="","Not Scored","")</f>
        <v>Not Scored</v>
      </c>
      <c r="F135" s="334" t="str">
        <f>IF(Risk_Initiation_Gate!$G$131="Not Scored","",Risk_Initiation_Gate!$G$131)</f>
        <v/>
      </c>
      <c r="G135" s="334" t="str">
        <f>IF(Risk_Initiation_Gate!$G$131="Not Scored","",Risk_Initiation_Gate!$G$131)</f>
        <v/>
      </c>
      <c r="H135" s="143"/>
    </row>
    <row r="136" spans="1:11" s="182" customFormat="1" ht="15" customHeight="1" x14ac:dyDescent="0.2">
      <c r="A136" s="593"/>
      <c r="B136" s="177" t="s">
        <v>13</v>
      </c>
      <c r="C136" s="177"/>
      <c r="D136" s="180"/>
      <c r="E136" s="175" t="str">
        <f>IF($G$136="","Not Scored","")</f>
        <v>Not Scored</v>
      </c>
      <c r="F136" s="208" t="str">
        <f>IF($G$126="Not Scored","",$G$126)</f>
        <v/>
      </c>
      <c r="G136" s="208" t="str">
        <f>IF($G$126="Not Scored","",$G$126)</f>
        <v/>
      </c>
      <c r="H136" s="143"/>
    </row>
    <row r="137" spans="1:11" s="182" customFormat="1" ht="15" customHeight="1" x14ac:dyDescent="0.2">
      <c r="A137" s="594"/>
      <c r="B137" s="177" t="s">
        <v>458</v>
      </c>
      <c r="C137" s="177"/>
      <c r="D137" s="180"/>
      <c r="E137" s="180"/>
      <c r="F137" s="323">
        <f>+SUM($G$134:$G$136)</f>
        <v>0</v>
      </c>
      <c r="G137" s="323">
        <f>+SUM($G$134:$G$136)</f>
        <v>0</v>
      </c>
      <c r="H137" s="143"/>
    </row>
    <row r="138" spans="1:11" s="182" customFormat="1" ht="15" customHeight="1" x14ac:dyDescent="0.2">
      <c r="A138" s="594"/>
      <c r="B138" s="324" t="s">
        <v>468</v>
      </c>
      <c r="C138" s="324"/>
      <c r="D138" s="325"/>
      <c r="E138" s="325"/>
      <c r="F138" s="326">
        <f>IF($G$137&gt;0,AVERAGE($G$134:$G$136),$G$137)</f>
        <v>0</v>
      </c>
      <c r="G138" s="326">
        <f>IF($G$137&gt;0,AVERAGE($G$134:$G$136),$G$137)</f>
        <v>0</v>
      </c>
      <c r="H138" s="143"/>
    </row>
    <row r="139" spans="1:11" s="182" customFormat="1" ht="15" customHeight="1" x14ac:dyDescent="0.2">
      <c r="A139" s="594"/>
      <c r="B139" s="177"/>
      <c r="C139" s="177"/>
      <c r="D139" s="180"/>
      <c r="E139" s="180"/>
      <c r="F139" s="176"/>
      <c r="G139" s="176"/>
      <c r="H139" s="143"/>
    </row>
    <row r="140" spans="1:11" s="143" customFormat="1" ht="15" customHeight="1" x14ac:dyDescent="0.2">
      <c r="A140" s="463"/>
      <c r="B140" s="184" t="s">
        <v>459</v>
      </c>
      <c r="C140" s="184"/>
      <c r="D140" s="185" t="s">
        <v>10</v>
      </c>
      <c r="E140" s="183"/>
      <c r="F140" s="186" t="str">
        <f>+IF(ROUND(F138,0)&gt;367,"High_Risk","")</f>
        <v/>
      </c>
      <c r="G140" s="186" t="str">
        <f>+IF(ROUND(G138,0)&gt;367,"High_Risk","")</f>
        <v/>
      </c>
    </row>
    <row r="141" spans="1:11" s="143" customFormat="1" ht="15" customHeight="1" x14ac:dyDescent="0.2">
      <c r="A141" s="463"/>
      <c r="B141" s="184" t="s">
        <v>460</v>
      </c>
      <c r="C141" s="184"/>
      <c r="D141" s="178" t="s">
        <v>11</v>
      </c>
      <c r="E141" s="183"/>
      <c r="F141" s="210" t="str">
        <f>+IF(AND(ROUND(F138,0)&gt;233,ROUND(F138,0)&lt;368),"Medium_Risk","")</f>
        <v/>
      </c>
      <c r="G141" s="210" t="str">
        <f>+IF(AND(ROUND(G138,0)&gt;233,ROUND(G138,0)&lt;368),"Medium_Risk","")</f>
        <v/>
      </c>
    </row>
    <row r="142" spans="1:11" s="143" customFormat="1" ht="15" customHeight="1" x14ac:dyDescent="0.2">
      <c r="A142" s="463"/>
      <c r="B142" s="184" t="s">
        <v>461</v>
      </c>
      <c r="C142" s="184"/>
      <c r="D142" s="185" t="s">
        <v>12</v>
      </c>
      <c r="E142" s="183"/>
      <c r="F142" s="188" t="str">
        <f>+IF(AND(ROUND(F138,0)&gt;99,ROUND(F138,0)&lt;234),"Low_Risk","")</f>
        <v/>
      </c>
      <c r="G142" s="188" t="str">
        <f>+IF(AND(ROUND(G138,0)&gt;99,ROUND(G138,0)&lt;234),"Low_Risk","")</f>
        <v/>
      </c>
    </row>
    <row r="143" spans="1:11" ht="15" customHeight="1" thickBot="1" x14ac:dyDescent="0.25">
      <c r="A143" s="463"/>
      <c r="B143" s="183"/>
      <c r="C143" s="183"/>
      <c r="D143" s="183"/>
      <c r="E143" s="183"/>
      <c r="F143" s="183"/>
      <c r="G143" s="183"/>
    </row>
    <row r="144" spans="1:11" ht="15" customHeight="1" thickBot="1" x14ac:dyDescent="0.25">
      <c r="A144" s="463"/>
      <c r="B144" s="211" t="s">
        <v>15</v>
      </c>
      <c r="C144" s="211"/>
      <c r="D144" s="183"/>
      <c r="E144" s="183"/>
      <c r="F144" s="191"/>
      <c r="G144" s="191"/>
    </row>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sheetData>
  <sheetProtection algorithmName="SHA-512" hashValue="dIFCRPzLu04SfVW9XsttqMUiZkfFFiOwmserbAnfd/5XiJUKl1udw9PvLZPVZANdkwtkJjRYH9Oc3LI/NfpfWw==" saltValue="TtLgoB1M55nHym+lJ6bPFQ==" spinCount="100000" sheet="1" selectLockedCells="1"/>
  <mergeCells count="22">
    <mergeCell ref="B4:F4"/>
    <mergeCell ref="B46:B48"/>
    <mergeCell ref="B79:B81"/>
    <mergeCell ref="B75:B77"/>
    <mergeCell ref="B68:B71"/>
    <mergeCell ref="B63:B65"/>
    <mergeCell ref="B57:B60"/>
    <mergeCell ref="B51:B53"/>
    <mergeCell ref="B12:B14"/>
    <mergeCell ref="B8:B10"/>
    <mergeCell ref="B41:B43"/>
    <mergeCell ref="B34:B38"/>
    <mergeCell ref="B28:B32"/>
    <mergeCell ref="B22:B24"/>
    <mergeCell ref="B17:B19"/>
    <mergeCell ref="B112:B115"/>
    <mergeCell ref="B118:B120"/>
    <mergeCell ref="B84:B86"/>
    <mergeCell ref="B89:B92"/>
    <mergeCell ref="B95:B98"/>
    <mergeCell ref="B102:B104"/>
    <mergeCell ref="B107:B109"/>
  </mergeCells>
  <phoneticPr fontId="12" type="noConversion"/>
  <conditionalFormatting sqref="G144">
    <cfRule type="containsText" dxfId="270" priority="318" operator="containsText" text="RED FLAG">
      <formula>NOT(ISERROR(SEARCH("RED FLAG",G144)))</formula>
    </cfRule>
  </conditionalFormatting>
  <conditionalFormatting sqref="G140">
    <cfRule type="containsText" dxfId="269" priority="317" operator="containsText" text="High">
      <formula>NOT(ISERROR(SEARCH("High",G140)))</formula>
    </cfRule>
  </conditionalFormatting>
  <conditionalFormatting sqref="G141">
    <cfRule type="containsText" dxfId="268" priority="316" operator="containsText" text="Medium">
      <formula>NOT(ISERROR(SEARCH("Medium",G141)))</formula>
    </cfRule>
  </conditionalFormatting>
  <conditionalFormatting sqref="G142">
    <cfRule type="containsText" dxfId="267" priority="315" operator="containsText" text="Low">
      <formula>NOT(ISERROR(SEARCH("Low",G142)))</formula>
    </cfRule>
  </conditionalFormatting>
  <conditionalFormatting sqref="G126">
    <cfRule type="containsText" dxfId="266" priority="210" operator="containsText" text="Not Scored">
      <formula>NOT(ISERROR(SEARCH("Not Scored",G126)))</formula>
    </cfRule>
  </conditionalFormatting>
  <conditionalFormatting sqref="G36">
    <cfRule type="cellIs" dxfId="265" priority="190" operator="equal">
      <formula>"BLANK"</formula>
    </cfRule>
    <cfRule type="containsText" dxfId="264" priority="191" operator="containsText" text="Medium">
      <formula>NOT(ISERROR(SEARCH("Medium",G36)))</formula>
    </cfRule>
    <cfRule type="containsText" dxfId="263" priority="192" operator="containsText" text="Low">
      <formula>NOT(ISERROR(SEARCH("Low",G36)))</formula>
    </cfRule>
    <cfRule type="containsText" dxfId="262" priority="193" operator="containsText" text="High">
      <formula>NOT(ISERROR(SEARCH("High",G36)))</formula>
    </cfRule>
  </conditionalFormatting>
  <conditionalFormatting sqref="G53">
    <cfRule type="cellIs" dxfId="261" priority="118" operator="equal">
      <formula>"BLANK"</formula>
    </cfRule>
    <cfRule type="containsText" dxfId="260" priority="119" operator="containsText" text="Medium">
      <formula>NOT(ISERROR(SEARCH("Medium",G53)))</formula>
    </cfRule>
    <cfRule type="containsText" dxfId="259" priority="120" operator="containsText" text="Low">
      <formula>NOT(ISERROR(SEARCH("Low",G53)))</formula>
    </cfRule>
    <cfRule type="containsText" dxfId="258" priority="121" operator="containsText" text="High">
      <formula>NOT(ISERROR(SEARCH("High",G53)))</formula>
    </cfRule>
  </conditionalFormatting>
  <conditionalFormatting sqref="G77">
    <cfRule type="cellIs" dxfId="257" priority="106" operator="equal">
      <formula>"BLANK"</formula>
    </cfRule>
    <cfRule type="containsText" dxfId="256" priority="107" operator="containsText" text="Medium">
      <formula>NOT(ISERROR(SEARCH("Medium",G77)))</formula>
    </cfRule>
    <cfRule type="containsText" dxfId="255" priority="108" operator="containsText" text="Low">
      <formula>NOT(ISERROR(SEARCH("Low",G77)))</formula>
    </cfRule>
    <cfRule type="containsText" dxfId="254" priority="109" operator="containsText" text="High">
      <formula>NOT(ISERROR(SEARCH("High",G77)))</formula>
    </cfRule>
  </conditionalFormatting>
  <conditionalFormatting sqref="G81">
    <cfRule type="cellIs" dxfId="253" priority="102" operator="equal">
      <formula>"BLANK"</formula>
    </cfRule>
    <cfRule type="containsText" dxfId="252" priority="103" operator="containsText" text="Medium">
      <formula>NOT(ISERROR(SEARCH("Medium",G81)))</formula>
    </cfRule>
    <cfRule type="containsText" dxfId="251" priority="104" operator="containsText" text="Low">
      <formula>NOT(ISERROR(SEARCH("Low",G81)))</formula>
    </cfRule>
    <cfRule type="containsText" dxfId="250" priority="105" operator="containsText" text="High">
      <formula>NOT(ISERROR(SEARCH("High",G81)))</formula>
    </cfRule>
  </conditionalFormatting>
  <conditionalFormatting sqref="G10">
    <cfRule type="cellIs" dxfId="249" priority="98" operator="equal">
      <formula>"BLANK"</formula>
    </cfRule>
    <cfRule type="containsText" dxfId="248" priority="99" operator="containsText" text="Medium">
      <formula>NOT(ISERROR(SEARCH("Medium",G10)))</formula>
    </cfRule>
    <cfRule type="containsText" dxfId="247" priority="100" operator="containsText" text="Low">
      <formula>NOT(ISERROR(SEARCH("Low",G10)))</formula>
    </cfRule>
    <cfRule type="containsText" dxfId="246" priority="101" operator="containsText" text="High">
      <formula>NOT(ISERROR(SEARCH("High",G10)))</formula>
    </cfRule>
  </conditionalFormatting>
  <conditionalFormatting sqref="G14">
    <cfRule type="cellIs" dxfId="245" priority="94" operator="equal">
      <formula>"BLANK"</formula>
    </cfRule>
    <cfRule type="containsText" dxfId="244" priority="95" operator="containsText" text="Medium">
      <formula>NOT(ISERROR(SEARCH("Medium",G14)))</formula>
    </cfRule>
    <cfRule type="containsText" dxfId="243" priority="96" operator="containsText" text="Low">
      <formula>NOT(ISERROR(SEARCH("Low",G14)))</formula>
    </cfRule>
    <cfRule type="containsText" dxfId="242" priority="97" operator="containsText" text="High">
      <formula>NOT(ISERROR(SEARCH("High",G14)))</formula>
    </cfRule>
  </conditionalFormatting>
  <conditionalFormatting sqref="G19">
    <cfRule type="cellIs" dxfId="241" priority="90" operator="equal">
      <formula>"BLANK"</formula>
    </cfRule>
    <cfRule type="containsText" dxfId="240" priority="91" operator="containsText" text="Medium">
      <formula>NOT(ISERROR(SEARCH("Medium",G19)))</formula>
    </cfRule>
    <cfRule type="containsText" dxfId="239" priority="92" operator="containsText" text="Low">
      <formula>NOT(ISERROR(SEARCH("Low",G19)))</formula>
    </cfRule>
    <cfRule type="containsText" dxfId="238" priority="93" operator="containsText" text="High">
      <formula>NOT(ISERROR(SEARCH("High",G19)))</formula>
    </cfRule>
  </conditionalFormatting>
  <conditionalFormatting sqref="G24">
    <cfRule type="cellIs" dxfId="237" priority="86" operator="equal">
      <formula>"BLANK"</formula>
    </cfRule>
    <cfRule type="containsText" dxfId="236" priority="87" operator="containsText" text="Medium">
      <formula>NOT(ISERROR(SEARCH("Medium",G24)))</formula>
    </cfRule>
    <cfRule type="containsText" dxfId="235" priority="88" operator="containsText" text="Low">
      <formula>NOT(ISERROR(SEARCH("Low",G24)))</formula>
    </cfRule>
    <cfRule type="containsText" dxfId="234" priority="89" operator="containsText" text="High">
      <formula>NOT(ISERROR(SEARCH("High",G24)))</formula>
    </cfRule>
  </conditionalFormatting>
  <conditionalFormatting sqref="G43">
    <cfRule type="cellIs" dxfId="233" priority="78" operator="equal">
      <formula>"BLANK"</formula>
    </cfRule>
    <cfRule type="containsText" dxfId="232" priority="79" operator="containsText" text="Medium">
      <formula>NOT(ISERROR(SEARCH("Medium",G43)))</formula>
    </cfRule>
    <cfRule type="containsText" dxfId="231" priority="80" operator="containsText" text="Low">
      <formula>NOT(ISERROR(SEARCH("Low",G43)))</formula>
    </cfRule>
    <cfRule type="containsText" dxfId="230" priority="81" operator="containsText" text="High">
      <formula>NOT(ISERROR(SEARCH("High",G43)))</formula>
    </cfRule>
  </conditionalFormatting>
  <conditionalFormatting sqref="G48">
    <cfRule type="cellIs" dxfId="229" priority="74" operator="equal">
      <formula>"BLANK"</formula>
    </cfRule>
    <cfRule type="containsText" dxfId="228" priority="75" operator="containsText" text="Medium">
      <formula>NOT(ISERROR(SEARCH("Medium",G48)))</formula>
    </cfRule>
    <cfRule type="containsText" dxfId="227" priority="76" operator="containsText" text="Low">
      <formula>NOT(ISERROR(SEARCH("Low",G48)))</formula>
    </cfRule>
    <cfRule type="containsText" dxfId="226" priority="77" operator="containsText" text="High">
      <formula>NOT(ISERROR(SEARCH("High",G48)))</formula>
    </cfRule>
  </conditionalFormatting>
  <conditionalFormatting sqref="G65">
    <cfRule type="cellIs" dxfId="225" priority="54" operator="equal">
      <formula>"BLANK"</formula>
    </cfRule>
    <cfRule type="containsText" dxfId="224" priority="55" operator="containsText" text="Medium">
      <formula>NOT(ISERROR(SEARCH("Medium",G65)))</formula>
    </cfRule>
    <cfRule type="containsText" dxfId="223" priority="56" operator="containsText" text="Low">
      <formula>NOT(ISERROR(SEARCH("Low",G65)))</formula>
    </cfRule>
    <cfRule type="containsText" dxfId="222" priority="57" operator="containsText" text="High">
      <formula>NOT(ISERROR(SEARCH("High",G65)))</formula>
    </cfRule>
  </conditionalFormatting>
  <conditionalFormatting sqref="G71">
    <cfRule type="cellIs" dxfId="221" priority="50" operator="equal">
      <formula>"BLANK"</formula>
    </cfRule>
    <cfRule type="containsText" dxfId="220" priority="51" operator="containsText" text="Medium">
      <formula>NOT(ISERROR(SEARCH("Medium",G71)))</formula>
    </cfRule>
    <cfRule type="containsText" dxfId="219" priority="52" operator="containsText" text="Low">
      <formula>NOT(ISERROR(SEARCH("Low",G71)))</formula>
    </cfRule>
    <cfRule type="containsText" dxfId="218" priority="53" operator="containsText" text="High">
      <formula>NOT(ISERROR(SEARCH("High",G71)))</formula>
    </cfRule>
  </conditionalFormatting>
  <conditionalFormatting sqref="G30">
    <cfRule type="cellIs" dxfId="217" priority="42" operator="equal">
      <formula>"BLANK"</formula>
    </cfRule>
    <cfRule type="containsText" dxfId="216" priority="43" operator="containsText" text="Medium">
      <formula>NOT(ISERROR(SEARCH("Medium",G30)))</formula>
    </cfRule>
    <cfRule type="containsText" dxfId="215" priority="44" operator="containsText" text="Low">
      <formula>NOT(ISERROR(SEARCH("Low",G30)))</formula>
    </cfRule>
    <cfRule type="containsText" dxfId="214" priority="45" operator="containsText" text="High">
      <formula>NOT(ISERROR(SEARCH("High",G30)))</formula>
    </cfRule>
  </conditionalFormatting>
  <conditionalFormatting sqref="F144">
    <cfRule type="containsText" dxfId="213" priority="41" operator="containsText" text="RED FLAG">
      <formula>NOT(ISERROR(SEARCH("RED FLAG",F144)))</formula>
    </cfRule>
  </conditionalFormatting>
  <conditionalFormatting sqref="F140">
    <cfRule type="containsText" dxfId="212" priority="40" operator="containsText" text="High">
      <formula>NOT(ISERROR(SEARCH("High",F140)))</formula>
    </cfRule>
  </conditionalFormatting>
  <conditionalFormatting sqref="F141">
    <cfRule type="containsText" dxfId="211" priority="39" operator="containsText" text="Medium">
      <formula>NOT(ISERROR(SEARCH("Medium",F141)))</formula>
    </cfRule>
  </conditionalFormatting>
  <conditionalFormatting sqref="F142">
    <cfRule type="containsText" dxfId="210" priority="38" operator="containsText" text="Low">
      <formula>NOT(ISERROR(SEARCH("Low",F142)))</formula>
    </cfRule>
  </conditionalFormatting>
  <conditionalFormatting sqref="F126">
    <cfRule type="containsText" dxfId="209" priority="37" operator="containsText" text="Not Scored">
      <formula>NOT(ISERROR(SEARCH("Not Scored",F126)))</formula>
    </cfRule>
  </conditionalFormatting>
  <conditionalFormatting sqref="G86">
    <cfRule type="cellIs" dxfId="208" priority="33" operator="equal">
      <formula>"BLANK"</formula>
    </cfRule>
    <cfRule type="containsText" dxfId="207" priority="34" operator="containsText" text="Medium">
      <formula>NOT(ISERROR(SEARCH("Medium",G86)))</formula>
    </cfRule>
    <cfRule type="containsText" dxfId="206" priority="35" operator="containsText" text="Low">
      <formula>NOT(ISERROR(SEARCH("Low",G86)))</formula>
    </cfRule>
    <cfRule type="containsText" dxfId="205" priority="36" operator="containsText" text="High">
      <formula>NOT(ISERROR(SEARCH("High",G86)))</formula>
    </cfRule>
  </conditionalFormatting>
  <conditionalFormatting sqref="G91">
    <cfRule type="cellIs" dxfId="204" priority="29" operator="equal">
      <formula>"BLANK"</formula>
    </cfRule>
    <cfRule type="containsText" dxfId="203" priority="30" operator="containsText" text="Medium">
      <formula>NOT(ISERROR(SEARCH("Medium",G91)))</formula>
    </cfRule>
    <cfRule type="containsText" dxfId="202" priority="31" operator="containsText" text="Low">
      <formula>NOT(ISERROR(SEARCH("Low",G91)))</formula>
    </cfRule>
    <cfRule type="containsText" dxfId="201" priority="32" operator="containsText" text="High">
      <formula>NOT(ISERROR(SEARCH("High",G91)))</formula>
    </cfRule>
  </conditionalFormatting>
  <conditionalFormatting sqref="G97">
    <cfRule type="cellIs" dxfId="200" priority="21" operator="equal">
      <formula>"BLANK"</formula>
    </cfRule>
    <cfRule type="containsText" dxfId="199" priority="22" operator="containsText" text="Medium">
      <formula>NOT(ISERROR(SEARCH("Medium",G97)))</formula>
    </cfRule>
    <cfRule type="containsText" dxfId="198" priority="23" operator="containsText" text="Low">
      <formula>NOT(ISERROR(SEARCH("Low",G97)))</formula>
    </cfRule>
    <cfRule type="containsText" dxfId="197" priority="24" operator="containsText" text="High">
      <formula>NOT(ISERROR(SEARCH("High",G97)))</formula>
    </cfRule>
  </conditionalFormatting>
  <conditionalFormatting sqref="G120">
    <cfRule type="cellIs" dxfId="196" priority="5" operator="equal">
      <formula>"BLANK"</formula>
    </cfRule>
    <cfRule type="containsText" dxfId="195" priority="6" operator="containsText" text="Medium">
      <formula>NOT(ISERROR(SEARCH("Medium",G120)))</formula>
    </cfRule>
    <cfRule type="containsText" dxfId="194" priority="7" operator="containsText" text="Low">
      <formula>NOT(ISERROR(SEARCH("Low",G120)))</formula>
    </cfRule>
    <cfRule type="containsText" dxfId="193" priority="8" operator="containsText" text="High">
      <formula>NOT(ISERROR(SEARCH("High",G120)))</formula>
    </cfRule>
  </conditionalFormatting>
  <conditionalFormatting sqref="G104">
    <cfRule type="cellIs" dxfId="192" priority="17" operator="equal">
      <formula>"BLANK"</formula>
    </cfRule>
    <cfRule type="containsText" dxfId="191" priority="18" operator="containsText" text="Medium">
      <formula>NOT(ISERROR(SEARCH("Medium",G104)))</formula>
    </cfRule>
    <cfRule type="containsText" dxfId="190" priority="19" operator="containsText" text="Low">
      <formula>NOT(ISERROR(SEARCH("Low",G104)))</formula>
    </cfRule>
    <cfRule type="containsText" dxfId="189" priority="20" operator="containsText" text="High">
      <formula>NOT(ISERROR(SEARCH("High",G104)))</formula>
    </cfRule>
  </conditionalFormatting>
  <conditionalFormatting sqref="G109">
    <cfRule type="cellIs" dxfId="188" priority="13" operator="equal">
      <formula>"BLANK"</formula>
    </cfRule>
    <cfRule type="containsText" dxfId="187" priority="14" operator="containsText" text="Medium">
      <formula>NOT(ISERROR(SEARCH("Medium",G109)))</formula>
    </cfRule>
    <cfRule type="containsText" dxfId="186" priority="15" operator="containsText" text="Low">
      <formula>NOT(ISERROR(SEARCH("Low",G109)))</formula>
    </cfRule>
    <cfRule type="containsText" dxfId="185" priority="16" operator="containsText" text="High">
      <formula>NOT(ISERROR(SEARCH("High",G109)))</formula>
    </cfRule>
  </conditionalFormatting>
  <conditionalFormatting sqref="G114">
    <cfRule type="cellIs" dxfId="184" priority="9" operator="equal">
      <formula>"BLANK"</formula>
    </cfRule>
    <cfRule type="containsText" dxfId="183" priority="10" operator="containsText" text="Medium">
      <formula>NOT(ISERROR(SEARCH("Medium",G114)))</formula>
    </cfRule>
    <cfRule type="containsText" dxfId="182" priority="11" operator="containsText" text="Low">
      <formula>NOT(ISERROR(SEARCH("Low",G114)))</formula>
    </cfRule>
    <cfRule type="containsText" dxfId="181" priority="12" operator="containsText" text="High">
      <formula>NOT(ISERROR(SEARCH("High",G114)))</formula>
    </cfRule>
  </conditionalFormatting>
  <conditionalFormatting sqref="G59">
    <cfRule type="cellIs" dxfId="180" priority="1" operator="equal">
      <formula>"BLANK"</formula>
    </cfRule>
    <cfRule type="containsText" dxfId="179" priority="2" operator="containsText" text="Medium">
      <formula>NOT(ISERROR(SEARCH("Medium",G59)))</formula>
    </cfRule>
    <cfRule type="containsText" dxfId="178" priority="3" operator="containsText" text="Low">
      <formula>NOT(ISERROR(SEARCH("Low",G59)))</formula>
    </cfRule>
    <cfRule type="containsText" dxfId="177" priority="4" operator="containsText" text="High">
      <formula>NOT(ISERROR(SEARCH("High",G59)))</formula>
    </cfRule>
  </conditionalFormatting>
  <dataValidations count="1">
    <dataValidation type="decimal" allowBlank="1" showErrorMessage="1" sqref="I128:I130" xr:uid="{00000000-0002-0000-0800-000000000000}">
      <formula1>0</formula1>
      <formula2>500</formula2>
    </dataValidation>
  </dataValidations>
  <pageMargins left="0.5" right="0.25" top="0.47" bottom="0.5" header="0.24" footer="0.24"/>
  <pageSetup scale="59" fitToHeight="0" orientation="portrait" r:id="rId1"/>
  <headerFooter alignWithMargins="0">
    <oddHeader>&amp;CRisk Planning Gate</oddHeader>
    <oddFooter>&amp;L&amp;D&amp;RPage &amp;P of &amp;N</oddFooter>
  </headerFooter>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ErrorMessage="1" xr:uid="{00000000-0002-0000-0800-000001000000}">
          <x14:formula1>
            <xm:f>'L_Answer Select'!$A$14:$A$19</xm:f>
          </x14:formula1>
          <xm:sqref>F35 F29 F96</xm:sqref>
        </x14:dataValidation>
        <x14:dataValidation type="list" allowBlank="1" showErrorMessage="1" xr:uid="{00000000-0002-0000-0800-000002000000}">
          <x14:formula1>
            <xm:f>'L_Answer Select'!$A$24:$A$28</xm:f>
          </x14:formula1>
          <xm:sqref>F90 F113 F58</xm:sqref>
        </x14:dataValidation>
        <x14:dataValidation type="list" allowBlank="1" showErrorMessage="1" xr:uid="{00000000-0002-0000-0800-000003000000}">
          <x14:formula1>
            <xm:f>'L_Answer Select'!$A$33:$A$36</xm:f>
          </x14:formula1>
          <xm:sqref>F52 F80 F76 F9 F13 F18 F23 F42 F47 F119 F64 F70 F85 F103 F108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965504ADF52643B934E8E5A741DE31" ma:contentTypeVersion="5" ma:contentTypeDescription="Create a new document." ma:contentTypeScope="" ma:versionID="635c8a4a124cf6258064c6c70dc026b2">
  <xsd:schema xmlns:xsd="http://www.w3.org/2001/XMLSchema" xmlns:xs="http://www.w3.org/2001/XMLSchema" xmlns:p="http://schemas.microsoft.com/office/2006/metadata/properties" xmlns:ns2="6a6fb1c0-5c7c-4a2a-9e0a-bc724f8a6149" xmlns:ns3="7599adfd-4451-4749-831e-fcf8f84acaba" targetNamespace="http://schemas.microsoft.com/office/2006/metadata/properties" ma:root="true" ma:fieldsID="faaacbd25891a5511c99e758cfc2cf33" ns2:_="" ns3:_="">
    <xsd:import namespace="6a6fb1c0-5c7c-4a2a-9e0a-bc724f8a6149"/>
    <xsd:import namespace="7599adfd-4451-4749-831e-fcf8f84acaba"/>
    <xsd:element name="properties">
      <xsd:complexType>
        <xsd:sequence>
          <xsd:element name="documentManagement">
            <xsd:complexType>
              <xsd:all>
                <xsd:element ref="ns2:SharedWithUsers" minOccurs="0"/>
                <xsd:element ref="ns2:SharedWithDetails" minOccurs="0"/>
                <xsd:element ref="ns3:TemplateType" minOccurs="0"/>
                <xsd:element ref="ns3:TemplateStatus" minOccurs="0"/>
                <xsd:element ref="ns3:PDMPhas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fb1c0-5c7c-4a2a-9e0a-bc724f8a614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99adfd-4451-4749-831e-fcf8f84acaba" elementFormDefault="qualified">
    <xsd:import namespace="http://schemas.microsoft.com/office/2006/documentManagement/types"/>
    <xsd:import namespace="http://schemas.microsoft.com/office/infopath/2007/PartnerControls"/>
    <xsd:element name="TemplateType" ma:index="10" nillable="true" ma:displayName="TemplateType" ma:format="Dropdown" ma:internalName="TemplateType">
      <xsd:simpleType>
        <xsd:restriction base="dms:Choice">
          <xsd:enumeration value="DST"/>
          <xsd:enumeration value="FDOT-OIT"/>
          <xsd:enumeration value="Other"/>
        </xsd:restriction>
      </xsd:simpleType>
    </xsd:element>
    <xsd:element name="TemplateStatus" ma:index="11" nillable="true" ma:displayName="TemplateStatus" ma:default="Active" ma:format="Dropdown" ma:internalName="TemplateStatus">
      <xsd:simpleType>
        <xsd:restriction base="dms:Choice">
          <xsd:enumeration value="Active"/>
          <xsd:enumeration value="Archived"/>
          <xsd:enumeration value="Future"/>
        </xsd:restriction>
      </xsd:simpleType>
    </xsd:element>
    <xsd:element name="PDMPhase" ma:index="12" nillable="true" ma:displayName="PDMPhase" ma:default="Execute" ma:format="Dropdown" ma:internalName="PDMPhase">
      <xsd:simpleType>
        <xsd:restriction base="dms:Choice">
          <xsd:enumeration value="Initiate"/>
          <xsd:enumeration value="Plan"/>
          <xsd:enumeration value="Execute"/>
          <xsd:enumeration value="Close"/>
          <xsd:enumeration value="MonitorControl"/>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emplateType xmlns="7599adfd-4451-4749-831e-fcf8f84acaba">DST</TemplateType>
    <TemplateStatus xmlns="7599adfd-4451-4749-831e-fcf8f84acaba">Active</TemplateStatus>
    <PDMPhase xmlns="7599adfd-4451-4749-831e-fcf8f84acaba">Initiate</PDMPhase>
  </documentManagement>
</p:properties>
</file>

<file path=customXml/itemProps1.xml><?xml version="1.0" encoding="utf-8"?>
<ds:datastoreItem xmlns:ds="http://schemas.openxmlformats.org/officeDocument/2006/customXml" ds:itemID="{60C37E49-4874-4AFF-AC28-5221F2C39F42}">
  <ds:schemaRefs>
    <ds:schemaRef ds:uri="http://schemas.microsoft.com/sharepoint/v3/contenttype/forms"/>
  </ds:schemaRefs>
</ds:datastoreItem>
</file>

<file path=customXml/itemProps2.xml><?xml version="1.0" encoding="utf-8"?>
<ds:datastoreItem xmlns:ds="http://schemas.openxmlformats.org/officeDocument/2006/customXml" ds:itemID="{C410F473-4365-4772-8D00-39CCD16B3BFB}"/>
</file>

<file path=customXml/itemProps3.xml><?xml version="1.0" encoding="utf-8"?>
<ds:datastoreItem xmlns:ds="http://schemas.openxmlformats.org/officeDocument/2006/customXml" ds:itemID="{6C6D8099-11C0-47A1-B5DF-B73F1CF46D58}">
  <ds:schemaRefs>
    <ds:schemaRef ds:uri="http://schemas.microsoft.com/office/2006/metadata/longProperties"/>
  </ds:schemaRefs>
</ds:datastoreItem>
</file>

<file path=customXml/itemProps4.xml><?xml version="1.0" encoding="utf-8"?>
<ds:datastoreItem xmlns:ds="http://schemas.openxmlformats.org/officeDocument/2006/customXml" ds:itemID="{15039CB2-E2C3-456E-9074-8F1925C80FE4}">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Index</vt:lpstr>
      <vt:lpstr>Process Flow</vt:lpstr>
      <vt:lpstr>Changes from 4-22 Version</vt:lpstr>
      <vt:lpstr>Summary</vt:lpstr>
      <vt:lpstr>Risk_Pre_Charter</vt:lpstr>
      <vt:lpstr>Complexity_Pre_Charter</vt:lpstr>
      <vt:lpstr>Risk_Initiation_Gate</vt:lpstr>
      <vt:lpstr>Complexity_Initiation_Gate</vt:lpstr>
      <vt:lpstr>Risk_Planning_Gate</vt:lpstr>
      <vt:lpstr>Complexity_Planning_Gate</vt:lpstr>
      <vt:lpstr>Risk_Event-Driven</vt:lpstr>
      <vt:lpstr>Project Category Lookup Table</vt:lpstr>
      <vt:lpstr>L_DEPT</vt:lpstr>
      <vt:lpstr>L_Answer Select</vt:lpstr>
      <vt:lpstr>Complexity_Initiation_Gate!Print_Area</vt:lpstr>
      <vt:lpstr>Complexity_Planning_Gate!Print_Area</vt:lpstr>
      <vt:lpstr>Complexity_Pre_Charter!Print_Area</vt:lpstr>
      <vt:lpstr>'Project Category Lookup Table'!Print_Area</vt:lpstr>
      <vt:lpstr>'Risk_Event-Driven'!Print_Area</vt:lpstr>
      <vt:lpstr>Risk_Initiation_Gate!Print_Area</vt:lpstr>
      <vt:lpstr>Risk_Planning_Gate!Print_Area</vt:lpstr>
      <vt:lpstr>Risk_Pre_Charter!Print_Area</vt:lpstr>
      <vt:lpstr>Complexity_Initiation_Gate!Print_Titles</vt:lpstr>
      <vt:lpstr>Complexity_Planning_Gate!Print_Titles</vt:lpstr>
      <vt:lpstr>Complexity_Pre_Charter!Print_Titles</vt:lpstr>
      <vt:lpstr>'Risk_Event-Driven'!Print_Titles</vt:lpstr>
      <vt:lpstr>Risk_Initiation_Gate!Print_Titles</vt:lpstr>
      <vt:lpstr>Risk_Planning_Gate!Print_Titles</vt:lpstr>
      <vt:lpstr>Risk_Pre_Charter!Print_Titles</vt:lpstr>
    </vt:vector>
  </TitlesOfParts>
  <Company>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and Complexity MS Excel Model</dc:title>
  <dc:creator>bzoppa</dc:creator>
  <cp:lastModifiedBy>Kirkland, Martha B.</cp:lastModifiedBy>
  <cp:lastPrinted>2019-07-15T17:53:38Z</cp:lastPrinted>
  <dcterms:created xsi:type="dcterms:W3CDTF">2009-12-09T16:39:41Z</dcterms:created>
  <dcterms:modified xsi:type="dcterms:W3CDTF">2019-08-14T22:18:42Z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0x01010021965504ADF52643B934E8E5A741DE31</vt:lpwstr>
  </property>
</Properties>
</file>