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16jobs\16H0030\Admin\Interchanges\Safety\Safety Procedure Presentation and Worksheets\Project Spreadsheets\"/>
    </mc:Choice>
  </mc:AlternateContent>
  <bookViews>
    <workbookView xWindow="0" yWindow="0" windowWidth="28800" windowHeight="12435"/>
  </bookViews>
  <sheets>
    <sheet name="Reference" sheetId="3" r:id="rId1"/>
    <sheet name="Templates" sheetId="2" r:id="rId2"/>
    <sheet name="SPFs" sheetId="26" r:id="rId3"/>
    <sheet name="Summary Table" sheetId="27" r:id="rId4"/>
    <sheet name="Benefit Cost" sheetId="28" r:id="rId5"/>
  </sheets>
  <definedNames>
    <definedName name="_2__3_Leg_Signalized">Templates!$G$5</definedName>
    <definedName name="ds">SPFs!$AW$60</definedName>
  </definedNames>
  <calcPr calcId="152511" concurrentCalc="0"/>
</workbook>
</file>

<file path=xl/calcChain.xml><?xml version="1.0" encoding="utf-8"?>
<calcChain xmlns="http://schemas.openxmlformats.org/spreadsheetml/2006/main">
  <c r="C18" i="28" l="1"/>
  <c r="B18" i="28"/>
  <c r="D10" i="28"/>
  <c r="D11" i="28"/>
  <c r="D12" i="28"/>
  <c r="D13" i="28"/>
  <c r="B13" i="28"/>
  <c r="D4" i="28"/>
  <c r="C4" i="28"/>
  <c r="D2" i="28"/>
  <c r="C2" i="28"/>
  <c r="H40" i="2"/>
  <c r="G40" i="2"/>
  <c r="H39" i="2"/>
  <c r="G39" i="2"/>
  <c r="EU31" i="26"/>
  <c r="EU32" i="26"/>
  <c r="EU33" i="26"/>
  <c r="EU34" i="26"/>
  <c r="EU35" i="26"/>
  <c r="EU36" i="26"/>
  <c r="EU37" i="26"/>
  <c r="EU38" i="26"/>
  <c r="EU39" i="26"/>
  <c r="EU40" i="26"/>
  <c r="EU41" i="26"/>
  <c r="EU42" i="26"/>
  <c r="EU43" i="26"/>
  <c r="EU44" i="26"/>
  <c r="EU45" i="26"/>
  <c r="EU46" i="26"/>
  <c r="EQ52" i="26"/>
  <c r="C21" i="27"/>
  <c r="GQ39" i="26"/>
  <c r="GQ43" i="26"/>
  <c r="GQ52" i="26"/>
  <c r="GR39" i="26"/>
  <c r="GR43" i="26"/>
  <c r="GQ53" i="26"/>
  <c r="GQ51" i="26"/>
  <c r="GQ28" i="26"/>
  <c r="GQ54" i="26"/>
  <c r="GQ29" i="26"/>
  <c r="GQ55" i="26"/>
  <c r="GM52" i="26"/>
  <c r="C27" i="27"/>
  <c r="C31" i="27"/>
  <c r="EU107" i="26"/>
  <c r="EQ113" i="26"/>
  <c r="C59" i="27"/>
  <c r="FK107" i="26"/>
  <c r="FG113" i="26"/>
  <c r="C61" i="27"/>
  <c r="GQ100" i="26"/>
  <c r="GQ104" i="26"/>
  <c r="GQ113" i="26"/>
  <c r="GR100" i="26"/>
  <c r="GR104" i="26"/>
  <c r="GQ114" i="26"/>
  <c r="GQ112" i="26"/>
  <c r="GQ89" i="26"/>
  <c r="GQ115" i="26"/>
  <c r="GQ90" i="26"/>
  <c r="GQ116" i="26"/>
  <c r="GM113" i="26"/>
  <c r="C65" i="27"/>
  <c r="C69" i="27"/>
  <c r="C73" i="27"/>
  <c r="FK97" i="26"/>
  <c r="FS38" i="26"/>
  <c r="FS37" i="26"/>
  <c r="GA38" i="26"/>
  <c r="GA37" i="26"/>
  <c r="GA99" i="26"/>
  <c r="GA98" i="26"/>
  <c r="FS99" i="26"/>
  <c r="FS98" i="26"/>
  <c r="FK99" i="26"/>
  <c r="FK98" i="26"/>
  <c r="FC99" i="26"/>
  <c r="FC98" i="26"/>
  <c r="EU99" i="26"/>
  <c r="EU98" i="26"/>
  <c r="EM99" i="26"/>
  <c r="EM98" i="26"/>
  <c r="EM38" i="26"/>
  <c r="EM37" i="26"/>
  <c r="AU38" i="2"/>
  <c r="AU37" i="2"/>
  <c r="C25" i="2"/>
  <c r="G40" i="26"/>
  <c r="O40" i="26"/>
  <c r="AE40" i="26"/>
  <c r="AM40" i="26"/>
  <c r="AM101" i="26"/>
  <c r="AE101" i="26"/>
  <c r="W101" i="26"/>
  <c r="O101" i="26"/>
  <c r="G101" i="26"/>
  <c r="AE40" i="2"/>
  <c r="G47" i="26"/>
  <c r="C52" i="26"/>
  <c r="C3" i="27"/>
  <c r="O47" i="26"/>
  <c r="K52" i="26"/>
  <c r="C4" i="27"/>
  <c r="AM47" i="26"/>
  <c r="AI52" i="26"/>
  <c r="C7" i="27"/>
  <c r="AE47" i="26"/>
  <c r="AA52" i="26"/>
  <c r="C6" i="27"/>
  <c r="EM46" i="26"/>
  <c r="EI52" i="26"/>
  <c r="C20" i="27"/>
  <c r="FS46" i="26"/>
  <c r="FO52" i="26"/>
  <c r="C24" i="27"/>
  <c r="GA46" i="26"/>
  <c r="FW52" i="26"/>
  <c r="C25" i="27"/>
  <c r="HO39" i="26"/>
  <c r="HO43" i="26"/>
  <c r="HO52" i="26"/>
  <c r="HP39" i="26"/>
  <c r="HP43" i="26"/>
  <c r="HO53" i="26"/>
  <c r="HO51" i="26"/>
  <c r="HO28" i="26"/>
  <c r="HO54" i="26"/>
  <c r="HO29" i="26"/>
  <c r="HO55" i="26"/>
  <c r="HK52" i="26"/>
  <c r="C30" i="27"/>
  <c r="HG39" i="26"/>
  <c r="HG43" i="26"/>
  <c r="HG52" i="26"/>
  <c r="HH39" i="26"/>
  <c r="HH43" i="26"/>
  <c r="HG53" i="26"/>
  <c r="HG51" i="26"/>
  <c r="HG28" i="26"/>
  <c r="HG54" i="26"/>
  <c r="HG29" i="26"/>
  <c r="HG55" i="26"/>
  <c r="HC52" i="26"/>
  <c r="C29" i="27"/>
  <c r="GY39" i="26"/>
  <c r="GY43" i="26"/>
  <c r="GY52" i="26"/>
  <c r="GZ39" i="26"/>
  <c r="GZ43" i="26"/>
  <c r="GY53" i="26"/>
  <c r="GY51" i="26"/>
  <c r="GY28" i="26"/>
  <c r="GY54" i="26"/>
  <c r="GY29" i="26"/>
  <c r="GY55" i="26"/>
  <c r="GU52" i="26"/>
  <c r="C28" i="27"/>
  <c r="GI39" i="26"/>
  <c r="GI43" i="26"/>
  <c r="GI52" i="26"/>
  <c r="GJ39" i="26"/>
  <c r="GJ43" i="26"/>
  <c r="GI53" i="26"/>
  <c r="GI51" i="26"/>
  <c r="GI28" i="26"/>
  <c r="GI54" i="26"/>
  <c r="GI29" i="26"/>
  <c r="GI55" i="26"/>
  <c r="GE52" i="26"/>
  <c r="C26" i="27"/>
  <c r="G108" i="26"/>
  <c r="C113" i="26"/>
  <c r="C41" i="27"/>
  <c r="O108" i="26"/>
  <c r="K113" i="26"/>
  <c r="C42" i="27"/>
  <c r="W108" i="26"/>
  <c r="S113" i="26"/>
  <c r="C43" i="27"/>
  <c r="AE108" i="26"/>
  <c r="AA113" i="26"/>
  <c r="C44" i="27"/>
  <c r="AM108" i="26"/>
  <c r="AI113" i="26"/>
  <c r="C45" i="27"/>
  <c r="EM107" i="26"/>
  <c r="EI113" i="26"/>
  <c r="C58" i="27"/>
  <c r="FC107" i="26"/>
  <c r="EY113" i="26"/>
  <c r="C60" i="27"/>
  <c r="FS107" i="26"/>
  <c r="FO113" i="26"/>
  <c r="C62" i="27"/>
  <c r="GA107" i="26"/>
  <c r="FW113" i="26"/>
  <c r="C63" i="27"/>
  <c r="HO100" i="26"/>
  <c r="HO104" i="26"/>
  <c r="HO113" i="26"/>
  <c r="HP100" i="26"/>
  <c r="HP104" i="26"/>
  <c r="HO114" i="26"/>
  <c r="HO112" i="26"/>
  <c r="HO89" i="26"/>
  <c r="HO115" i="26"/>
  <c r="HO90" i="26"/>
  <c r="HO116" i="26"/>
  <c r="HK113" i="26"/>
  <c r="C68" i="27"/>
  <c r="HG100" i="26"/>
  <c r="HG104" i="26"/>
  <c r="HG113" i="26"/>
  <c r="HH100" i="26"/>
  <c r="HH104" i="26"/>
  <c r="HG114" i="26"/>
  <c r="HG112" i="26"/>
  <c r="HG89" i="26"/>
  <c r="HG115" i="26"/>
  <c r="HG90" i="26"/>
  <c r="HG116" i="26"/>
  <c r="HC113" i="26"/>
  <c r="C67" i="27"/>
  <c r="GY100" i="26"/>
  <c r="GY104" i="26"/>
  <c r="GY113" i="26"/>
  <c r="GZ100" i="26"/>
  <c r="GZ104" i="26"/>
  <c r="GY114" i="26"/>
  <c r="GY112" i="26"/>
  <c r="GY89" i="26"/>
  <c r="GY115" i="26"/>
  <c r="GY90" i="26"/>
  <c r="GY116" i="26"/>
  <c r="GU113" i="26"/>
  <c r="C66" i="27"/>
  <c r="GI100" i="26"/>
  <c r="GI104" i="26"/>
  <c r="GI113" i="26"/>
  <c r="GJ100" i="26"/>
  <c r="GJ104" i="26"/>
  <c r="GI114" i="26"/>
  <c r="GI112" i="26"/>
  <c r="GI89" i="26"/>
  <c r="GI115" i="26"/>
  <c r="GI90" i="26"/>
  <c r="GI116" i="26"/>
  <c r="GE113" i="26"/>
  <c r="C64" i="27"/>
  <c r="HK114" i="26"/>
  <c r="D68" i="27"/>
  <c r="HC114" i="26"/>
  <c r="D67" i="27"/>
  <c r="GU114" i="26"/>
  <c r="D66" i="27"/>
  <c r="GE114" i="26"/>
  <c r="D64" i="27"/>
  <c r="EV107" i="26"/>
  <c r="EQ114" i="26"/>
  <c r="D59" i="27"/>
  <c r="FL97" i="26"/>
  <c r="FL107" i="26"/>
  <c r="FG114" i="26"/>
  <c r="D61" i="27"/>
  <c r="GM114" i="26"/>
  <c r="D65" i="27"/>
  <c r="D69" i="27"/>
  <c r="E41" i="27"/>
  <c r="E42" i="27"/>
  <c r="E43" i="27"/>
  <c r="E44" i="27"/>
  <c r="E45" i="27"/>
  <c r="E58" i="27"/>
  <c r="E59" i="27"/>
  <c r="E60" i="27"/>
  <c r="E61" i="27"/>
  <c r="E62" i="27"/>
  <c r="E63" i="27"/>
  <c r="E68" i="27"/>
  <c r="E67" i="27"/>
  <c r="E66" i="27"/>
  <c r="E64" i="27"/>
  <c r="E65" i="27"/>
  <c r="E69" i="27"/>
  <c r="E3" i="27"/>
  <c r="E4" i="27"/>
  <c r="E7" i="27"/>
  <c r="E6" i="27"/>
  <c r="E20" i="27"/>
  <c r="EV46" i="26"/>
  <c r="EQ53" i="26"/>
  <c r="D21" i="27"/>
  <c r="E21" i="27"/>
  <c r="E24" i="27"/>
  <c r="E25" i="27"/>
  <c r="HK53" i="26"/>
  <c r="D30" i="27"/>
  <c r="E30" i="27"/>
  <c r="HC53" i="26"/>
  <c r="D29" i="27"/>
  <c r="E29" i="27"/>
  <c r="GU53" i="26"/>
  <c r="D28" i="27"/>
  <c r="E28" i="27"/>
  <c r="GE53" i="26"/>
  <c r="D26" i="27"/>
  <c r="E26" i="27"/>
  <c r="GM53" i="26"/>
  <c r="D27" i="27"/>
  <c r="E27" i="27"/>
  <c r="E31" i="27"/>
  <c r="D31" i="27"/>
  <c r="BC37" i="2"/>
  <c r="AF42" i="2"/>
  <c r="AE42" i="2"/>
  <c r="H44" i="2"/>
  <c r="G44" i="2"/>
  <c r="H42" i="2"/>
  <c r="G42" i="2"/>
  <c r="H41" i="2"/>
  <c r="G41" i="2"/>
  <c r="BD40" i="2"/>
  <c r="BC40" i="2"/>
  <c r="BD39" i="2"/>
  <c r="BC39" i="2"/>
  <c r="BD38" i="2"/>
  <c r="BC38" i="2"/>
  <c r="H38" i="2"/>
  <c r="G38" i="2"/>
  <c r="BD37" i="2"/>
  <c r="H37" i="2"/>
  <c r="G37" i="2"/>
  <c r="BD25" i="2"/>
  <c r="BC22" i="2"/>
  <c r="AY22" i="2"/>
  <c r="G22" i="2"/>
  <c r="C22" i="2"/>
  <c r="G20" i="2"/>
  <c r="F20" i="2"/>
  <c r="E20" i="2"/>
  <c r="D20" i="2"/>
  <c r="C20" i="2"/>
  <c r="BD19" i="2"/>
  <c r="AZ19" i="2"/>
  <c r="BD18" i="2"/>
  <c r="AZ18" i="2"/>
  <c r="BD17" i="2"/>
  <c r="AZ17" i="2"/>
  <c r="BD16" i="2"/>
  <c r="AZ16" i="2"/>
  <c r="V15" i="2"/>
  <c r="U15" i="2"/>
  <c r="T15" i="2"/>
  <c r="S15" i="2"/>
  <c r="AT14" i="2"/>
  <c r="AS14" i="2"/>
  <c r="AR14" i="2"/>
  <c r="AQ14" i="2"/>
  <c r="V14" i="2"/>
  <c r="U14" i="2"/>
  <c r="T14" i="2"/>
  <c r="S14" i="2"/>
  <c r="AZ13" i="2"/>
  <c r="AY13" i="2"/>
  <c r="AT13" i="2"/>
  <c r="AS13" i="2"/>
  <c r="AR13" i="2"/>
  <c r="AQ13" i="2"/>
  <c r="E13" i="2"/>
  <c r="D13" i="2"/>
  <c r="C13" i="2"/>
  <c r="AZ12" i="2"/>
  <c r="AY12" i="2"/>
  <c r="C12" i="2"/>
  <c r="D12" i="2"/>
  <c r="E12" i="2"/>
  <c r="H12" i="2"/>
  <c r="BJ11" i="2"/>
  <c r="BI11" i="2"/>
  <c r="BH11" i="2"/>
  <c r="BG11" i="2"/>
  <c r="AZ11" i="2"/>
  <c r="AY11" i="2"/>
  <c r="AC11" i="2"/>
  <c r="AB11" i="2"/>
  <c r="AA11" i="2"/>
  <c r="N11" i="2"/>
  <c r="M11" i="2"/>
  <c r="L11" i="2"/>
  <c r="K11" i="2"/>
  <c r="E11" i="2"/>
  <c r="D11" i="2"/>
  <c r="C11" i="2"/>
  <c r="BJ10" i="2"/>
  <c r="BI10" i="2"/>
  <c r="BH10" i="2"/>
  <c r="BG10" i="2"/>
  <c r="AZ10" i="2"/>
  <c r="AY10" i="2"/>
  <c r="AC10" i="2"/>
  <c r="AB10" i="2"/>
  <c r="AA10" i="2"/>
  <c r="N10" i="2"/>
  <c r="M10" i="2"/>
  <c r="L10" i="2"/>
  <c r="K10" i="2"/>
  <c r="E10" i="2"/>
  <c r="D10" i="2"/>
  <c r="C10" i="2"/>
  <c r="BJ9" i="2"/>
  <c r="BI9" i="2"/>
  <c r="BH9" i="2"/>
  <c r="BG9" i="2"/>
  <c r="AZ9" i="2"/>
  <c r="AY9" i="2"/>
  <c r="AC9" i="2"/>
  <c r="AB9" i="2"/>
  <c r="AA9" i="2"/>
  <c r="U9" i="2"/>
  <c r="T9" i="2"/>
  <c r="S9" i="2"/>
  <c r="N9" i="2"/>
  <c r="M9" i="2"/>
  <c r="L9" i="2"/>
  <c r="K9" i="2"/>
  <c r="E9" i="2"/>
  <c r="D9" i="2"/>
  <c r="C9" i="2"/>
  <c r="BJ8" i="2"/>
  <c r="BI8" i="2"/>
  <c r="BH8" i="2"/>
  <c r="BG8" i="2"/>
  <c r="AZ8" i="2"/>
  <c r="AY8" i="2"/>
  <c r="AC8" i="2"/>
  <c r="AB8" i="2"/>
  <c r="AA8" i="2"/>
  <c r="U8" i="2"/>
  <c r="T8" i="2"/>
  <c r="S8" i="2"/>
  <c r="N8" i="2"/>
  <c r="M8" i="2"/>
  <c r="L8" i="2"/>
  <c r="K8" i="2"/>
  <c r="E8" i="2"/>
  <c r="D8" i="2"/>
  <c r="C8" i="2"/>
  <c r="BD8" i="2"/>
  <c r="BD9" i="2"/>
  <c r="BD10" i="2"/>
  <c r="AY25" i="2"/>
  <c r="BD11" i="2"/>
  <c r="BD12" i="2"/>
  <c r="BD13" i="2"/>
  <c r="AY28" i="2"/>
  <c r="H8" i="2"/>
  <c r="H9" i="2"/>
  <c r="H10" i="2"/>
  <c r="H11" i="2"/>
  <c r="H13" i="2"/>
  <c r="C28" i="2"/>
  <c r="C32" i="2"/>
  <c r="G43" i="2"/>
  <c r="G47" i="2"/>
  <c r="G52" i="2"/>
  <c r="C24" i="2"/>
  <c r="C26" i="2"/>
  <c r="C27" i="2"/>
  <c r="C29" i="2"/>
  <c r="C33" i="2"/>
  <c r="H43" i="2"/>
  <c r="H47" i="2"/>
  <c r="G53" i="2"/>
  <c r="G51" i="2"/>
  <c r="G28" i="2"/>
  <c r="G55" i="2"/>
  <c r="G25" i="2"/>
  <c r="G54" i="2"/>
  <c r="BK35" i="2"/>
  <c r="BL35" i="2"/>
  <c r="BK36" i="2"/>
  <c r="BL36" i="2"/>
  <c r="BL37" i="2"/>
  <c r="BL38" i="2"/>
  <c r="BL41" i="2"/>
  <c r="BL11" i="2"/>
  <c r="BG25" i="2"/>
  <c r="BL45" i="2"/>
  <c r="BL9" i="2"/>
  <c r="BG22" i="2"/>
  <c r="BG53" i="2"/>
  <c r="AY24" i="2"/>
  <c r="AY26" i="2"/>
  <c r="AY27" i="2"/>
  <c r="AY29" i="2"/>
  <c r="BD26" i="2"/>
  <c r="AP5" i="2"/>
  <c r="AQ1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6" i="2"/>
  <c r="AQ53" i="2"/>
  <c r="AF9" i="2"/>
  <c r="AA16" i="2"/>
  <c r="AF29" i="2"/>
  <c r="AF30" i="2"/>
  <c r="AF32" i="2"/>
  <c r="AF34" i="2"/>
  <c r="AF35" i="2"/>
  <c r="AF38" i="2"/>
  <c r="AF11" i="2"/>
  <c r="AA19" i="2"/>
  <c r="AF45" i="2"/>
  <c r="AF41" i="2"/>
  <c r="AF40" i="2"/>
  <c r="AF47" i="2"/>
  <c r="AA53" i="2"/>
  <c r="X9" i="2"/>
  <c r="S26" i="2"/>
  <c r="X30" i="2"/>
  <c r="X40" i="2"/>
  <c r="S53" i="2"/>
  <c r="O35" i="2"/>
  <c r="P35" i="2"/>
  <c r="O36" i="2"/>
  <c r="P36" i="2"/>
  <c r="P37" i="2"/>
  <c r="P38" i="2"/>
  <c r="P41" i="2"/>
  <c r="P11" i="2"/>
  <c r="K25" i="2"/>
  <c r="P45" i="2"/>
  <c r="P9" i="2"/>
  <c r="K22" i="2"/>
  <c r="K53" i="2"/>
  <c r="C53" i="2"/>
  <c r="BK34" i="2"/>
  <c r="BK37" i="2"/>
  <c r="BK38" i="2"/>
  <c r="BK41" i="2"/>
  <c r="BL10" i="2"/>
  <c r="BG24" i="2"/>
  <c r="BK43" i="2"/>
  <c r="BK45" i="2"/>
  <c r="BL8" i="2"/>
  <c r="BG21" i="2"/>
  <c r="BG52" i="2"/>
  <c r="AQ18" i="2"/>
  <c r="AU30" i="2"/>
  <c r="AU31" i="2"/>
  <c r="AU32" i="2"/>
  <c r="AU33" i="2"/>
  <c r="AU34" i="2"/>
  <c r="AU35" i="2"/>
  <c r="AU36" i="2"/>
  <c r="AU39" i="2"/>
  <c r="AU40" i="2"/>
  <c r="AU41" i="2"/>
  <c r="AU42" i="2"/>
  <c r="AU43" i="2"/>
  <c r="AU44" i="2"/>
  <c r="AU45" i="2"/>
  <c r="AU46" i="2"/>
  <c r="AQ52" i="2"/>
  <c r="AF8" i="2"/>
  <c r="AA15" i="2"/>
  <c r="AE28" i="2"/>
  <c r="AE29" i="2"/>
  <c r="AE30" i="2"/>
  <c r="AE32" i="2"/>
  <c r="AE34" i="2"/>
  <c r="AE35" i="2"/>
  <c r="AE38" i="2"/>
  <c r="AF10" i="2"/>
  <c r="AA18" i="2"/>
  <c r="AE43" i="2"/>
  <c r="AE45" i="2"/>
  <c r="AE44" i="2"/>
  <c r="AE41" i="2"/>
  <c r="AE47" i="2"/>
  <c r="AA52" i="2"/>
  <c r="X8" i="2"/>
  <c r="S25" i="2"/>
  <c r="W30" i="2"/>
  <c r="W40" i="2"/>
  <c r="S52" i="2"/>
  <c r="O34" i="2"/>
  <c r="O37" i="2"/>
  <c r="O38" i="2"/>
  <c r="O41" i="2"/>
  <c r="P10" i="2"/>
  <c r="K24" i="2"/>
  <c r="O43" i="2"/>
  <c r="O45" i="2"/>
  <c r="P8" i="2"/>
  <c r="K21" i="2"/>
  <c r="K52" i="2"/>
  <c r="C52" i="2"/>
  <c r="BG51" i="2"/>
  <c r="AQ51" i="2"/>
  <c r="AA51" i="2"/>
  <c r="S51" i="2"/>
  <c r="K51" i="2"/>
  <c r="C51" i="2"/>
  <c r="BD43" i="2"/>
  <c r="BC41" i="2"/>
  <c r="BC43" i="2"/>
  <c r="BK39" i="2"/>
  <c r="O39" i="2"/>
  <c r="AN24" i="2"/>
  <c r="AN27" i="2"/>
  <c r="AN25" i="2"/>
  <c r="AN30" i="2"/>
  <c r="AN33" i="2"/>
  <c r="AM24" i="2"/>
  <c r="AM27" i="2"/>
  <c r="AM25" i="2"/>
  <c r="AM30" i="2"/>
  <c r="AM33" i="2"/>
  <c r="C31" i="2"/>
  <c r="BG29" i="2"/>
  <c r="K29" i="2"/>
  <c r="BG28" i="2"/>
  <c r="K28" i="2"/>
  <c r="BG27" i="2"/>
  <c r="K27" i="2"/>
  <c r="S24" i="2"/>
  <c r="BG23" i="2"/>
  <c r="AA23" i="2"/>
  <c r="K23" i="2"/>
  <c r="AA22" i="2"/>
  <c r="AA21" i="2"/>
  <c r="BG20" i="2"/>
  <c r="K20" i="2"/>
  <c r="AQ17" i="2"/>
  <c r="AA17" i="2"/>
  <c r="AA14" i="2"/>
  <c r="C345" i="3"/>
  <c r="C344" i="3"/>
  <c r="C337" i="3"/>
  <c r="C336" i="3"/>
  <c r="C329" i="3"/>
  <c r="C328" i="3"/>
  <c r="C321" i="3"/>
  <c r="C320" i="3"/>
  <c r="C313" i="3"/>
  <c r="C312" i="3"/>
  <c r="C305" i="3"/>
  <c r="C304" i="3"/>
  <c r="C297" i="3"/>
  <c r="C296" i="3"/>
  <c r="C289" i="3"/>
  <c r="C288" i="3"/>
  <c r="C281" i="3"/>
  <c r="C280" i="3"/>
  <c r="C273" i="3"/>
  <c r="C272" i="3"/>
  <c r="E162" i="3"/>
  <c r="E161" i="3"/>
  <c r="E160" i="3"/>
  <c r="E159" i="3"/>
  <c r="E158" i="3"/>
  <c r="AA9" i="26"/>
  <c r="AB9" i="26"/>
  <c r="AC9" i="26"/>
  <c r="AF9" i="26"/>
  <c r="AA16" i="26"/>
  <c r="AA11" i="26"/>
  <c r="AB11" i="26"/>
  <c r="AC11" i="26"/>
  <c r="AF11" i="26"/>
  <c r="AA19" i="26"/>
  <c r="AA53" i="26"/>
  <c r="D6" i="27"/>
  <c r="AA8" i="26"/>
  <c r="AB8" i="26"/>
  <c r="AC8" i="26"/>
  <c r="AF8" i="26"/>
  <c r="AA15" i="26"/>
  <c r="AA10" i="26"/>
  <c r="AB10" i="26"/>
  <c r="AC10" i="26"/>
  <c r="AF10" i="26"/>
  <c r="AA18" i="26"/>
  <c r="AI9" i="26"/>
  <c r="AJ9" i="26"/>
  <c r="AK9" i="26"/>
  <c r="AN9" i="26"/>
  <c r="AI16" i="26"/>
  <c r="AI11" i="26"/>
  <c r="AJ11" i="26"/>
  <c r="AK11" i="26"/>
  <c r="AN11" i="26"/>
  <c r="AI19" i="26"/>
  <c r="AI53" i="26"/>
  <c r="D7" i="27"/>
  <c r="AI8" i="26"/>
  <c r="AJ8" i="26"/>
  <c r="AK8" i="26"/>
  <c r="AN8" i="26"/>
  <c r="AI15" i="26"/>
  <c r="AI10" i="26"/>
  <c r="AJ10" i="26"/>
  <c r="AK10" i="26"/>
  <c r="AN10" i="26"/>
  <c r="AI18" i="26"/>
  <c r="AQ9" i="26"/>
  <c r="AR9" i="26"/>
  <c r="AS9" i="26"/>
  <c r="AV9" i="26"/>
  <c r="AQ26" i="26"/>
  <c r="AQ15" i="26"/>
  <c r="AR15" i="26"/>
  <c r="AV30" i="26"/>
  <c r="AV40" i="26"/>
  <c r="AQ53" i="26"/>
  <c r="D8" i="27"/>
  <c r="AQ8" i="26"/>
  <c r="AR8" i="26"/>
  <c r="AS8" i="26"/>
  <c r="AV8" i="26"/>
  <c r="AQ25" i="26"/>
  <c r="AQ14" i="26"/>
  <c r="AR14" i="26"/>
  <c r="AU30" i="26"/>
  <c r="AU40" i="26"/>
  <c r="AQ52" i="26"/>
  <c r="C8" i="27"/>
  <c r="E8" i="27"/>
  <c r="AY9" i="26"/>
  <c r="AZ9" i="26"/>
  <c r="BA9" i="26"/>
  <c r="BD9" i="26"/>
  <c r="AY26" i="26"/>
  <c r="AY15" i="26"/>
  <c r="AZ15" i="26"/>
  <c r="BB15" i="26"/>
  <c r="BA15" i="26"/>
  <c r="BD30" i="26"/>
  <c r="BD40" i="26"/>
  <c r="AY53" i="26"/>
  <c r="D9" i="27"/>
  <c r="AY8" i="26"/>
  <c r="AZ8" i="26"/>
  <c r="BA8" i="26"/>
  <c r="BD8" i="26"/>
  <c r="AY25" i="26"/>
  <c r="AY14" i="26"/>
  <c r="AZ14" i="26"/>
  <c r="BB14" i="26"/>
  <c r="BA14" i="26"/>
  <c r="BC30" i="26"/>
  <c r="BC40" i="26"/>
  <c r="AY52" i="26"/>
  <c r="C9" i="27"/>
  <c r="E9" i="27"/>
  <c r="BG9" i="26"/>
  <c r="BH9" i="26"/>
  <c r="BI9" i="26"/>
  <c r="BL9" i="26"/>
  <c r="BG26" i="26"/>
  <c r="BG15" i="26"/>
  <c r="BH15" i="26"/>
  <c r="BL30" i="26"/>
  <c r="BL40" i="26"/>
  <c r="BG53" i="26"/>
  <c r="D10" i="27"/>
  <c r="BG8" i="26"/>
  <c r="BH8" i="26"/>
  <c r="BI8" i="26"/>
  <c r="BL8" i="26"/>
  <c r="BG25" i="26"/>
  <c r="BG14" i="26"/>
  <c r="BH14" i="26"/>
  <c r="BK30" i="26"/>
  <c r="BK40" i="26"/>
  <c r="BG52" i="26"/>
  <c r="C10" i="27"/>
  <c r="E10" i="27"/>
  <c r="BO9" i="26"/>
  <c r="BP9" i="26"/>
  <c r="BQ9" i="26"/>
  <c r="BT9" i="26"/>
  <c r="BO26" i="26"/>
  <c r="BO15" i="26"/>
  <c r="BP15" i="26"/>
  <c r="BR15" i="26"/>
  <c r="BQ15" i="26"/>
  <c r="BT30" i="26"/>
  <c r="BT40" i="26"/>
  <c r="BO53" i="26"/>
  <c r="D11" i="27"/>
  <c r="BO8" i="26"/>
  <c r="BP8" i="26"/>
  <c r="BQ8" i="26"/>
  <c r="BT8" i="26"/>
  <c r="BO25" i="26"/>
  <c r="BO14" i="26"/>
  <c r="BP14" i="26"/>
  <c r="BR14" i="26"/>
  <c r="BQ14" i="26"/>
  <c r="BS30" i="26"/>
  <c r="BS40" i="26"/>
  <c r="BO52" i="26"/>
  <c r="C11" i="27"/>
  <c r="E11" i="27"/>
  <c r="DC9" i="26"/>
  <c r="DD9" i="26"/>
  <c r="DE9" i="26"/>
  <c r="DH9" i="26"/>
  <c r="DC26" i="26"/>
  <c r="DC15" i="26"/>
  <c r="DD15" i="26"/>
  <c r="DH30" i="26"/>
  <c r="DH40" i="26"/>
  <c r="DC53" i="26"/>
  <c r="D16" i="27"/>
  <c r="DC8" i="26"/>
  <c r="DD8" i="26"/>
  <c r="DE8" i="26"/>
  <c r="DH8" i="26"/>
  <c r="DC25" i="26"/>
  <c r="DC14" i="26"/>
  <c r="DD14" i="26"/>
  <c r="DG30" i="26"/>
  <c r="DG40" i="26"/>
  <c r="DC52" i="26"/>
  <c r="C16" i="27"/>
  <c r="E16" i="27"/>
  <c r="DK9" i="26"/>
  <c r="DL9" i="26"/>
  <c r="DM9" i="26"/>
  <c r="DP9" i="26"/>
  <c r="DK26" i="26"/>
  <c r="DK15" i="26"/>
  <c r="DL15" i="26"/>
  <c r="DN15" i="26"/>
  <c r="DM15" i="26"/>
  <c r="DP30" i="26"/>
  <c r="DP40" i="26"/>
  <c r="DK53" i="26"/>
  <c r="D17" i="27"/>
  <c r="DK8" i="26"/>
  <c r="DL8" i="26"/>
  <c r="DM8" i="26"/>
  <c r="DP8" i="26"/>
  <c r="DK25" i="26"/>
  <c r="DK14" i="26"/>
  <c r="DL14" i="26"/>
  <c r="DN14" i="26"/>
  <c r="DM14" i="26"/>
  <c r="DO30" i="26"/>
  <c r="DO40" i="26"/>
  <c r="DK52" i="26"/>
  <c r="C17" i="27"/>
  <c r="E17" i="27"/>
  <c r="DS9" i="26"/>
  <c r="DT9" i="26"/>
  <c r="DU9" i="26"/>
  <c r="DX9" i="26"/>
  <c r="DS26" i="26"/>
  <c r="DS15" i="26"/>
  <c r="DT15" i="26"/>
  <c r="DX30" i="26"/>
  <c r="DX40" i="26"/>
  <c r="DS53" i="26"/>
  <c r="D18" i="27"/>
  <c r="DS8" i="26"/>
  <c r="DT8" i="26"/>
  <c r="DU8" i="26"/>
  <c r="DX8" i="26"/>
  <c r="DS25" i="26"/>
  <c r="DS14" i="26"/>
  <c r="DT14" i="26"/>
  <c r="DW30" i="26"/>
  <c r="DW40" i="26"/>
  <c r="DS52" i="26"/>
  <c r="C18" i="27"/>
  <c r="E18" i="27"/>
  <c r="EA9" i="26"/>
  <c r="EB9" i="26"/>
  <c r="EC9" i="26"/>
  <c r="EF9" i="26"/>
  <c r="EA26" i="26"/>
  <c r="EA15" i="26"/>
  <c r="EB15" i="26"/>
  <c r="ED15" i="26"/>
  <c r="EC15" i="26"/>
  <c r="EF30" i="26"/>
  <c r="EF40" i="26"/>
  <c r="EA53" i="26"/>
  <c r="D19" i="27"/>
  <c r="EA8" i="26"/>
  <c r="EB8" i="26"/>
  <c r="EC8" i="26"/>
  <c r="EF8" i="26"/>
  <c r="EA25" i="26"/>
  <c r="EA14" i="26"/>
  <c r="EB14" i="26"/>
  <c r="ED14" i="26"/>
  <c r="EC14" i="26"/>
  <c r="EE30" i="26"/>
  <c r="EE40" i="26"/>
  <c r="EA52" i="26"/>
  <c r="C19" i="27"/>
  <c r="E19" i="27"/>
  <c r="EI14" i="26"/>
  <c r="EJ14" i="26"/>
  <c r="EK14" i="26"/>
  <c r="EL14" i="26"/>
  <c r="EI19" i="26"/>
  <c r="EI53" i="26"/>
  <c r="D20" i="27"/>
  <c r="EI13" i="26"/>
  <c r="EJ13" i="26"/>
  <c r="EK13" i="26"/>
  <c r="EL13" i="26"/>
  <c r="EI18" i="26"/>
  <c r="EQ14" i="26"/>
  <c r="ER14" i="26"/>
  <c r="ES14" i="26"/>
  <c r="ET14" i="26"/>
  <c r="EQ19" i="26"/>
  <c r="EQ13" i="26"/>
  <c r="ER13" i="26"/>
  <c r="ES13" i="26"/>
  <c r="ET13" i="26"/>
  <c r="EQ18" i="26"/>
  <c r="FO14" i="26"/>
  <c r="FP14" i="26"/>
  <c r="FQ14" i="26"/>
  <c r="FR14" i="26"/>
  <c r="FO19" i="26"/>
  <c r="FO53" i="26"/>
  <c r="D24" i="27"/>
  <c r="FO13" i="26"/>
  <c r="FP13" i="26"/>
  <c r="FQ13" i="26"/>
  <c r="FR13" i="26"/>
  <c r="FO18" i="26"/>
  <c r="FW14" i="26"/>
  <c r="FX14" i="26"/>
  <c r="FY14" i="26"/>
  <c r="FZ14" i="26"/>
  <c r="FW19" i="26"/>
  <c r="FW53" i="26"/>
  <c r="D25" i="27"/>
  <c r="FW13" i="26"/>
  <c r="FX13" i="26"/>
  <c r="FY13" i="26"/>
  <c r="FZ13" i="26"/>
  <c r="FW18" i="26"/>
  <c r="GE8" i="26"/>
  <c r="GF8" i="26"/>
  <c r="GJ8" i="26"/>
  <c r="GE24" i="26"/>
  <c r="GE9" i="26"/>
  <c r="GF9" i="26"/>
  <c r="GJ9" i="26"/>
  <c r="GE10" i="26"/>
  <c r="GF10" i="26"/>
  <c r="GJ10" i="26"/>
  <c r="GE25" i="26"/>
  <c r="GE26" i="26"/>
  <c r="GE11" i="26"/>
  <c r="GF11" i="26"/>
  <c r="GJ11" i="26"/>
  <c r="GE27" i="26"/>
  <c r="GE12" i="26"/>
  <c r="GF12" i="26"/>
  <c r="GJ12" i="26"/>
  <c r="GE13" i="26"/>
  <c r="GF13" i="26"/>
  <c r="GJ13" i="26"/>
  <c r="GE28" i="26"/>
  <c r="GE29" i="26"/>
  <c r="GJ25" i="26"/>
  <c r="GJ26" i="26"/>
  <c r="GM8" i="26"/>
  <c r="GN8" i="26"/>
  <c r="GR8" i="26"/>
  <c r="GM24" i="26"/>
  <c r="GM9" i="26"/>
  <c r="GN9" i="26"/>
  <c r="GR9" i="26"/>
  <c r="GM10" i="26"/>
  <c r="GN10" i="26"/>
  <c r="GR10" i="26"/>
  <c r="GM25" i="26"/>
  <c r="GM26" i="26"/>
  <c r="GM11" i="26"/>
  <c r="GN11" i="26"/>
  <c r="GR11" i="26"/>
  <c r="GM27" i="26"/>
  <c r="GM12" i="26"/>
  <c r="GN12" i="26"/>
  <c r="GR12" i="26"/>
  <c r="GM13" i="26"/>
  <c r="GN13" i="26"/>
  <c r="GR13" i="26"/>
  <c r="GM28" i="26"/>
  <c r="GM29" i="26"/>
  <c r="GR25" i="26"/>
  <c r="GR26" i="26"/>
  <c r="GU8" i="26"/>
  <c r="GV8" i="26"/>
  <c r="GZ8" i="26"/>
  <c r="GU24" i="26"/>
  <c r="GU9" i="26"/>
  <c r="GV9" i="26"/>
  <c r="GZ9" i="26"/>
  <c r="GU10" i="26"/>
  <c r="GV10" i="26"/>
  <c r="GZ10" i="26"/>
  <c r="GU25" i="26"/>
  <c r="GU26" i="26"/>
  <c r="GU11" i="26"/>
  <c r="GV11" i="26"/>
  <c r="GZ11" i="26"/>
  <c r="GU27" i="26"/>
  <c r="GU12" i="26"/>
  <c r="GV12" i="26"/>
  <c r="GZ12" i="26"/>
  <c r="GU13" i="26"/>
  <c r="GV13" i="26"/>
  <c r="GZ13" i="26"/>
  <c r="GU28" i="26"/>
  <c r="GU29" i="26"/>
  <c r="GZ25" i="26"/>
  <c r="GZ26" i="26"/>
  <c r="HC8" i="26"/>
  <c r="HD8" i="26"/>
  <c r="HH8" i="26"/>
  <c r="HC24" i="26"/>
  <c r="HC9" i="26"/>
  <c r="HD9" i="26"/>
  <c r="HH9" i="26"/>
  <c r="HC10" i="26"/>
  <c r="HD10" i="26"/>
  <c r="HH10" i="26"/>
  <c r="HC25" i="26"/>
  <c r="HC26" i="26"/>
  <c r="HC11" i="26"/>
  <c r="HD11" i="26"/>
  <c r="HH11" i="26"/>
  <c r="HC27" i="26"/>
  <c r="HC12" i="26"/>
  <c r="HD12" i="26"/>
  <c r="HH12" i="26"/>
  <c r="HC13" i="26"/>
  <c r="HD13" i="26"/>
  <c r="HH13" i="26"/>
  <c r="HC28" i="26"/>
  <c r="HC29" i="26"/>
  <c r="HH25" i="26"/>
  <c r="HH26" i="26"/>
  <c r="HK8" i="26"/>
  <c r="HL8" i="26"/>
  <c r="HP8" i="26"/>
  <c r="HK24" i="26"/>
  <c r="HK9" i="26"/>
  <c r="HL9" i="26"/>
  <c r="HP9" i="26"/>
  <c r="HK10" i="26"/>
  <c r="HL10" i="26"/>
  <c r="HP10" i="26"/>
  <c r="HK25" i="26"/>
  <c r="HK26" i="26"/>
  <c r="HK11" i="26"/>
  <c r="HL11" i="26"/>
  <c r="HP11" i="26"/>
  <c r="HK27" i="26"/>
  <c r="HK12" i="26"/>
  <c r="HL12" i="26"/>
  <c r="HP12" i="26"/>
  <c r="HK13" i="26"/>
  <c r="HL13" i="26"/>
  <c r="HP13" i="26"/>
  <c r="HK28" i="26"/>
  <c r="HK29" i="26"/>
  <c r="HP25" i="26"/>
  <c r="HP26" i="26"/>
  <c r="S70" i="26"/>
  <c r="T70" i="26"/>
  <c r="U70" i="26"/>
  <c r="X70" i="26"/>
  <c r="S77" i="26"/>
  <c r="S72" i="26"/>
  <c r="T72" i="26"/>
  <c r="U72" i="26"/>
  <c r="X72" i="26"/>
  <c r="S80" i="26"/>
  <c r="S114" i="26"/>
  <c r="D43" i="27"/>
  <c r="S69" i="26"/>
  <c r="T69" i="26"/>
  <c r="U69" i="26"/>
  <c r="X69" i="26"/>
  <c r="S76" i="26"/>
  <c r="S71" i="26"/>
  <c r="T71" i="26"/>
  <c r="U71" i="26"/>
  <c r="X71" i="26"/>
  <c r="S79" i="26"/>
  <c r="AA70" i="26"/>
  <c r="AB70" i="26"/>
  <c r="AC70" i="26"/>
  <c r="AF70" i="26"/>
  <c r="AA77" i="26"/>
  <c r="AA72" i="26"/>
  <c r="AB72" i="26"/>
  <c r="AC72" i="26"/>
  <c r="AF72" i="26"/>
  <c r="AA80" i="26"/>
  <c r="AA114" i="26"/>
  <c r="D44" i="27"/>
  <c r="AA69" i="26"/>
  <c r="AB69" i="26"/>
  <c r="AC69" i="26"/>
  <c r="AF69" i="26"/>
  <c r="AA76" i="26"/>
  <c r="AA71" i="26"/>
  <c r="AB71" i="26"/>
  <c r="AC71" i="26"/>
  <c r="AF71" i="26"/>
  <c r="AA79" i="26"/>
  <c r="AI70" i="26"/>
  <c r="AJ70" i="26"/>
  <c r="AK70" i="26"/>
  <c r="AN70" i="26"/>
  <c r="AI77" i="26"/>
  <c r="AI72" i="26"/>
  <c r="AJ72" i="26"/>
  <c r="AK72" i="26"/>
  <c r="AN72" i="26"/>
  <c r="AI80" i="26"/>
  <c r="AI114" i="26"/>
  <c r="D45" i="27"/>
  <c r="AI69" i="26"/>
  <c r="AJ69" i="26"/>
  <c r="AK69" i="26"/>
  <c r="AN69" i="26"/>
  <c r="AI76" i="26"/>
  <c r="AI71" i="26"/>
  <c r="AJ71" i="26"/>
  <c r="AK71" i="26"/>
  <c r="AN71" i="26"/>
  <c r="AI79" i="26"/>
  <c r="AQ70" i="26"/>
  <c r="AR70" i="26"/>
  <c r="AS70" i="26"/>
  <c r="AV70" i="26"/>
  <c r="AQ87" i="26"/>
  <c r="AQ76" i="26"/>
  <c r="AR76" i="26"/>
  <c r="AV91" i="26"/>
  <c r="AV101" i="26"/>
  <c r="AQ114" i="26"/>
  <c r="D46" i="27"/>
  <c r="AQ69" i="26"/>
  <c r="AR69" i="26"/>
  <c r="AS69" i="26"/>
  <c r="AV69" i="26"/>
  <c r="AQ86" i="26"/>
  <c r="AQ75" i="26"/>
  <c r="AR75" i="26"/>
  <c r="AU91" i="26"/>
  <c r="AU101" i="26"/>
  <c r="AQ113" i="26"/>
  <c r="C46" i="27"/>
  <c r="E46" i="27"/>
  <c r="AY70" i="26"/>
  <c r="AZ70" i="26"/>
  <c r="BA70" i="26"/>
  <c r="BD70" i="26"/>
  <c r="AY87" i="26"/>
  <c r="AY76" i="26"/>
  <c r="AZ76" i="26"/>
  <c r="BB76" i="26"/>
  <c r="BA76" i="26"/>
  <c r="BD91" i="26"/>
  <c r="BD101" i="26"/>
  <c r="AY114" i="26"/>
  <c r="D47" i="27"/>
  <c r="AY69" i="26"/>
  <c r="AZ69" i="26"/>
  <c r="BA69" i="26"/>
  <c r="BD69" i="26"/>
  <c r="AY86" i="26"/>
  <c r="AY75" i="26"/>
  <c r="AZ75" i="26"/>
  <c r="BB75" i="26"/>
  <c r="BA75" i="26"/>
  <c r="BC91" i="26"/>
  <c r="BC101" i="26"/>
  <c r="AY113" i="26"/>
  <c r="C47" i="27"/>
  <c r="E47" i="27"/>
  <c r="BG70" i="26"/>
  <c r="BH70" i="26"/>
  <c r="BI70" i="26"/>
  <c r="BL70" i="26"/>
  <c r="BG87" i="26"/>
  <c r="BG76" i="26"/>
  <c r="BH76" i="26"/>
  <c r="BL91" i="26"/>
  <c r="BL101" i="26"/>
  <c r="BG114" i="26"/>
  <c r="D48" i="27"/>
  <c r="BG69" i="26"/>
  <c r="BH69" i="26"/>
  <c r="BI69" i="26"/>
  <c r="BL69" i="26"/>
  <c r="BG86" i="26"/>
  <c r="BG75" i="26"/>
  <c r="BH75" i="26"/>
  <c r="BK91" i="26"/>
  <c r="BK101" i="26"/>
  <c r="BG113" i="26"/>
  <c r="C48" i="27"/>
  <c r="E48" i="27"/>
  <c r="BO70" i="26"/>
  <c r="BP70" i="26"/>
  <c r="BQ70" i="26"/>
  <c r="BT70" i="26"/>
  <c r="BO87" i="26"/>
  <c r="BO76" i="26"/>
  <c r="BP76" i="26"/>
  <c r="BR76" i="26"/>
  <c r="BQ76" i="26"/>
  <c r="BT91" i="26"/>
  <c r="BT101" i="26"/>
  <c r="BO114" i="26"/>
  <c r="D49" i="27"/>
  <c r="BO69" i="26"/>
  <c r="BP69" i="26"/>
  <c r="BQ69" i="26"/>
  <c r="BT69" i="26"/>
  <c r="BO86" i="26"/>
  <c r="BO75" i="26"/>
  <c r="BP75" i="26"/>
  <c r="BR75" i="26"/>
  <c r="BQ75" i="26"/>
  <c r="BS91" i="26"/>
  <c r="BS101" i="26"/>
  <c r="BO113" i="26"/>
  <c r="C49" i="27"/>
  <c r="E49" i="27"/>
  <c r="BW70" i="26"/>
  <c r="BX70" i="26"/>
  <c r="BY70" i="26"/>
  <c r="CB70" i="26"/>
  <c r="BW87" i="26"/>
  <c r="BW76" i="26"/>
  <c r="BX76" i="26"/>
  <c r="CB91" i="26"/>
  <c r="CB101" i="26"/>
  <c r="BW114" i="26"/>
  <c r="D50" i="27"/>
  <c r="BW69" i="26"/>
  <c r="BX69" i="26"/>
  <c r="BY69" i="26"/>
  <c r="CB69" i="26"/>
  <c r="BW86" i="26"/>
  <c r="BW75" i="26"/>
  <c r="BX75" i="26"/>
  <c r="CA91" i="26"/>
  <c r="CA101" i="26"/>
  <c r="BW113" i="26"/>
  <c r="C50" i="27"/>
  <c r="E50" i="27"/>
  <c r="CE70" i="26"/>
  <c r="CF70" i="26"/>
  <c r="CG70" i="26"/>
  <c r="CJ70" i="26"/>
  <c r="CE87" i="26"/>
  <c r="CE76" i="26"/>
  <c r="CF76" i="26"/>
  <c r="CH76" i="26"/>
  <c r="CG76" i="26"/>
  <c r="CJ91" i="26"/>
  <c r="CJ101" i="26"/>
  <c r="CE114" i="26"/>
  <c r="D51" i="27"/>
  <c r="CE69" i="26"/>
  <c r="CF69" i="26"/>
  <c r="CG69" i="26"/>
  <c r="CJ69" i="26"/>
  <c r="CE86" i="26"/>
  <c r="CE75" i="26"/>
  <c r="CF75" i="26"/>
  <c r="CH75" i="26"/>
  <c r="CG75" i="26"/>
  <c r="CI91" i="26"/>
  <c r="CI101" i="26"/>
  <c r="CE113" i="26"/>
  <c r="C51" i="27"/>
  <c r="E51" i="27"/>
  <c r="CM70" i="26"/>
  <c r="CN70" i="26"/>
  <c r="CO70" i="26"/>
  <c r="CR70" i="26"/>
  <c r="CM87" i="26"/>
  <c r="CM76" i="26"/>
  <c r="CN76" i="26"/>
  <c r="CR91" i="26"/>
  <c r="CR101" i="26"/>
  <c r="CM114" i="26"/>
  <c r="D52" i="27"/>
  <c r="CM69" i="26"/>
  <c r="CN69" i="26"/>
  <c r="CO69" i="26"/>
  <c r="CR69" i="26"/>
  <c r="CM86" i="26"/>
  <c r="CM75" i="26"/>
  <c r="CN75" i="26"/>
  <c r="CQ91" i="26"/>
  <c r="CQ101" i="26"/>
  <c r="CM113" i="26"/>
  <c r="C52" i="27"/>
  <c r="E52" i="27"/>
  <c r="CU70" i="26"/>
  <c r="CV70" i="26"/>
  <c r="CW70" i="26"/>
  <c r="CZ70" i="26"/>
  <c r="CU87" i="26"/>
  <c r="CU76" i="26"/>
  <c r="CV76" i="26"/>
  <c r="CX76" i="26"/>
  <c r="CW76" i="26"/>
  <c r="CZ91" i="26"/>
  <c r="CZ101" i="26"/>
  <c r="CU114" i="26"/>
  <c r="D53" i="27"/>
  <c r="CU69" i="26"/>
  <c r="CV69" i="26"/>
  <c r="CW69" i="26"/>
  <c r="CZ69" i="26"/>
  <c r="CU86" i="26"/>
  <c r="CU75" i="26"/>
  <c r="CV75" i="26"/>
  <c r="CX75" i="26"/>
  <c r="CW75" i="26"/>
  <c r="CY91" i="26"/>
  <c r="CY101" i="26"/>
  <c r="CU113" i="26"/>
  <c r="C53" i="27"/>
  <c r="E53" i="27"/>
  <c r="DC70" i="26"/>
  <c r="DD70" i="26"/>
  <c r="DE70" i="26"/>
  <c r="DH70" i="26"/>
  <c r="DC87" i="26"/>
  <c r="DC76" i="26"/>
  <c r="DD76" i="26"/>
  <c r="DH91" i="26"/>
  <c r="DH101" i="26"/>
  <c r="DC114" i="26"/>
  <c r="D54" i="27"/>
  <c r="DC69" i="26"/>
  <c r="DD69" i="26"/>
  <c r="DE69" i="26"/>
  <c r="DH69" i="26"/>
  <c r="DC86" i="26"/>
  <c r="DC75" i="26"/>
  <c r="DD75" i="26"/>
  <c r="DG91" i="26"/>
  <c r="DG101" i="26"/>
  <c r="DC113" i="26"/>
  <c r="C54" i="27"/>
  <c r="E54" i="27"/>
  <c r="DK70" i="26"/>
  <c r="DL70" i="26"/>
  <c r="DM70" i="26"/>
  <c r="DP70" i="26"/>
  <c r="DK87" i="26"/>
  <c r="DK76" i="26"/>
  <c r="DL76" i="26"/>
  <c r="DN76" i="26"/>
  <c r="DM76" i="26"/>
  <c r="DP91" i="26"/>
  <c r="DP101" i="26"/>
  <c r="DK114" i="26"/>
  <c r="D55" i="27"/>
  <c r="DK69" i="26"/>
  <c r="DL69" i="26"/>
  <c r="DM69" i="26"/>
  <c r="DP69" i="26"/>
  <c r="DK86" i="26"/>
  <c r="DK75" i="26"/>
  <c r="DL75" i="26"/>
  <c r="DN75" i="26"/>
  <c r="DM75" i="26"/>
  <c r="DO91" i="26"/>
  <c r="DO101" i="26"/>
  <c r="DK113" i="26"/>
  <c r="C55" i="27"/>
  <c r="E55" i="27"/>
  <c r="DS70" i="26"/>
  <c r="DT70" i="26"/>
  <c r="DU70" i="26"/>
  <c r="DX70" i="26"/>
  <c r="DS87" i="26"/>
  <c r="DS76" i="26"/>
  <c r="DT76" i="26"/>
  <c r="DX91" i="26"/>
  <c r="DX101" i="26"/>
  <c r="DS114" i="26"/>
  <c r="D56" i="27"/>
  <c r="DS69" i="26"/>
  <c r="DT69" i="26"/>
  <c r="DU69" i="26"/>
  <c r="DX69" i="26"/>
  <c r="DS86" i="26"/>
  <c r="DS75" i="26"/>
  <c r="DT75" i="26"/>
  <c r="DW91" i="26"/>
  <c r="DW101" i="26"/>
  <c r="DS113" i="26"/>
  <c r="C56" i="27"/>
  <c r="E56" i="27"/>
  <c r="EA70" i="26"/>
  <c r="EB70" i="26"/>
  <c r="EC70" i="26"/>
  <c r="EF70" i="26"/>
  <c r="EA87" i="26"/>
  <c r="EA76" i="26"/>
  <c r="EB76" i="26"/>
  <c r="ED76" i="26"/>
  <c r="EC76" i="26"/>
  <c r="EF91" i="26"/>
  <c r="EF101" i="26"/>
  <c r="EA114" i="26"/>
  <c r="D57" i="27"/>
  <c r="EA69" i="26"/>
  <c r="EB69" i="26"/>
  <c r="EC69" i="26"/>
  <c r="EF69" i="26"/>
  <c r="EA86" i="26"/>
  <c r="EA75" i="26"/>
  <c r="EB75" i="26"/>
  <c r="ED75" i="26"/>
  <c r="EC75" i="26"/>
  <c r="EE91" i="26"/>
  <c r="EE101" i="26"/>
  <c r="EA113" i="26"/>
  <c r="C57" i="27"/>
  <c r="E57" i="27"/>
  <c r="EI75" i="26"/>
  <c r="EJ75" i="26"/>
  <c r="EK75" i="26"/>
  <c r="EL75" i="26"/>
  <c r="EI80" i="26"/>
  <c r="EI114" i="26"/>
  <c r="D58" i="27"/>
  <c r="EI74" i="26"/>
  <c r="EJ74" i="26"/>
  <c r="EK74" i="26"/>
  <c r="EL74" i="26"/>
  <c r="EI79" i="26"/>
  <c r="EQ75" i="26"/>
  <c r="ER75" i="26"/>
  <c r="ES75" i="26"/>
  <c r="ET75" i="26"/>
  <c r="EQ80" i="26"/>
  <c r="EQ74" i="26"/>
  <c r="ER74" i="26"/>
  <c r="ES74" i="26"/>
  <c r="ET74" i="26"/>
  <c r="EQ79" i="26"/>
  <c r="EY75" i="26"/>
  <c r="EZ75" i="26"/>
  <c r="FA75" i="26"/>
  <c r="FB75" i="26"/>
  <c r="EY80" i="26"/>
  <c r="EY114" i="26"/>
  <c r="D60" i="27"/>
  <c r="EY74" i="26"/>
  <c r="EZ74" i="26"/>
  <c r="FA74" i="26"/>
  <c r="FB74" i="26"/>
  <c r="EY79" i="26"/>
  <c r="FG75" i="26"/>
  <c r="FH75" i="26"/>
  <c r="FI75" i="26"/>
  <c r="FJ75" i="26"/>
  <c r="FG80" i="26"/>
  <c r="FG74" i="26"/>
  <c r="FH74" i="26"/>
  <c r="FI74" i="26"/>
  <c r="FJ74" i="26"/>
  <c r="FG79" i="26"/>
  <c r="FO75" i="26"/>
  <c r="FP75" i="26"/>
  <c r="FQ75" i="26"/>
  <c r="FR75" i="26"/>
  <c r="FO80" i="26"/>
  <c r="FO114" i="26"/>
  <c r="D62" i="27"/>
  <c r="FO74" i="26"/>
  <c r="FP74" i="26"/>
  <c r="FQ74" i="26"/>
  <c r="FR74" i="26"/>
  <c r="FO79" i="26"/>
  <c r="FW75" i="26"/>
  <c r="FX75" i="26"/>
  <c r="FY75" i="26"/>
  <c r="FZ75" i="26"/>
  <c r="FW80" i="26"/>
  <c r="FW114" i="26"/>
  <c r="D63" i="27"/>
  <c r="FW74" i="26"/>
  <c r="FX74" i="26"/>
  <c r="FY74" i="26"/>
  <c r="FZ74" i="26"/>
  <c r="FW79" i="26"/>
  <c r="GE69" i="26"/>
  <c r="GF69" i="26"/>
  <c r="GJ69" i="26"/>
  <c r="GE85" i="26"/>
  <c r="GE70" i="26"/>
  <c r="GF70" i="26"/>
  <c r="GJ70" i="26"/>
  <c r="GE71" i="26"/>
  <c r="GF71" i="26"/>
  <c r="GJ71" i="26"/>
  <c r="GE86" i="26"/>
  <c r="GE87" i="26"/>
  <c r="GE72" i="26"/>
  <c r="GF72" i="26"/>
  <c r="GJ72" i="26"/>
  <c r="GE88" i="26"/>
  <c r="GE73" i="26"/>
  <c r="GF73" i="26"/>
  <c r="GJ73" i="26"/>
  <c r="GE74" i="26"/>
  <c r="GF74" i="26"/>
  <c r="GJ74" i="26"/>
  <c r="GE89" i="26"/>
  <c r="GE90" i="26"/>
  <c r="GJ86" i="26"/>
  <c r="GJ87" i="26"/>
  <c r="GM69" i="26"/>
  <c r="GN69" i="26"/>
  <c r="GR69" i="26"/>
  <c r="GM85" i="26"/>
  <c r="GM70" i="26"/>
  <c r="GN70" i="26"/>
  <c r="GR70" i="26"/>
  <c r="GM71" i="26"/>
  <c r="GN71" i="26"/>
  <c r="GR71" i="26"/>
  <c r="GM86" i="26"/>
  <c r="GM87" i="26"/>
  <c r="GM72" i="26"/>
  <c r="GN72" i="26"/>
  <c r="GR72" i="26"/>
  <c r="GM88" i="26"/>
  <c r="GM73" i="26"/>
  <c r="GN73" i="26"/>
  <c r="GR73" i="26"/>
  <c r="GM74" i="26"/>
  <c r="GN74" i="26"/>
  <c r="GR74" i="26"/>
  <c r="GM89" i="26"/>
  <c r="GM90" i="26"/>
  <c r="GR86" i="26"/>
  <c r="GR87" i="26"/>
  <c r="GU69" i="26"/>
  <c r="GV69" i="26"/>
  <c r="GZ69" i="26"/>
  <c r="GU85" i="26"/>
  <c r="GU70" i="26"/>
  <c r="GV70" i="26"/>
  <c r="GZ70" i="26"/>
  <c r="GU71" i="26"/>
  <c r="GV71" i="26"/>
  <c r="GZ71" i="26"/>
  <c r="GU86" i="26"/>
  <c r="GU87" i="26"/>
  <c r="GU72" i="26"/>
  <c r="GV72" i="26"/>
  <c r="GZ72" i="26"/>
  <c r="GU88" i="26"/>
  <c r="GU73" i="26"/>
  <c r="GV73" i="26"/>
  <c r="GZ73" i="26"/>
  <c r="GU74" i="26"/>
  <c r="GV74" i="26"/>
  <c r="GZ74" i="26"/>
  <c r="GU89" i="26"/>
  <c r="GU90" i="26"/>
  <c r="GZ86" i="26"/>
  <c r="GZ87" i="26"/>
  <c r="HC69" i="26"/>
  <c r="HD69" i="26"/>
  <c r="HH69" i="26"/>
  <c r="HC85" i="26"/>
  <c r="HC70" i="26"/>
  <c r="HD70" i="26"/>
  <c r="HH70" i="26"/>
  <c r="HC71" i="26"/>
  <c r="HD71" i="26"/>
  <c r="HH71" i="26"/>
  <c r="HC86" i="26"/>
  <c r="HC87" i="26"/>
  <c r="HC72" i="26"/>
  <c r="HD72" i="26"/>
  <c r="HH72" i="26"/>
  <c r="HC88" i="26"/>
  <c r="HC73" i="26"/>
  <c r="HD73" i="26"/>
  <c r="HH73" i="26"/>
  <c r="HC74" i="26"/>
  <c r="HD74" i="26"/>
  <c r="HH74" i="26"/>
  <c r="HC89" i="26"/>
  <c r="HC90" i="26"/>
  <c r="HH86" i="26"/>
  <c r="HH87" i="26"/>
  <c r="HK69" i="26"/>
  <c r="HL69" i="26"/>
  <c r="HP69" i="26"/>
  <c r="HK85" i="26"/>
  <c r="HK70" i="26"/>
  <c r="HL70" i="26"/>
  <c r="HP70" i="26"/>
  <c r="HK71" i="26"/>
  <c r="HL71" i="26"/>
  <c r="HP71" i="26"/>
  <c r="HK86" i="26"/>
  <c r="HK87" i="26"/>
  <c r="HK72" i="26"/>
  <c r="HL72" i="26"/>
  <c r="HP72" i="26"/>
  <c r="HK88" i="26"/>
  <c r="HK73" i="26"/>
  <c r="HL73" i="26"/>
  <c r="HP73" i="26"/>
  <c r="HK74" i="26"/>
  <c r="HL74" i="26"/>
  <c r="HP74" i="26"/>
  <c r="HK89" i="26"/>
  <c r="HK90" i="26"/>
  <c r="HP86" i="26"/>
  <c r="HP87" i="26"/>
  <c r="B68" i="27"/>
  <c r="A68" i="27"/>
  <c r="B67" i="27"/>
  <c r="A67" i="27"/>
  <c r="B66" i="27"/>
  <c r="A66" i="27"/>
  <c r="B65" i="27"/>
  <c r="A65" i="27"/>
  <c r="B64" i="27"/>
  <c r="A64" i="27"/>
  <c r="B63" i="27"/>
  <c r="A63" i="27"/>
  <c r="B62" i="27"/>
  <c r="A62" i="27"/>
  <c r="B61" i="27"/>
  <c r="A61" i="27"/>
  <c r="B60" i="27"/>
  <c r="A60" i="27"/>
  <c r="B59" i="27"/>
  <c r="A59" i="27"/>
  <c r="B58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B45" i="27"/>
  <c r="A45" i="27"/>
  <c r="B44" i="27"/>
  <c r="A44" i="27"/>
  <c r="B43" i="27"/>
  <c r="A43" i="27"/>
  <c r="K70" i="26"/>
  <c r="L70" i="26"/>
  <c r="M70" i="26"/>
  <c r="P70" i="26"/>
  <c r="K77" i="26"/>
  <c r="K72" i="26"/>
  <c r="L72" i="26"/>
  <c r="M72" i="26"/>
  <c r="P72" i="26"/>
  <c r="K80" i="26"/>
  <c r="K114" i="26"/>
  <c r="D42" i="27"/>
  <c r="K69" i="26"/>
  <c r="L69" i="26"/>
  <c r="M69" i="26"/>
  <c r="P69" i="26"/>
  <c r="K76" i="26"/>
  <c r="K71" i="26"/>
  <c r="L71" i="26"/>
  <c r="M71" i="26"/>
  <c r="P71" i="26"/>
  <c r="K79" i="26"/>
  <c r="B42" i="27"/>
  <c r="A42" i="27"/>
  <c r="C70" i="26"/>
  <c r="D70" i="26"/>
  <c r="E70" i="26"/>
  <c r="H70" i="26"/>
  <c r="C77" i="26"/>
  <c r="C72" i="26"/>
  <c r="D72" i="26"/>
  <c r="E72" i="26"/>
  <c r="H72" i="26"/>
  <c r="C80" i="26"/>
  <c r="H101" i="26"/>
  <c r="H108" i="26"/>
  <c r="C114" i="26"/>
  <c r="D41" i="27"/>
  <c r="C69" i="26"/>
  <c r="D69" i="26"/>
  <c r="E69" i="26"/>
  <c r="H69" i="26"/>
  <c r="C76" i="26"/>
  <c r="C71" i="26"/>
  <c r="D71" i="26"/>
  <c r="E71" i="26"/>
  <c r="H71" i="26"/>
  <c r="C79" i="26"/>
  <c r="B41" i="27"/>
  <c r="A41" i="27"/>
  <c r="B30" i="27"/>
  <c r="A30" i="27"/>
  <c r="B29" i="27"/>
  <c r="A29" i="27"/>
  <c r="B28" i="27"/>
  <c r="A28" i="27"/>
  <c r="B27" i="27"/>
  <c r="A27" i="27"/>
  <c r="B26" i="27"/>
  <c r="A26" i="27"/>
  <c r="B25" i="27"/>
  <c r="A25" i="27"/>
  <c r="B24" i="27"/>
  <c r="A24" i="27"/>
  <c r="B21" i="27"/>
  <c r="A21" i="27"/>
  <c r="B20" i="27"/>
  <c r="A20" i="27"/>
  <c r="A19" i="27"/>
  <c r="A18" i="27"/>
  <c r="A17" i="27"/>
  <c r="A16" i="27"/>
  <c r="A11" i="27"/>
  <c r="A10" i="27"/>
  <c r="A9" i="27"/>
  <c r="A8" i="27"/>
  <c r="B7" i="27"/>
  <c r="A7" i="27"/>
  <c r="B6" i="27"/>
  <c r="A6" i="27"/>
  <c r="K9" i="26"/>
  <c r="L9" i="26"/>
  <c r="M9" i="26"/>
  <c r="P9" i="26"/>
  <c r="K16" i="26"/>
  <c r="K11" i="26"/>
  <c r="L11" i="26"/>
  <c r="M11" i="26"/>
  <c r="P11" i="26"/>
  <c r="K19" i="26"/>
  <c r="K53" i="26"/>
  <c r="D4" i="27"/>
  <c r="K8" i="26"/>
  <c r="L8" i="26"/>
  <c r="M8" i="26"/>
  <c r="P8" i="26"/>
  <c r="K15" i="26"/>
  <c r="K10" i="26"/>
  <c r="L10" i="26"/>
  <c r="M10" i="26"/>
  <c r="P10" i="26"/>
  <c r="K18" i="26"/>
  <c r="B4" i="27"/>
  <c r="A4" i="27"/>
  <c r="C9" i="26"/>
  <c r="D9" i="26"/>
  <c r="E9" i="26"/>
  <c r="H9" i="26"/>
  <c r="C16" i="26"/>
  <c r="C11" i="26"/>
  <c r="D11" i="26"/>
  <c r="E11" i="26"/>
  <c r="H11" i="26"/>
  <c r="C19" i="26"/>
  <c r="C53" i="26"/>
  <c r="D3" i="27"/>
  <c r="C8" i="26"/>
  <c r="D8" i="26"/>
  <c r="E8" i="26"/>
  <c r="H8" i="26"/>
  <c r="C15" i="26"/>
  <c r="C10" i="26"/>
  <c r="D10" i="26"/>
  <c r="E10" i="26"/>
  <c r="H10" i="26"/>
  <c r="C18" i="26"/>
  <c r="B3" i="27"/>
  <c r="A3" i="27"/>
  <c r="FW112" i="26"/>
  <c r="FO112" i="26"/>
  <c r="FG112" i="26"/>
  <c r="EY112" i="26"/>
  <c r="EQ112" i="26"/>
  <c r="EI112" i="26"/>
  <c r="EA112" i="26"/>
  <c r="DS112" i="26"/>
  <c r="DK112" i="26"/>
  <c r="DC112" i="26"/>
  <c r="CU112" i="26"/>
  <c r="CM112" i="26"/>
  <c r="CE112" i="26"/>
  <c r="BW112" i="26"/>
  <c r="BO112" i="26"/>
  <c r="BG112" i="26"/>
  <c r="AY112" i="26"/>
  <c r="AQ112" i="26"/>
  <c r="AI112" i="26"/>
  <c r="AA112" i="26"/>
  <c r="S112" i="26"/>
  <c r="K112" i="26"/>
  <c r="C112" i="26"/>
  <c r="AN108" i="26"/>
  <c r="AF108" i="26"/>
  <c r="X108" i="26"/>
  <c r="P108" i="26"/>
  <c r="GB107" i="26"/>
  <c r="FT107" i="26"/>
  <c r="FD107" i="26"/>
  <c r="EN107" i="26"/>
  <c r="GA106" i="26"/>
  <c r="FS106" i="26"/>
  <c r="FK106" i="26"/>
  <c r="FC106" i="26"/>
  <c r="EU106" i="26"/>
  <c r="EM106" i="26"/>
  <c r="AN106" i="26"/>
  <c r="AM106" i="26"/>
  <c r="AF106" i="26"/>
  <c r="AE106" i="26"/>
  <c r="X106" i="26"/>
  <c r="W106" i="26"/>
  <c r="P106" i="26"/>
  <c r="O106" i="26"/>
  <c r="H106" i="26"/>
  <c r="G106" i="26"/>
  <c r="GB105" i="26"/>
  <c r="GA105" i="26"/>
  <c r="FT105" i="26"/>
  <c r="FS105" i="26"/>
  <c r="FL105" i="26"/>
  <c r="FK105" i="26"/>
  <c r="FD105" i="26"/>
  <c r="FC105" i="26"/>
  <c r="EV105" i="26"/>
  <c r="EU105" i="26"/>
  <c r="EN105" i="26"/>
  <c r="EM105" i="26"/>
  <c r="AM105" i="26"/>
  <c r="AE105" i="26"/>
  <c r="W105" i="26"/>
  <c r="O105" i="26"/>
  <c r="G105" i="26"/>
  <c r="HP98" i="26"/>
  <c r="HP99" i="26"/>
  <c r="HP101" i="26"/>
  <c r="HO98" i="26"/>
  <c r="HO99" i="26"/>
  <c r="HO101" i="26"/>
  <c r="HH98" i="26"/>
  <c r="HH99" i="26"/>
  <c r="HH101" i="26"/>
  <c r="HG98" i="26"/>
  <c r="HG99" i="26"/>
  <c r="HG101" i="26"/>
  <c r="GZ98" i="26"/>
  <c r="GZ99" i="26"/>
  <c r="GZ101" i="26"/>
  <c r="GY98" i="26"/>
  <c r="GY99" i="26"/>
  <c r="GY101" i="26"/>
  <c r="GR98" i="26"/>
  <c r="GR99" i="26"/>
  <c r="GR101" i="26"/>
  <c r="GQ98" i="26"/>
  <c r="GQ99" i="26"/>
  <c r="GQ101" i="26"/>
  <c r="GJ98" i="26"/>
  <c r="GJ99" i="26"/>
  <c r="GJ101" i="26"/>
  <c r="GI98" i="26"/>
  <c r="GI99" i="26"/>
  <c r="GI101" i="26"/>
  <c r="GB104" i="26"/>
  <c r="GA104" i="26"/>
  <c r="FT104" i="26"/>
  <c r="FS104" i="26"/>
  <c r="FL104" i="26"/>
  <c r="FK104" i="26"/>
  <c r="FD104" i="26"/>
  <c r="FC104" i="26"/>
  <c r="EV104" i="26"/>
  <c r="EU104" i="26"/>
  <c r="EN104" i="26"/>
  <c r="EM104" i="26"/>
  <c r="AM104" i="26"/>
  <c r="AE104" i="26"/>
  <c r="W104" i="26"/>
  <c r="O104" i="26"/>
  <c r="G104" i="26"/>
  <c r="GB103" i="26"/>
  <c r="GA103" i="26"/>
  <c r="FT103" i="26"/>
  <c r="FS103" i="26"/>
  <c r="FL103" i="26"/>
  <c r="FK103" i="26"/>
  <c r="FD103" i="26"/>
  <c r="FC103" i="26"/>
  <c r="EV103" i="26"/>
  <c r="EU103" i="26"/>
  <c r="EN103" i="26"/>
  <c r="EM103" i="26"/>
  <c r="AN103" i="26"/>
  <c r="AM103" i="26"/>
  <c r="AF103" i="26"/>
  <c r="AE103" i="26"/>
  <c r="X103" i="26"/>
  <c r="W103" i="26"/>
  <c r="P103" i="26"/>
  <c r="O103" i="26"/>
  <c r="H103" i="26"/>
  <c r="G103" i="26"/>
  <c r="HO102" i="26"/>
  <c r="HG102" i="26"/>
  <c r="GY102" i="26"/>
  <c r="GQ102" i="26"/>
  <c r="GI102" i="26"/>
  <c r="GB102" i="26"/>
  <c r="GA102" i="26"/>
  <c r="FT102" i="26"/>
  <c r="FS102" i="26"/>
  <c r="FL102" i="26"/>
  <c r="FK102" i="26"/>
  <c r="FD102" i="26"/>
  <c r="FC102" i="26"/>
  <c r="EV102" i="26"/>
  <c r="EU102" i="26"/>
  <c r="EN102" i="26"/>
  <c r="EM102" i="26"/>
  <c r="AN102" i="26"/>
  <c r="AM102" i="26"/>
  <c r="AF102" i="26"/>
  <c r="AE102" i="26"/>
  <c r="X102" i="26"/>
  <c r="W102" i="26"/>
  <c r="P102" i="26"/>
  <c r="O102" i="26"/>
  <c r="H102" i="26"/>
  <c r="G102" i="26"/>
  <c r="GB101" i="26"/>
  <c r="GA101" i="26"/>
  <c r="FT101" i="26"/>
  <c r="FS101" i="26"/>
  <c r="FL101" i="26"/>
  <c r="FK101" i="26"/>
  <c r="FD101" i="26"/>
  <c r="FC101" i="26"/>
  <c r="EV101" i="26"/>
  <c r="EU101" i="26"/>
  <c r="EN101" i="26"/>
  <c r="EM101" i="26"/>
  <c r="AN101" i="26"/>
  <c r="AF101" i="26"/>
  <c r="X101" i="26"/>
  <c r="P101" i="26"/>
  <c r="GB100" i="26"/>
  <c r="GA100" i="26"/>
  <c r="FT100" i="26"/>
  <c r="FS100" i="26"/>
  <c r="FL100" i="26"/>
  <c r="FK100" i="26"/>
  <c r="FD100" i="26"/>
  <c r="FC100" i="26"/>
  <c r="EV100" i="26"/>
  <c r="EU100" i="26"/>
  <c r="EN100" i="26"/>
  <c r="EM100" i="26"/>
  <c r="GB99" i="26"/>
  <c r="FT99" i="26"/>
  <c r="FL99" i="26"/>
  <c r="FD99" i="26"/>
  <c r="EV99" i="26"/>
  <c r="EN99" i="26"/>
  <c r="AN99" i="26"/>
  <c r="AM99" i="26"/>
  <c r="AF99" i="26"/>
  <c r="AE99" i="26"/>
  <c r="X99" i="26"/>
  <c r="W99" i="26"/>
  <c r="P99" i="26"/>
  <c r="O99" i="26"/>
  <c r="H99" i="26"/>
  <c r="G99" i="26"/>
  <c r="GB98" i="26"/>
  <c r="FT98" i="26"/>
  <c r="FL98" i="26"/>
  <c r="FD98" i="26"/>
  <c r="EV98" i="26"/>
  <c r="EN98" i="26"/>
  <c r="GB97" i="26"/>
  <c r="GA97" i="26"/>
  <c r="FZ97" i="26"/>
  <c r="FY97" i="26"/>
  <c r="FT97" i="26"/>
  <c r="FS97" i="26"/>
  <c r="FR97" i="26"/>
  <c r="FQ97" i="26"/>
  <c r="FD97" i="26"/>
  <c r="FC97" i="26"/>
  <c r="EV97" i="26"/>
  <c r="EU97" i="26"/>
  <c r="ET97" i="26"/>
  <c r="ES97" i="26"/>
  <c r="EN97" i="26"/>
  <c r="EM97" i="26"/>
  <c r="EL97" i="26"/>
  <c r="EK97" i="26"/>
  <c r="GB96" i="26"/>
  <c r="GA96" i="26"/>
  <c r="FT96" i="26"/>
  <c r="FS96" i="26"/>
  <c r="FL96" i="26"/>
  <c r="FK96" i="26"/>
  <c r="FD96" i="26"/>
  <c r="FC96" i="26"/>
  <c r="EV96" i="26"/>
  <c r="EU96" i="26"/>
  <c r="EN96" i="26"/>
  <c r="EM96" i="26"/>
  <c r="AN96" i="26"/>
  <c r="AM96" i="26"/>
  <c r="AF96" i="26"/>
  <c r="AE96" i="26"/>
  <c r="X96" i="26"/>
  <c r="W96" i="26"/>
  <c r="P96" i="26"/>
  <c r="O96" i="26"/>
  <c r="H96" i="26"/>
  <c r="G96" i="26"/>
  <c r="GB95" i="26"/>
  <c r="GA95" i="26"/>
  <c r="FT95" i="26"/>
  <c r="FS95" i="26"/>
  <c r="FL95" i="26"/>
  <c r="FK95" i="26"/>
  <c r="FD95" i="26"/>
  <c r="FC95" i="26"/>
  <c r="EV95" i="26"/>
  <c r="EU95" i="26"/>
  <c r="EN95" i="26"/>
  <c r="EM95" i="26"/>
  <c r="AN95" i="26"/>
  <c r="AM95" i="26"/>
  <c r="AF95" i="26"/>
  <c r="AE95" i="26"/>
  <c r="X95" i="26"/>
  <c r="W95" i="26"/>
  <c r="P95" i="26"/>
  <c r="O95" i="26"/>
  <c r="H95" i="26"/>
  <c r="G95" i="26"/>
  <c r="GB94" i="26"/>
  <c r="GA94" i="26"/>
  <c r="FT94" i="26"/>
  <c r="FS94" i="26"/>
  <c r="FL94" i="26"/>
  <c r="FK94" i="26"/>
  <c r="FD94" i="26"/>
  <c r="FC94" i="26"/>
  <c r="EV94" i="26"/>
  <c r="EU94" i="26"/>
  <c r="EN94" i="26"/>
  <c r="EM94" i="26"/>
  <c r="GB93" i="26"/>
  <c r="GA93" i="26"/>
  <c r="FT93" i="26"/>
  <c r="FS93" i="26"/>
  <c r="FL93" i="26"/>
  <c r="FK93" i="26"/>
  <c r="FD93" i="26"/>
  <c r="FC93" i="26"/>
  <c r="EV93" i="26"/>
  <c r="EU93" i="26"/>
  <c r="EN93" i="26"/>
  <c r="EM93" i="26"/>
  <c r="AN93" i="26"/>
  <c r="AM93" i="26"/>
  <c r="AF93" i="26"/>
  <c r="AE93" i="26"/>
  <c r="X93" i="26"/>
  <c r="W93" i="26"/>
  <c r="P93" i="26"/>
  <c r="O93" i="26"/>
  <c r="H93" i="26"/>
  <c r="G93" i="26"/>
  <c r="GB92" i="26"/>
  <c r="GA92" i="26"/>
  <c r="FT92" i="26"/>
  <c r="FS92" i="26"/>
  <c r="FL92" i="26"/>
  <c r="FK92" i="26"/>
  <c r="FD92" i="26"/>
  <c r="FC92" i="26"/>
  <c r="EV92" i="26"/>
  <c r="EU92" i="26"/>
  <c r="EN92" i="26"/>
  <c r="EM92" i="26"/>
  <c r="GB91" i="26"/>
  <c r="GA91" i="26"/>
  <c r="FT91" i="26"/>
  <c r="FS91" i="26"/>
  <c r="FD91" i="26"/>
  <c r="FC91" i="26"/>
  <c r="EN91" i="26"/>
  <c r="EM91" i="26"/>
  <c r="AN91" i="26"/>
  <c r="AM91" i="26"/>
  <c r="AF91" i="26"/>
  <c r="AE91" i="26"/>
  <c r="X91" i="26"/>
  <c r="W91" i="26"/>
  <c r="P91" i="26"/>
  <c r="O91" i="26"/>
  <c r="H91" i="26"/>
  <c r="G91" i="26"/>
  <c r="AN90" i="26"/>
  <c r="AM90" i="26"/>
  <c r="AF90" i="26"/>
  <c r="AE90" i="26"/>
  <c r="X90" i="26"/>
  <c r="W90" i="26"/>
  <c r="P90" i="26"/>
  <c r="O90" i="26"/>
  <c r="H90" i="26"/>
  <c r="G90" i="26"/>
  <c r="AM89" i="26"/>
  <c r="AE89" i="26"/>
  <c r="W89" i="26"/>
  <c r="O89" i="26"/>
  <c r="G89" i="26"/>
  <c r="EA85" i="26"/>
  <c r="DS85" i="26"/>
  <c r="DK85" i="26"/>
  <c r="DC85" i="26"/>
  <c r="CU85" i="26"/>
  <c r="CM85" i="26"/>
  <c r="CE85" i="26"/>
  <c r="BW85" i="26"/>
  <c r="BO85" i="26"/>
  <c r="BG85" i="26"/>
  <c r="AY85" i="26"/>
  <c r="AQ85" i="26"/>
  <c r="AI84" i="26"/>
  <c r="AA84" i="26"/>
  <c r="S84" i="26"/>
  <c r="K84" i="26"/>
  <c r="C84" i="26"/>
  <c r="HO83" i="26"/>
  <c r="HK83" i="26"/>
  <c r="HG83" i="26"/>
  <c r="HC83" i="26"/>
  <c r="GY83" i="26"/>
  <c r="GU83" i="26"/>
  <c r="GQ83" i="26"/>
  <c r="GM83" i="26"/>
  <c r="GI83" i="26"/>
  <c r="GE83" i="26"/>
  <c r="AI83" i="26"/>
  <c r="AA83" i="26"/>
  <c r="S83" i="26"/>
  <c r="K83" i="26"/>
  <c r="C83" i="26"/>
  <c r="AI82" i="26"/>
  <c r="AA82" i="26"/>
  <c r="S82" i="26"/>
  <c r="K82" i="26"/>
  <c r="C82" i="26"/>
  <c r="HP80" i="26"/>
  <c r="HL80" i="26"/>
  <c r="HH80" i="26"/>
  <c r="HD80" i="26"/>
  <c r="GZ80" i="26"/>
  <c r="GV80" i="26"/>
  <c r="GR80" i="26"/>
  <c r="GN80" i="26"/>
  <c r="GJ80" i="26"/>
  <c r="GF80" i="26"/>
  <c r="HP79" i="26"/>
  <c r="HL79" i="26"/>
  <c r="HH79" i="26"/>
  <c r="HD79" i="26"/>
  <c r="GZ79" i="26"/>
  <c r="GV79" i="26"/>
  <c r="GR79" i="26"/>
  <c r="GN79" i="26"/>
  <c r="GJ79" i="26"/>
  <c r="GF79" i="26"/>
  <c r="HP78" i="26"/>
  <c r="HL78" i="26"/>
  <c r="HH78" i="26"/>
  <c r="HD78" i="26"/>
  <c r="GZ78" i="26"/>
  <c r="GV78" i="26"/>
  <c r="GR78" i="26"/>
  <c r="GN78" i="26"/>
  <c r="GJ78" i="26"/>
  <c r="GF78" i="26"/>
  <c r="FW78" i="26"/>
  <c r="FO78" i="26"/>
  <c r="FG78" i="26"/>
  <c r="EY78" i="26"/>
  <c r="EQ78" i="26"/>
  <c r="EI78" i="26"/>
  <c r="AI78" i="26"/>
  <c r="AA78" i="26"/>
  <c r="S78" i="26"/>
  <c r="K78" i="26"/>
  <c r="C78" i="26"/>
  <c r="HP77" i="26"/>
  <c r="HL77" i="26"/>
  <c r="HH77" i="26"/>
  <c r="HD77" i="26"/>
  <c r="GZ77" i="26"/>
  <c r="GV77" i="26"/>
  <c r="GR77" i="26"/>
  <c r="GN77" i="26"/>
  <c r="GJ77" i="26"/>
  <c r="GF77" i="26"/>
  <c r="DV76" i="26"/>
  <c r="DU76" i="26"/>
  <c r="DF76" i="26"/>
  <c r="DE76" i="26"/>
  <c r="CP76" i="26"/>
  <c r="CO76" i="26"/>
  <c r="BZ76" i="26"/>
  <c r="BY76" i="26"/>
  <c r="BJ76" i="26"/>
  <c r="BI76" i="26"/>
  <c r="AT76" i="26"/>
  <c r="AS76" i="26"/>
  <c r="DV75" i="26"/>
  <c r="DU75" i="26"/>
  <c r="DF75" i="26"/>
  <c r="DE75" i="26"/>
  <c r="CP75" i="26"/>
  <c r="CO75" i="26"/>
  <c r="BZ75" i="26"/>
  <c r="BY75" i="26"/>
  <c r="BJ75" i="26"/>
  <c r="BI75" i="26"/>
  <c r="AT75" i="26"/>
  <c r="AS75" i="26"/>
  <c r="AI75" i="26"/>
  <c r="AA75" i="26"/>
  <c r="S75" i="26"/>
  <c r="K75" i="26"/>
  <c r="C75" i="26"/>
  <c r="FF69" i="26"/>
  <c r="EX69" i="26"/>
  <c r="EP67" i="26"/>
  <c r="FV66" i="26"/>
  <c r="FN66" i="26"/>
  <c r="FF66" i="26"/>
  <c r="EX66" i="26"/>
  <c r="EP66" i="26"/>
  <c r="EH66" i="26"/>
  <c r="T66" i="26"/>
  <c r="FW51" i="26"/>
  <c r="FO51" i="26"/>
  <c r="EQ51" i="26"/>
  <c r="EI51" i="26"/>
  <c r="EA51" i="26"/>
  <c r="DS51" i="26"/>
  <c r="DK51" i="26"/>
  <c r="DC51" i="26"/>
  <c r="BO51" i="26"/>
  <c r="BG51" i="26"/>
  <c r="AY51" i="26"/>
  <c r="AQ51" i="26"/>
  <c r="AI51" i="26"/>
  <c r="AA51" i="26"/>
  <c r="K51" i="26"/>
  <c r="C51" i="26"/>
  <c r="AN47" i="26"/>
  <c r="AF47" i="26"/>
  <c r="P47" i="26"/>
  <c r="H47" i="26"/>
  <c r="GB46" i="26"/>
  <c r="FT46" i="26"/>
  <c r="EN46" i="26"/>
  <c r="GA45" i="26"/>
  <c r="FS45" i="26"/>
  <c r="EM45" i="26"/>
  <c r="AN45" i="26"/>
  <c r="AM45" i="26"/>
  <c r="AF45" i="26"/>
  <c r="AE45" i="26"/>
  <c r="P45" i="26"/>
  <c r="O45" i="26"/>
  <c r="H45" i="26"/>
  <c r="G45" i="26"/>
  <c r="GB44" i="26"/>
  <c r="GA44" i="26"/>
  <c r="FT44" i="26"/>
  <c r="FS44" i="26"/>
  <c r="EV44" i="26"/>
  <c r="EN44" i="26"/>
  <c r="EM44" i="26"/>
  <c r="AM44" i="26"/>
  <c r="AE44" i="26"/>
  <c r="O44" i="26"/>
  <c r="G44" i="26"/>
  <c r="HP37" i="26"/>
  <c r="HP38" i="26"/>
  <c r="HP40" i="26"/>
  <c r="HO37" i="26"/>
  <c r="HO38" i="26"/>
  <c r="HO40" i="26"/>
  <c r="HH37" i="26"/>
  <c r="HH38" i="26"/>
  <c r="HH40" i="26"/>
  <c r="HG37" i="26"/>
  <c r="HG38" i="26"/>
  <c r="HG40" i="26"/>
  <c r="GZ37" i="26"/>
  <c r="GZ38" i="26"/>
  <c r="GZ40" i="26"/>
  <c r="GY37" i="26"/>
  <c r="GY38" i="26"/>
  <c r="GY40" i="26"/>
  <c r="GR37" i="26"/>
  <c r="GR38" i="26"/>
  <c r="GR40" i="26"/>
  <c r="GQ37" i="26"/>
  <c r="GQ38" i="26"/>
  <c r="GQ40" i="26"/>
  <c r="GJ37" i="26"/>
  <c r="GJ38" i="26"/>
  <c r="GJ40" i="26"/>
  <c r="GI37" i="26"/>
  <c r="GI38" i="26"/>
  <c r="GI40" i="26"/>
  <c r="GB43" i="26"/>
  <c r="GA43" i="26"/>
  <c r="FT43" i="26"/>
  <c r="FS43" i="26"/>
  <c r="EV43" i="26"/>
  <c r="EN43" i="26"/>
  <c r="EM43" i="26"/>
  <c r="AM43" i="26"/>
  <c r="AE43" i="26"/>
  <c r="O43" i="26"/>
  <c r="G43" i="26"/>
  <c r="GB42" i="26"/>
  <c r="GA42" i="26"/>
  <c r="FT42" i="26"/>
  <c r="FS42" i="26"/>
  <c r="EV42" i="26"/>
  <c r="EN42" i="26"/>
  <c r="EM42" i="26"/>
  <c r="AN42" i="26"/>
  <c r="AM42" i="26"/>
  <c r="AF42" i="26"/>
  <c r="AE42" i="26"/>
  <c r="P42" i="26"/>
  <c r="O42" i="26"/>
  <c r="H42" i="26"/>
  <c r="G42" i="26"/>
  <c r="HO41" i="26"/>
  <c r="HG41" i="26"/>
  <c r="GY41" i="26"/>
  <c r="GQ41" i="26"/>
  <c r="GI41" i="26"/>
  <c r="GB41" i="26"/>
  <c r="GA41" i="26"/>
  <c r="FT41" i="26"/>
  <c r="FS41" i="26"/>
  <c r="EV41" i="26"/>
  <c r="EN41" i="26"/>
  <c r="EM41" i="26"/>
  <c r="AN41" i="26"/>
  <c r="AM41" i="26"/>
  <c r="AF41" i="26"/>
  <c r="AE41" i="26"/>
  <c r="P41" i="26"/>
  <c r="O41" i="26"/>
  <c r="H41" i="26"/>
  <c r="G41" i="26"/>
  <c r="GB40" i="26"/>
  <c r="GA40" i="26"/>
  <c r="FT40" i="26"/>
  <c r="FS40" i="26"/>
  <c r="EV40" i="26"/>
  <c r="EN40" i="26"/>
  <c r="EM40" i="26"/>
  <c r="AN40" i="26"/>
  <c r="AF40" i="26"/>
  <c r="P40" i="26"/>
  <c r="H40" i="26"/>
  <c r="GB39" i="26"/>
  <c r="GA39" i="26"/>
  <c r="FT39" i="26"/>
  <c r="FS39" i="26"/>
  <c r="EV39" i="26"/>
  <c r="EN39" i="26"/>
  <c r="EM39" i="26"/>
  <c r="GB38" i="26"/>
  <c r="FT38" i="26"/>
  <c r="EV38" i="26"/>
  <c r="EN38" i="26"/>
  <c r="AN38" i="26"/>
  <c r="AM38" i="26"/>
  <c r="AF38" i="26"/>
  <c r="AE38" i="26"/>
  <c r="P38" i="26"/>
  <c r="O38" i="26"/>
  <c r="H38" i="26"/>
  <c r="G38" i="26"/>
  <c r="GB37" i="26"/>
  <c r="FT37" i="26"/>
  <c r="EV37" i="26"/>
  <c r="EN37" i="26"/>
  <c r="GB36" i="26"/>
  <c r="GA36" i="26"/>
  <c r="FZ36" i="26"/>
  <c r="FY36" i="26"/>
  <c r="FT36" i="26"/>
  <c r="FS36" i="26"/>
  <c r="FR36" i="26"/>
  <c r="FQ36" i="26"/>
  <c r="EV36" i="26"/>
  <c r="ET36" i="26"/>
  <c r="ES36" i="26"/>
  <c r="EN36" i="26"/>
  <c r="EM36" i="26"/>
  <c r="EL36" i="26"/>
  <c r="EK36" i="26"/>
  <c r="GB35" i="26"/>
  <c r="GA35" i="26"/>
  <c r="FT35" i="26"/>
  <c r="FS35" i="26"/>
  <c r="EV35" i="26"/>
  <c r="EN35" i="26"/>
  <c r="EM35" i="26"/>
  <c r="AN35" i="26"/>
  <c r="AM35" i="26"/>
  <c r="AF35" i="26"/>
  <c r="AE35" i="26"/>
  <c r="P35" i="26"/>
  <c r="O35" i="26"/>
  <c r="H35" i="26"/>
  <c r="G35" i="26"/>
  <c r="GB34" i="26"/>
  <c r="GA34" i="26"/>
  <c r="FT34" i="26"/>
  <c r="FS34" i="26"/>
  <c r="EV34" i="26"/>
  <c r="EN34" i="26"/>
  <c r="EM34" i="26"/>
  <c r="AN34" i="26"/>
  <c r="AM34" i="26"/>
  <c r="AF34" i="26"/>
  <c r="AE34" i="26"/>
  <c r="P34" i="26"/>
  <c r="O34" i="26"/>
  <c r="H34" i="26"/>
  <c r="G34" i="26"/>
  <c r="GB33" i="26"/>
  <c r="GA33" i="26"/>
  <c r="FT33" i="26"/>
  <c r="FS33" i="26"/>
  <c r="EV33" i="26"/>
  <c r="EN33" i="26"/>
  <c r="EM33" i="26"/>
  <c r="GB32" i="26"/>
  <c r="GA32" i="26"/>
  <c r="FT32" i="26"/>
  <c r="FS32" i="26"/>
  <c r="EV32" i="26"/>
  <c r="EN32" i="26"/>
  <c r="EM32" i="26"/>
  <c r="AN32" i="26"/>
  <c r="AM32" i="26"/>
  <c r="AF32" i="26"/>
  <c r="AE32" i="26"/>
  <c r="P32" i="26"/>
  <c r="O32" i="26"/>
  <c r="H32" i="26"/>
  <c r="G32" i="26"/>
  <c r="GB31" i="26"/>
  <c r="GA31" i="26"/>
  <c r="FT31" i="26"/>
  <c r="FS31" i="26"/>
  <c r="EV31" i="26"/>
  <c r="EN31" i="26"/>
  <c r="EM31" i="26"/>
  <c r="GB30" i="26"/>
  <c r="GA30" i="26"/>
  <c r="FT30" i="26"/>
  <c r="FS30" i="26"/>
  <c r="EN30" i="26"/>
  <c r="EM30" i="26"/>
  <c r="AN30" i="26"/>
  <c r="AM30" i="26"/>
  <c r="AF30" i="26"/>
  <c r="AE30" i="26"/>
  <c r="P30" i="26"/>
  <c r="O30" i="26"/>
  <c r="H30" i="26"/>
  <c r="G30" i="26"/>
  <c r="AN29" i="26"/>
  <c r="AM29" i="26"/>
  <c r="AF29" i="26"/>
  <c r="AE29" i="26"/>
  <c r="P29" i="26"/>
  <c r="O29" i="26"/>
  <c r="H29" i="26"/>
  <c r="G29" i="26"/>
  <c r="AM28" i="26"/>
  <c r="AE28" i="26"/>
  <c r="O28" i="26"/>
  <c r="G28" i="26"/>
  <c r="EA24" i="26"/>
  <c r="DS24" i="26"/>
  <c r="DK24" i="26"/>
  <c r="DC24" i="26"/>
  <c r="BO24" i="26"/>
  <c r="BG24" i="26"/>
  <c r="AY24" i="26"/>
  <c r="AQ24" i="26"/>
  <c r="AI23" i="26"/>
  <c r="AA23" i="26"/>
  <c r="K23" i="26"/>
  <c r="C23" i="26"/>
  <c r="HO22" i="26"/>
  <c r="HK22" i="26"/>
  <c r="HG22" i="26"/>
  <c r="HC22" i="26"/>
  <c r="GY22" i="26"/>
  <c r="GU22" i="26"/>
  <c r="GQ22" i="26"/>
  <c r="GM22" i="26"/>
  <c r="GI22" i="26"/>
  <c r="GE22" i="26"/>
  <c r="AI22" i="26"/>
  <c r="AA22" i="26"/>
  <c r="K22" i="26"/>
  <c r="C22" i="26"/>
  <c r="AI21" i="26"/>
  <c r="AA21" i="26"/>
  <c r="K21" i="26"/>
  <c r="C21" i="26"/>
  <c r="HP19" i="26"/>
  <c r="HL19" i="26"/>
  <c r="HH19" i="26"/>
  <c r="HD19" i="26"/>
  <c r="GZ19" i="26"/>
  <c r="GV19" i="26"/>
  <c r="GR19" i="26"/>
  <c r="GN19" i="26"/>
  <c r="GJ19" i="26"/>
  <c r="GF19" i="26"/>
  <c r="HP18" i="26"/>
  <c r="HL18" i="26"/>
  <c r="HH18" i="26"/>
  <c r="HD18" i="26"/>
  <c r="GZ18" i="26"/>
  <c r="GV18" i="26"/>
  <c r="GR18" i="26"/>
  <c r="GN18" i="26"/>
  <c r="GJ18" i="26"/>
  <c r="GF18" i="26"/>
  <c r="HP17" i="26"/>
  <c r="HL17" i="26"/>
  <c r="HH17" i="26"/>
  <c r="HD17" i="26"/>
  <c r="GZ17" i="26"/>
  <c r="GV17" i="26"/>
  <c r="GR17" i="26"/>
  <c r="GN17" i="26"/>
  <c r="GJ17" i="26"/>
  <c r="GF17" i="26"/>
  <c r="FW17" i="26"/>
  <c r="FO17" i="26"/>
  <c r="EQ17" i="26"/>
  <c r="EI17" i="26"/>
  <c r="AI17" i="26"/>
  <c r="AA17" i="26"/>
  <c r="K17" i="26"/>
  <c r="C17" i="26"/>
  <c r="HP16" i="26"/>
  <c r="HL16" i="26"/>
  <c r="HH16" i="26"/>
  <c r="HD16" i="26"/>
  <c r="GZ16" i="26"/>
  <c r="GV16" i="26"/>
  <c r="GR16" i="26"/>
  <c r="GN16" i="26"/>
  <c r="GJ16" i="26"/>
  <c r="GF16" i="26"/>
  <c r="DV15" i="26"/>
  <c r="DU15" i="26"/>
  <c r="DF15" i="26"/>
  <c r="DE15" i="26"/>
  <c r="BJ15" i="26"/>
  <c r="BI15" i="26"/>
  <c r="AT15" i="26"/>
  <c r="AS15" i="26"/>
  <c r="DV14" i="26"/>
  <c r="DU14" i="26"/>
  <c r="DF14" i="26"/>
  <c r="DE14" i="26"/>
  <c r="BJ14" i="26"/>
  <c r="BI14" i="26"/>
  <c r="AT14" i="26"/>
  <c r="AS14" i="26"/>
  <c r="AI14" i="26"/>
  <c r="AA14" i="26"/>
  <c r="K14" i="26"/>
  <c r="C14" i="26"/>
  <c r="EP6" i="26"/>
  <c r="FV5" i="26"/>
  <c r="FN5" i="26"/>
  <c r="EP5" i="26"/>
  <c r="EH5" i="26"/>
  <c r="GI24" i="26"/>
  <c r="GE31" i="26"/>
  <c r="GQ24" i="26"/>
  <c r="GM31" i="26"/>
  <c r="GY24" i="26"/>
  <c r="GU31" i="26"/>
  <c r="HG24" i="26"/>
  <c r="HC31" i="26"/>
  <c r="HO24" i="26"/>
  <c r="HK31" i="26"/>
  <c r="GI25" i="26"/>
  <c r="GE32" i="26"/>
  <c r="GI26" i="26"/>
  <c r="GE33" i="26"/>
  <c r="GE51" i="26"/>
  <c r="GQ25" i="26"/>
  <c r="GM32" i="26"/>
  <c r="GQ26" i="26"/>
  <c r="GM33" i="26"/>
  <c r="GM51" i="26"/>
  <c r="GY25" i="26"/>
  <c r="GU32" i="26"/>
  <c r="GY26" i="26"/>
  <c r="GU33" i="26"/>
  <c r="GU51" i="26"/>
  <c r="HG25" i="26"/>
  <c r="HC32" i="26"/>
  <c r="HG26" i="26"/>
  <c r="HC33" i="26"/>
  <c r="HC51" i="26"/>
  <c r="HO25" i="26"/>
  <c r="HK32" i="26"/>
  <c r="HO26" i="26"/>
  <c r="HK33" i="26"/>
  <c r="HK51" i="26"/>
  <c r="GI85" i="26"/>
  <c r="GE92" i="26"/>
  <c r="GQ85" i="26"/>
  <c r="GM92" i="26"/>
  <c r="GY85" i="26"/>
  <c r="GU92" i="26"/>
  <c r="HG85" i="26"/>
  <c r="HC92" i="26"/>
  <c r="HO85" i="26"/>
  <c r="HK92" i="26"/>
  <c r="GI86" i="26"/>
  <c r="GE93" i="26"/>
  <c r="GI87" i="26"/>
  <c r="GE94" i="26"/>
  <c r="GE112" i="26"/>
  <c r="GQ86" i="26"/>
  <c r="GM93" i="26"/>
  <c r="GQ87" i="26"/>
  <c r="GM94" i="26"/>
  <c r="GM112" i="26"/>
  <c r="GY86" i="26"/>
  <c r="GU93" i="26"/>
  <c r="GY87" i="26"/>
  <c r="GU94" i="26"/>
  <c r="GU112" i="26"/>
  <c r="HG86" i="26"/>
  <c r="HC93" i="26"/>
  <c r="HG87" i="26"/>
  <c r="HC94" i="26"/>
  <c r="HC112" i="26"/>
  <c r="HO86" i="26"/>
  <c r="HK93" i="26"/>
  <c r="HO87" i="26"/>
  <c r="HK94" i="26"/>
  <c r="HK112" i="26"/>
  <c r="D73" i="27"/>
  <c r="E73" i="27"/>
  <c r="BC24" i="2"/>
  <c r="AY31" i="2"/>
  <c r="BC25" i="2"/>
  <c r="AY32" i="2"/>
  <c r="BC52" i="2"/>
  <c r="BC26" i="2"/>
  <c r="AY33" i="2"/>
  <c r="BC53" i="2"/>
  <c r="BC51" i="2"/>
  <c r="BC28" i="2"/>
  <c r="BC54" i="2"/>
  <c r="BC29" i="2"/>
  <c r="BC55" i="2"/>
  <c r="AY52" i="2"/>
  <c r="AY53" i="2"/>
  <c r="AY51" i="2"/>
</calcChain>
</file>

<file path=xl/comments1.xml><?xml version="1.0" encoding="utf-8"?>
<comments xmlns="http://schemas.openxmlformats.org/spreadsheetml/2006/main">
  <authors>
    <author>Becca Wagner</author>
  </authors>
  <commentList>
    <comment ref="EU30" authorId="0" shapeId="0">
      <text>
        <r>
          <rPr>
            <b/>
            <sz val="9"/>
            <color indexed="81"/>
            <rFont val="Tahoma"/>
            <charset val="1"/>
          </rPr>
          <t>Becca Wagner:</t>
        </r>
        <r>
          <rPr>
            <sz val="9"/>
            <color indexed="81"/>
            <rFont val="Tahoma"/>
            <charset val="1"/>
          </rPr>
          <t xml:space="preserve">
If the ewuation is used, the, the SPF shows an expected crash frequency of ~300/year. My assumption is that this is inaccurate. The CMF was not used in the Build scenario either, to keep consistent.  This would be documented in the IJR.</t>
        </r>
      </text>
    </comment>
  </commentList>
</comments>
</file>

<file path=xl/sharedStrings.xml><?xml version="1.0" encoding="utf-8"?>
<sst xmlns="http://schemas.openxmlformats.org/spreadsheetml/2006/main" count="3552" uniqueCount="429">
  <si>
    <t>Equation</t>
  </si>
  <si>
    <t>Multiple Vehicle FI</t>
  </si>
  <si>
    <t>Multiple Vehicle PDO</t>
  </si>
  <si>
    <t>Single Vehicle Total</t>
  </si>
  <si>
    <t>Single Vehicle FI</t>
  </si>
  <si>
    <t>Single Vehicle PDO</t>
  </si>
  <si>
    <t>b</t>
  </si>
  <si>
    <t>a</t>
  </si>
  <si>
    <t>c</t>
  </si>
  <si>
    <t>Intersection Type</t>
  </si>
  <si>
    <t>Intersection Type Drop Down</t>
  </si>
  <si>
    <t>Intercept Look Up</t>
  </si>
  <si>
    <t>Multiple (a)</t>
  </si>
  <si>
    <t>Multiple (b)</t>
  </si>
  <si>
    <t>Multiple (c)</t>
  </si>
  <si>
    <t>Single (a)</t>
  </si>
  <si>
    <t>Single (b)</t>
  </si>
  <si>
    <t>Single (c)</t>
  </si>
  <si>
    <t>Total</t>
  </si>
  <si>
    <t>FI</t>
  </si>
  <si>
    <t>PDO</t>
  </si>
  <si>
    <t>Multiple Vehicle Total</t>
  </si>
  <si>
    <t>1 (3-Leg, Unsignalized)</t>
  </si>
  <si>
    <t>2 (3-Leg Signalized)</t>
  </si>
  <si>
    <t>3 (4-Leg Unsignalized)</t>
  </si>
  <si>
    <t>4 (4-Leg Signalized)</t>
  </si>
  <si>
    <r>
      <t>f</t>
    </r>
    <r>
      <rPr>
        <sz val="8"/>
        <color theme="1"/>
        <rFont val="Calibri"/>
        <family val="2"/>
        <scheme val="minor"/>
      </rPr>
      <t>bisv</t>
    </r>
  </si>
  <si>
    <t>Ramp Segment</t>
  </si>
  <si>
    <r>
      <t>N=exp(a+b*ln(AADT</t>
    </r>
    <r>
      <rPr>
        <sz val="9"/>
        <color theme="1"/>
        <rFont val="Calibri"/>
        <family val="2"/>
        <scheme val="minor"/>
      </rPr>
      <t>maj</t>
    </r>
    <r>
      <rPr>
        <sz val="11"/>
        <color theme="1"/>
        <rFont val="Calibri"/>
        <family val="2"/>
        <scheme val="minor"/>
      </rPr>
      <t>)+c*ln(AADT</t>
    </r>
    <r>
      <rPr>
        <sz val="9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>)</t>
    </r>
  </si>
  <si>
    <r>
      <t>AADT</t>
    </r>
    <r>
      <rPr>
        <b/>
        <sz val="9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=</t>
    </r>
  </si>
  <si>
    <t>Ramp Type</t>
  </si>
  <si>
    <t>3 (2-Lane Entrance)</t>
  </si>
  <si>
    <t>Multiple (d)</t>
  </si>
  <si>
    <t>Single (d)</t>
  </si>
  <si>
    <t>Ramp Look Up</t>
  </si>
  <si>
    <t>Ramp Drop Down</t>
  </si>
  <si>
    <r>
      <t>AADT</t>
    </r>
    <r>
      <rPr>
        <b/>
        <sz val="9"/>
        <color theme="1"/>
        <rFont val="Calibri"/>
        <family val="2"/>
        <scheme val="minor"/>
      </rPr>
      <t>maj</t>
    </r>
    <r>
      <rPr>
        <b/>
        <sz val="11"/>
        <color theme="1"/>
        <rFont val="Calibri"/>
        <family val="2"/>
        <scheme val="minor"/>
      </rPr>
      <t>=</t>
    </r>
  </si>
  <si>
    <r>
      <t>AADT</t>
    </r>
    <r>
      <rPr>
        <b/>
        <sz val="9"/>
        <color theme="1"/>
        <rFont val="Calibri"/>
        <family val="2"/>
        <scheme val="minor"/>
      </rPr>
      <t>min</t>
    </r>
    <r>
      <rPr>
        <b/>
        <sz val="11"/>
        <color theme="1"/>
        <rFont val="Calibri"/>
        <family val="2"/>
        <scheme val="minor"/>
      </rPr>
      <t>=</t>
    </r>
  </si>
  <si>
    <t>d</t>
  </si>
  <si>
    <r>
      <t>L</t>
    </r>
    <r>
      <rPr>
        <sz val="9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=</t>
    </r>
  </si>
  <si>
    <r>
      <t>N=L</t>
    </r>
    <r>
      <rPr>
        <sz val="8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*exp(a+b*ln(c*AADT</t>
    </r>
    <r>
      <rPr>
        <sz val="9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)+d(c*AADT</t>
    </r>
    <r>
      <rPr>
        <sz val="9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))</t>
    </r>
  </si>
  <si>
    <t>TABLE 12-10</t>
  </si>
  <si>
    <t>TABLE 12-12</t>
  </si>
  <si>
    <t>TABLE 19-5</t>
  </si>
  <si>
    <t>TABLE 19-8</t>
  </si>
  <si>
    <t>Crash Modification Factor</t>
  </si>
  <si>
    <r>
      <t>N=L</t>
    </r>
    <r>
      <rPr>
        <sz val="9"/>
        <color theme="1"/>
        <rFont val="Calibri"/>
        <family val="2"/>
        <scheme val="minor"/>
      </rPr>
      <t>en</t>
    </r>
    <r>
      <rPr>
        <sz val="11"/>
        <color theme="1"/>
        <rFont val="Calibri"/>
        <family val="2"/>
        <scheme val="minor"/>
      </rPr>
      <t>*exp(a+b*ln(c*AADT</t>
    </r>
    <r>
      <rPr>
        <sz val="9"/>
        <color theme="1"/>
        <rFont val="Calibri"/>
        <family val="2"/>
        <scheme val="minor"/>
      </rPr>
      <t>fs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</si>
  <si>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b/>
        <sz val="9"/>
        <color theme="1"/>
        <rFont val="Calibri"/>
        <family val="2"/>
        <scheme val="minor"/>
      </rPr>
      <t>en</t>
    </r>
    <r>
      <rPr>
        <sz val="11"/>
        <color theme="1"/>
        <rFont val="Calibri"/>
        <family val="2"/>
        <scheme val="minor"/>
      </rPr>
      <t>=</t>
    </r>
  </si>
  <si>
    <r>
      <t>AADT</t>
    </r>
    <r>
      <rPr>
        <b/>
        <sz val="9"/>
        <color theme="1"/>
        <rFont val="Calibri"/>
        <family val="2"/>
        <scheme val="minor"/>
      </rPr>
      <t>fs</t>
    </r>
    <r>
      <rPr>
        <b/>
        <sz val="11"/>
        <color theme="1"/>
        <rFont val="Calibri"/>
        <family val="2"/>
        <scheme val="minor"/>
      </rPr>
      <t>=</t>
    </r>
  </si>
  <si>
    <t>Speed Change Lane</t>
  </si>
  <si>
    <t>Speed Change Drop Down</t>
  </si>
  <si>
    <t>Speed Change Look Up</t>
  </si>
  <si>
    <t>(b)</t>
  </si>
  <si>
    <t>(c)</t>
  </si>
  <si>
    <t>(a)</t>
  </si>
  <si>
    <t>TABLE 18-9 &amp; 18-11</t>
  </si>
  <si>
    <t>EQN 18-20 &amp; 18-22</t>
  </si>
  <si>
    <t>EQN 19-20 &amp; 19-24</t>
  </si>
  <si>
    <t>EQN 12-21 &amp; 12-24</t>
  </si>
  <si>
    <t>1 (Merge, 4 Through Lanes)</t>
  </si>
  <si>
    <t>2 (Merge, 6 Through Lanes)</t>
  </si>
  <si>
    <t>3 (Diverge, 4 Through Lanes)</t>
  </si>
  <si>
    <r>
      <t>L</t>
    </r>
    <r>
      <rPr>
        <b/>
        <sz val="9"/>
        <color theme="1"/>
        <rFont val="Calibri"/>
        <family val="2"/>
        <scheme val="minor"/>
      </rPr>
      <t>fs</t>
    </r>
    <r>
      <rPr>
        <sz val="11"/>
        <color theme="1"/>
        <rFont val="Calibri"/>
        <family val="2"/>
        <scheme val="minor"/>
      </rPr>
      <t>=</t>
    </r>
  </si>
  <si>
    <t>Number of Through Lanes</t>
  </si>
  <si>
    <r>
      <t>N=L</t>
    </r>
    <r>
      <rPr>
        <sz val="9"/>
        <color theme="1"/>
        <rFont val="Calibri"/>
        <family val="2"/>
        <scheme val="minor"/>
      </rPr>
      <t>fs</t>
    </r>
    <r>
      <rPr>
        <sz val="11"/>
        <color theme="1"/>
        <rFont val="Calibri"/>
        <family val="2"/>
        <scheme val="minor"/>
      </rPr>
      <t>*exp(a+b*ln(c*AADT</t>
    </r>
    <r>
      <rPr>
        <sz val="9"/>
        <color theme="1"/>
        <rFont val="Calibri"/>
        <family val="2"/>
        <scheme val="minor"/>
      </rPr>
      <t>fs</t>
    </r>
    <r>
      <rPr>
        <sz val="11"/>
        <color theme="1"/>
        <rFont val="Calibri"/>
        <family val="2"/>
        <scheme val="minor"/>
      </rPr>
      <t>))</t>
    </r>
  </si>
  <si>
    <r>
      <t>CMF=(0.5*f</t>
    </r>
    <r>
      <rPr>
        <sz val="8"/>
        <color theme="1"/>
        <rFont val="Calibri"/>
        <family val="2"/>
        <scheme val="minor"/>
      </rPr>
      <t>wev,inc</t>
    </r>
    <r>
      <rPr>
        <sz val="11"/>
        <color theme="1"/>
        <rFont val="Calibri"/>
        <family val="2"/>
        <scheme val="minor"/>
      </rPr>
      <t>*f</t>
    </r>
    <r>
      <rPr>
        <sz val="8"/>
        <color theme="1"/>
        <rFont val="Calibri"/>
        <family val="2"/>
        <scheme val="minor"/>
      </rPr>
      <t>lc,inc</t>
    </r>
    <r>
      <rPr>
        <sz val="11"/>
        <color theme="1"/>
        <rFont val="Calibri"/>
        <family val="2"/>
        <scheme val="minor"/>
      </rPr>
      <t>)+(0.5*f</t>
    </r>
    <r>
      <rPr>
        <sz val="8"/>
        <color theme="1"/>
        <rFont val="Calibri"/>
        <family val="2"/>
        <scheme val="minor"/>
      </rPr>
      <t>wev,dec</t>
    </r>
    <r>
      <rPr>
        <sz val="11"/>
        <color theme="1"/>
        <rFont val="Calibri"/>
        <family val="2"/>
        <scheme val="minor"/>
      </rPr>
      <t>*f</t>
    </r>
    <r>
      <rPr>
        <sz val="8"/>
        <color theme="1"/>
        <rFont val="Calibri"/>
        <family val="2"/>
        <scheme val="minor"/>
      </rPr>
      <t>lc,dec</t>
    </r>
    <r>
      <rPr>
        <sz val="11"/>
        <color theme="1"/>
        <rFont val="Calibri"/>
        <family val="2"/>
        <scheme val="minor"/>
      </rPr>
      <t>)</t>
    </r>
  </si>
  <si>
    <t>EQN 18-30</t>
  </si>
  <si>
    <r>
      <t>P</t>
    </r>
    <r>
      <rPr>
        <b/>
        <sz val="8"/>
        <color theme="1"/>
        <rFont val="Calibri"/>
        <family val="2"/>
        <scheme val="minor"/>
      </rPr>
      <t>wev,inc</t>
    </r>
  </si>
  <si>
    <r>
      <t>L</t>
    </r>
    <r>
      <rPr>
        <b/>
        <sz val="8"/>
        <color theme="1"/>
        <rFont val="Calibri"/>
        <family val="2"/>
        <scheme val="minor"/>
      </rPr>
      <t>wev,inc</t>
    </r>
  </si>
  <si>
    <r>
      <t>X</t>
    </r>
    <r>
      <rPr>
        <b/>
        <sz val="8"/>
        <color theme="1"/>
        <rFont val="Calibri"/>
        <family val="2"/>
        <scheme val="minor"/>
      </rPr>
      <t>b,ent</t>
    </r>
  </si>
  <si>
    <r>
      <t>X</t>
    </r>
    <r>
      <rPr>
        <b/>
        <sz val="8"/>
        <color theme="1"/>
        <rFont val="Calibri"/>
        <family val="2"/>
        <scheme val="minor"/>
      </rPr>
      <t>e,ent</t>
    </r>
  </si>
  <si>
    <r>
      <t>P</t>
    </r>
    <r>
      <rPr>
        <b/>
        <sz val="8"/>
        <color theme="1"/>
        <rFont val="Calibri"/>
        <family val="2"/>
        <scheme val="minor"/>
      </rPr>
      <t>wev,dec</t>
    </r>
  </si>
  <si>
    <r>
      <t>L</t>
    </r>
    <r>
      <rPr>
        <b/>
        <sz val="8"/>
        <color theme="1"/>
        <rFont val="Calibri"/>
        <family val="2"/>
        <scheme val="minor"/>
      </rPr>
      <t>wev,dec</t>
    </r>
  </si>
  <si>
    <r>
      <t>X</t>
    </r>
    <r>
      <rPr>
        <b/>
        <sz val="8"/>
        <color theme="1"/>
        <rFont val="Calibri"/>
        <family val="2"/>
        <scheme val="minor"/>
      </rPr>
      <t>b,ext</t>
    </r>
  </si>
  <si>
    <r>
      <t>X</t>
    </r>
    <r>
      <rPr>
        <b/>
        <sz val="8"/>
        <color theme="1"/>
        <rFont val="Calibri"/>
        <family val="2"/>
        <scheme val="minor"/>
      </rPr>
      <t>e,ext</t>
    </r>
  </si>
  <si>
    <r>
      <t>AADT</t>
    </r>
    <r>
      <rPr>
        <b/>
        <sz val="8"/>
        <color theme="1"/>
        <rFont val="Calibri"/>
        <family val="2"/>
        <scheme val="minor"/>
      </rPr>
      <t>b, ent</t>
    </r>
  </si>
  <si>
    <r>
      <t>AADT</t>
    </r>
    <r>
      <rPr>
        <b/>
        <sz val="8"/>
        <color theme="1"/>
        <rFont val="Calibri"/>
        <family val="2"/>
        <scheme val="minor"/>
      </rPr>
      <t>b,ext</t>
    </r>
  </si>
  <si>
    <r>
      <t>AADT</t>
    </r>
    <r>
      <rPr>
        <b/>
        <sz val="8"/>
        <color theme="1"/>
        <rFont val="Calibri"/>
        <family val="2"/>
        <scheme val="minor"/>
      </rPr>
      <t>e,ent</t>
    </r>
  </si>
  <si>
    <r>
      <t>AADT</t>
    </r>
    <r>
      <rPr>
        <b/>
        <sz val="8"/>
        <color theme="1"/>
        <rFont val="Calibri"/>
        <family val="2"/>
        <scheme val="minor"/>
      </rPr>
      <t>e,ext</t>
    </r>
  </si>
  <si>
    <r>
      <t>L</t>
    </r>
    <r>
      <rPr>
        <b/>
        <sz val="8"/>
        <color theme="1"/>
        <rFont val="Calibri"/>
        <family val="2"/>
        <scheme val="minor"/>
      </rPr>
      <t>fs</t>
    </r>
  </si>
  <si>
    <r>
      <t>f</t>
    </r>
    <r>
      <rPr>
        <sz val="8"/>
        <color theme="1"/>
        <rFont val="Calibri"/>
        <family val="2"/>
        <scheme val="minor"/>
      </rPr>
      <t>wev,inc</t>
    </r>
    <r>
      <rPr>
        <sz val="11"/>
        <color theme="1"/>
        <rFont val="Calibri"/>
        <family val="2"/>
        <scheme val="minor"/>
      </rPr>
      <t>=</t>
    </r>
  </si>
  <si>
    <r>
      <t>(1.0-P</t>
    </r>
    <r>
      <rPr>
        <sz val="8"/>
        <color theme="1"/>
        <rFont val="Calibri"/>
        <family val="2"/>
        <scheme val="minor"/>
      </rPr>
      <t>wev,inc</t>
    </r>
    <r>
      <rPr>
        <sz val="11"/>
        <color theme="1"/>
        <rFont val="Calibri"/>
        <family val="2"/>
        <scheme val="minor"/>
      </rPr>
      <t>)+P</t>
    </r>
    <r>
      <rPr>
        <sz val="8"/>
        <color theme="1"/>
        <rFont val="Calibri"/>
        <family val="2"/>
        <scheme val="minor"/>
      </rPr>
      <t>wev,inc</t>
    </r>
    <r>
      <rPr>
        <sz val="11"/>
        <color theme="1"/>
        <rFont val="Calibri"/>
        <family val="2"/>
        <scheme val="minor"/>
      </rPr>
      <t>*exp(a/L</t>
    </r>
    <r>
      <rPr>
        <sz val="8"/>
        <color theme="1"/>
        <rFont val="Calibri"/>
        <family val="2"/>
        <scheme val="minor"/>
      </rPr>
      <t>wev,inc</t>
    </r>
    <r>
      <rPr>
        <sz val="11"/>
        <color theme="1"/>
        <rFont val="Calibri"/>
        <family val="2"/>
        <scheme val="minor"/>
      </rPr>
      <t>)</t>
    </r>
  </si>
  <si>
    <r>
      <t>f</t>
    </r>
    <r>
      <rPr>
        <sz val="8"/>
        <color theme="1"/>
        <rFont val="Calibri"/>
        <family val="2"/>
        <scheme val="minor"/>
      </rPr>
      <t>wev,dec</t>
    </r>
    <r>
      <rPr>
        <sz val="11"/>
        <color theme="1"/>
        <rFont val="Calibri"/>
        <family val="2"/>
        <scheme val="minor"/>
      </rPr>
      <t>=</t>
    </r>
  </si>
  <si>
    <r>
      <t>(1.0-P</t>
    </r>
    <r>
      <rPr>
        <sz val="8"/>
        <color theme="1"/>
        <rFont val="Calibri"/>
        <family val="2"/>
        <scheme val="minor"/>
      </rPr>
      <t>wev,dec</t>
    </r>
    <r>
      <rPr>
        <sz val="11"/>
        <color theme="1"/>
        <rFont val="Calibri"/>
        <family val="2"/>
        <scheme val="minor"/>
      </rPr>
      <t>)+P</t>
    </r>
    <r>
      <rPr>
        <sz val="8"/>
        <color theme="1"/>
        <rFont val="Calibri"/>
        <family val="2"/>
        <scheme val="minor"/>
      </rPr>
      <t>wev,dec</t>
    </r>
    <r>
      <rPr>
        <sz val="11"/>
        <color theme="1"/>
        <rFont val="Calibri"/>
        <family val="2"/>
        <scheme val="minor"/>
      </rPr>
      <t>*exp(a/L</t>
    </r>
    <r>
      <rPr>
        <sz val="8"/>
        <color theme="1"/>
        <rFont val="Calibri"/>
        <family val="2"/>
        <scheme val="minor"/>
      </rPr>
      <t>wev,dec</t>
    </r>
    <r>
      <rPr>
        <sz val="11"/>
        <color theme="1"/>
        <rFont val="Calibri"/>
        <family val="2"/>
        <scheme val="minor"/>
      </rPr>
      <t>)</t>
    </r>
  </si>
  <si>
    <r>
      <t>f</t>
    </r>
    <r>
      <rPr>
        <sz val="8"/>
        <color theme="1"/>
        <rFont val="Calibri"/>
        <family val="2"/>
        <scheme val="minor"/>
      </rPr>
      <t>lc,inc</t>
    </r>
    <r>
      <rPr>
        <sz val="11"/>
        <color theme="1"/>
        <rFont val="Calibri"/>
        <family val="2"/>
        <scheme val="minor"/>
      </rPr>
      <t>=</t>
    </r>
  </si>
  <si>
    <r>
      <t>(1.0+[exp(-b*X</t>
    </r>
    <r>
      <rPr>
        <sz val="8"/>
        <color theme="1"/>
        <rFont val="Calibri"/>
        <family val="2"/>
        <scheme val="minor"/>
      </rPr>
      <t>b,ent</t>
    </r>
    <r>
      <rPr>
        <sz val="11"/>
        <color theme="1"/>
        <rFont val="Calibri"/>
        <family val="2"/>
        <scheme val="minor"/>
      </rPr>
      <t>+d*ln(c*AADT</t>
    </r>
    <r>
      <rPr>
        <sz val="8"/>
        <color theme="1"/>
        <rFont val="Calibri"/>
        <family val="2"/>
        <scheme val="minor"/>
      </rPr>
      <t>b,ent</t>
    </r>
    <r>
      <rPr>
        <sz val="11"/>
        <color theme="1"/>
        <rFont val="Calibri"/>
        <family val="2"/>
        <scheme val="minor"/>
      </rPr>
      <t>)))/b*L</t>
    </r>
    <r>
      <rPr>
        <sz val="8"/>
        <color theme="1"/>
        <rFont val="Calibri"/>
        <family val="2"/>
        <scheme val="minor"/>
      </rPr>
      <t>fs</t>
    </r>
    <r>
      <rPr>
        <sz val="11"/>
        <color theme="1"/>
        <rFont val="Calibri"/>
        <family val="2"/>
        <scheme val="minor"/>
      </rPr>
      <t>]*(1.0-exp(-b*L</t>
    </r>
    <r>
      <rPr>
        <sz val="8"/>
        <color theme="1"/>
        <rFont val="Calibri"/>
        <family val="2"/>
        <scheme val="minor"/>
      </rPr>
      <t>fs</t>
    </r>
    <r>
      <rPr>
        <sz val="11"/>
        <color theme="1"/>
        <rFont val="Calibri"/>
        <family val="2"/>
        <scheme val="minor"/>
      </rPr>
      <t>)))*                    (1.0+[exp(-b*X</t>
    </r>
    <r>
      <rPr>
        <sz val="8"/>
        <color theme="1"/>
        <rFont val="Calibri"/>
        <family val="2"/>
        <scheme val="minor"/>
      </rPr>
      <t>e,ext</t>
    </r>
    <r>
      <rPr>
        <sz val="11"/>
        <color theme="1"/>
        <rFont val="Calibri"/>
        <family val="2"/>
        <scheme val="minor"/>
      </rPr>
      <t>+d*ln(c*AADT</t>
    </r>
    <r>
      <rPr>
        <sz val="8"/>
        <color theme="1"/>
        <rFont val="Calibri"/>
        <family val="2"/>
        <scheme val="minor"/>
      </rPr>
      <t>e,ext</t>
    </r>
    <r>
      <rPr>
        <sz val="11"/>
        <color theme="1"/>
        <rFont val="Calibri"/>
        <family val="2"/>
        <scheme val="minor"/>
      </rPr>
      <t>)))/b*Lfs]*(1.0-exp(-b*L</t>
    </r>
    <r>
      <rPr>
        <sz val="8"/>
        <color theme="1"/>
        <rFont val="Calibri"/>
        <family val="2"/>
        <scheme val="minor"/>
      </rPr>
      <t>fs</t>
    </r>
    <r>
      <rPr>
        <sz val="11"/>
        <color theme="1"/>
        <rFont val="Calibri"/>
        <family val="2"/>
        <scheme val="minor"/>
      </rPr>
      <t>)))</t>
    </r>
  </si>
  <si>
    <r>
      <t>f</t>
    </r>
    <r>
      <rPr>
        <sz val="8"/>
        <color theme="1"/>
        <rFont val="Calibri"/>
        <family val="2"/>
        <scheme val="minor"/>
      </rPr>
      <t>lc,dec</t>
    </r>
    <r>
      <rPr>
        <sz val="11"/>
        <color theme="1"/>
        <rFont val="Calibri"/>
        <family val="2"/>
        <scheme val="minor"/>
      </rPr>
      <t>=</t>
    </r>
  </si>
  <si>
    <r>
      <t>(1.0+[exp(-b*Xe</t>
    </r>
    <r>
      <rPr>
        <sz val="8"/>
        <color theme="1"/>
        <rFont val="Calibri"/>
        <family val="2"/>
        <scheme val="minor"/>
      </rPr>
      <t>,ent</t>
    </r>
    <r>
      <rPr>
        <sz val="11"/>
        <color theme="1"/>
        <rFont val="Calibri"/>
        <family val="2"/>
        <scheme val="minor"/>
      </rPr>
      <t>+d*ln(c*AADTe</t>
    </r>
    <r>
      <rPr>
        <sz val="8"/>
        <color theme="1"/>
        <rFont val="Calibri"/>
        <family val="2"/>
        <scheme val="minor"/>
      </rPr>
      <t>,ent</t>
    </r>
    <r>
      <rPr>
        <sz val="11"/>
        <color theme="1"/>
        <rFont val="Calibri"/>
        <family val="2"/>
        <scheme val="minor"/>
      </rPr>
      <t>)))/b*L</t>
    </r>
    <r>
      <rPr>
        <sz val="8"/>
        <color theme="1"/>
        <rFont val="Calibri"/>
        <family val="2"/>
        <scheme val="minor"/>
      </rPr>
      <t>fs</t>
    </r>
    <r>
      <rPr>
        <sz val="11"/>
        <color theme="1"/>
        <rFont val="Calibri"/>
        <family val="2"/>
        <scheme val="minor"/>
      </rPr>
      <t>]*(1.0-exp(-b*L</t>
    </r>
    <r>
      <rPr>
        <sz val="8"/>
        <color theme="1"/>
        <rFont val="Calibri"/>
        <family val="2"/>
        <scheme val="minor"/>
      </rPr>
      <t>fs</t>
    </r>
    <r>
      <rPr>
        <sz val="11"/>
        <color theme="1"/>
        <rFont val="Calibri"/>
        <family val="2"/>
        <scheme val="minor"/>
      </rPr>
      <t>)))*                    (1.0+[exp(-b*Xb</t>
    </r>
    <r>
      <rPr>
        <sz val="8"/>
        <color theme="1"/>
        <rFont val="Calibri"/>
        <family val="2"/>
        <scheme val="minor"/>
      </rPr>
      <t>,ext</t>
    </r>
    <r>
      <rPr>
        <sz val="11"/>
        <color theme="1"/>
        <rFont val="Calibri"/>
        <family val="2"/>
        <scheme val="minor"/>
      </rPr>
      <t>+d*ln(c*AADT</t>
    </r>
    <r>
      <rPr>
        <sz val="8"/>
        <color theme="1"/>
        <rFont val="Calibri"/>
        <family val="2"/>
        <scheme val="minor"/>
      </rPr>
      <t>b,ext</t>
    </r>
    <r>
      <rPr>
        <sz val="11"/>
        <color theme="1"/>
        <rFont val="Calibri"/>
        <family val="2"/>
        <scheme val="minor"/>
      </rPr>
      <t>)))/b*Lfs]*(1.0-exp(-b*L</t>
    </r>
    <r>
      <rPr>
        <sz val="8"/>
        <color theme="1"/>
        <rFont val="Calibri"/>
        <family val="2"/>
        <scheme val="minor"/>
      </rPr>
      <t>fs</t>
    </r>
    <r>
      <rPr>
        <sz val="11"/>
        <color theme="1"/>
        <rFont val="Calibri"/>
        <family val="2"/>
        <scheme val="minor"/>
      </rPr>
      <t>)))</t>
    </r>
  </si>
  <si>
    <t>CMF=</t>
  </si>
  <si>
    <r>
      <t>(0.5*f</t>
    </r>
    <r>
      <rPr>
        <sz val="8"/>
        <color theme="1"/>
        <rFont val="Calibri"/>
        <family val="2"/>
        <scheme val="minor"/>
      </rPr>
      <t>wev,inc</t>
    </r>
    <r>
      <rPr>
        <sz val="11"/>
        <color theme="1"/>
        <rFont val="Calibri"/>
        <family val="2"/>
        <scheme val="minor"/>
      </rPr>
      <t>*f</t>
    </r>
    <r>
      <rPr>
        <sz val="8"/>
        <color theme="1"/>
        <rFont val="Calibri"/>
        <family val="2"/>
        <scheme val="minor"/>
      </rPr>
      <t>lc,inc</t>
    </r>
    <r>
      <rPr>
        <sz val="11"/>
        <color theme="1"/>
        <rFont val="Calibri"/>
        <family val="2"/>
        <scheme val="minor"/>
      </rPr>
      <t>) + (0.5*f</t>
    </r>
    <r>
      <rPr>
        <sz val="8"/>
        <color theme="1"/>
        <rFont val="Calibri"/>
        <family val="2"/>
        <scheme val="minor"/>
      </rPr>
      <t>wev,dec</t>
    </r>
    <r>
      <rPr>
        <sz val="11"/>
        <color theme="1"/>
        <rFont val="Calibri"/>
        <family val="2"/>
        <scheme val="minor"/>
      </rPr>
      <t>*f</t>
    </r>
    <r>
      <rPr>
        <sz val="8"/>
        <color theme="1"/>
        <rFont val="Calibri"/>
        <family val="2"/>
        <scheme val="minor"/>
      </rPr>
      <t>lc,dec</t>
    </r>
    <r>
      <rPr>
        <sz val="11"/>
        <color theme="1"/>
        <rFont val="Calibri"/>
        <family val="2"/>
        <scheme val="minor"/>
      </rPr>
      <t>)</t>
    </r>
  </si>
  <si>
    <t>Vehicle Collision Equation</t>
  </si>
  <si>
    <t>Ped Collision Equation</t>
  </si>
  <si>
    <t>EQN 12-28</t>
  </si>
  <si>
    <t>PedVol=</t>
  </si>
  <si>
    <r>
      <t>N</t>
    </r>
    <r>
      <rPr>
        <b/>
        <vertAlign val="subscript"/>
        <sz val="11"/>
        <color theme="1"/>
        <rFont val="Calibri"/>
        <family val="2"/>
        <scheme val="minor"/>
      </rPr>
      <t>lanesx</t>
    </r>
    <r>
      <rPr>
        <b/>
        <sz val="11"/>
        <color theme="1"/>
        <rFont val="Calibri"/>
        <family val="2"/>
        <scheme val="minor"/>
      </rPr>
      <t>=</t>
    </r>
  </si>
  <si>
    <t>(d)</t>
  </si>
  <si>
    <t>(e)</t>
  </si>
  <si>
    <r>
      <t>f</t>
    </r>
    <r>
      <rPr>
        <vertAlign val="subscript"/>
        <sz val="11"/>
        <color theme="1"/>
        <rFont val="Calibri"/>
        <family val="2"/>
        <scheme val="minor"/>
      </rPr>
      <t>pedi</t>
    </r>
  </si>
  <si>
    <t>e</t>
  </si>
  <si>
    <t>SG Intersection Ped FI</t>
  </si>
  <si>
    <t>ST Intersection Ped FI</t>
  </si>
  <si>
    <r>
      <t>f</t>
    </r>
    <r>
      <rPr>
        <b/>
        <vertAlign val="subscript"/>
        <sz val="11"/>
        <color theme="1"/>
        <rFont val="Calibri"/>
        <family val="2"/>
        <scheme val="minor"/>
      </rPr>
      <t>pedi</t>
    </r>
  </si>
  <si>
    <t>-</t>
  </si>
  <si>
    <t>Bike FI</t>
  </si>
  <si>
    <r>
      <t>f</t>
    </r>
    <r>
      <rPr>
        <b/>
        <vertAlign val="subscript"/>
        <sz val="11"/>
        <color theme="1"/>
        <rFont val="Calibri"/>
        <family val="2"/>
        <scheme val="minor"/>
      </rPr>
      <t>bike</t>
    </r>
  </si>
  <si>
    <t>Ped/Bike Intercept Look Up</t>
  </si>
  <si>
    <t>Bike</t>
  </si>
  <si>
    <r>
      <t>f</t>
    </r>
    <r>
      <rPr>
        <vertAlign val="subscript"/>
        <sz val="11"/>
        <color theme="1"/>
        <rFont val="Calibri"/>
        <family val="2"/>
        <scheme val="minor"/>
      </rPr>
      <t>bike</t>
    </r>
  </si>
  <si>
    <t>Total Vehicle Crashes</t>
  </si>
  <si>
    <t>FI Vehicle Crashes</t>
  </si>
  <si>
    <t>PDO Vehicle Crashes</t>
  </si>
  <si>
    <t>Ped FI Crash</t>
  </si>
  <si>
    <t>Bike FI Crash</t>
  </si>
  <si>
    <t>Total FI Crashes</t>
  </si>
  <si>
    <t>Total PDO Crashes</t>
  </si>
  <si>
    <t>Total Crashes</t>
  </si>
  <si>
    <r>
      <t>N=exp(a+b*ln(AADT</t>
    </r>
    <r>
      <rPr>
        <vertAlign val="subscript"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>)+c*ln(AADT</t>
    </r>
    <r>
      <rPr>
        <vertAlign val="subscript"/>
        <sz val="11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>/AADT</t>
    </r>
    <r>
      <rPr>
        <vertAlign val="subscript"/>
        <sz val="11"/>
        <color theme="1"/>
        <rFont val="Calibri"/>
        <family val="2"/>
        <scheme val="minor"/>
      </rPr>
      <t>maj</t>
    </r>
    <r>
      <rPr>
        <sz val="11"/>
        <color theme="1"/>
        <rFont val="Calibri"/>
        <family val="2"/>
        <scheme val="minor"/>
      </rPr>
      <t>)+d*ln(PedVol)+e*n</t>
    </r>
    <r>
      <rPr>
        <vertAlign val="subscript"/>
        <sz val="11"/>
        <color theme="1"/>
        <rFont val="Calibri"/>
        <family val="2"/>
        <scheme val="minor"/>
      </rPr>
      <t>lanesx</t>
    </r>
  </si>
  <si>
    <t>Final Expected Crashes</t>
  </si>
  <si>
    <t>Major Road Approaches with Left Turn Lanes</t>
  </si>
  <si>
    <t>Minor Road Approaches with Left Turn Lanes</t>
  </si>
  <si>
    <t>Minor Road Approaches Left Turn Phasing</t>
  </si>
  <si>
    <t>Major Road Approaches with Right Turn Lanes</t>
  </si>
  <si>
    <t>Minor Road Approaches with Right Turn Lanes</t>
  </si>
  <si>
    <t>Intersection Lighting</t>
  </si>
  <si>
    <t>Red Light Cameras</t>
  </si>
  <si>
    <t>Permissive</t>
  </si>
  <si>
    <t>Protected/Permissive</t>
  </si>
  <si>
    <t>Protected</t>
  </si>
  <si>
    <t>Present</t>
  </si>
  <si>
    <t>Not Present</t>
  </si>
  <si>
    <t>CMF 5 Dropdown</t>
  </si>
  <si>
    <t>Number of Approaches with Right Turn on Red Prohibited</t>
  </si>
  <si>
    <t>Major</t>
  </si>
  <si>
    <t>Minor</t>
  </si>
  <si>
    <t>Ramp Terminal</t>
  </si>
  <si>
    <t>N=exp(a+b*ln(c*AADTxrd)+d*ln(c*AADTex+c*AADTen)</t>
  </si>
  <si>
    <t>1 (3 Leg, Diagonal Exit)</t>
  </si>
  <si>
    <t>2 (3 Leg, Diagonal Entrance)</t>
  </si>
  <si>
    <t>3 (4 Leg, Diagonal Entrance/Exit)</t>
  </si>
  <si>
    <t>5 (4 Leg, 4 Quad ParClo, Loop Exit)</t>
  </si>
  <si>
    <t>4 (4 Leg, 4 Quad ParClo, Loop Entrance)</t>
  </si>
  <si>
    <t>6 (3 Leg, 2 Quad ParClo, Loop Exit)</t>
  </si>
  <si>
    <t>7 (3 Leg, 2 Quad ParClo, Loop Entrance)</t>
  </si>
  <si>
    <t>Fatal Injury - Signal, 2 Through Lanes</t>
  </si>
  <si>
    <t>PDO - Signal, 2 Through Lanes</t>
  </si>
  <si>
    <t>Fatal Injury - Signal,3 Through Lanes</t>
  </si>
  <si>
    <t>PDO - Signal, 3 Through Lanes</t>
  </si>
  <si>
    <t>Fatal Injury - Signal, 4 Through Lanes</t>
  </si>
  <si>
    <t>PDO - Signal, 4 Through Lanes</t>
  </si>
  <si>
    <t>Fatal Injury - Signal, 5 Through Lanes</t>
  </si>
  <si>
    <t>PDO - Signal, 5 Through Lanes</t>
  </si>
  <si>
    <t>Fatal Injury - Signal, 6 Through Lanes</t>
  </si>
  <si>
    <t>PDO - Signal, 6 Through Lanes</t>
  </si>
  <si>
    <t>Fatal Injury - Unsig, Rural</t>
  </si>
  <si>
    <t>PDO - Unsig, Rural</t>
  </si>
  <si>
    <t>Fatal Injury - Unsig, Urban</t>
  </si>
  <si>
    <t>PDO - Unsig, Urban</t>
  </si>
  <si>
    <t>Table 19-17</t>
  </si>
  <si>
    <t>Table 19-18</t>
  </si>
  <si>
    <t>Table 19-19</t>
  </si>
  <si>
    <t>Table 19-20</t>
  </si>
  <si>
    <r>
      <t>AADT</t>
    </r>
    <r>
      <rPr>
        <b/>
        <vertAlign val="subscript"/>
        <sz val="11"/>
        <color theme="1"/>
        <rFont val="Calibri"/>
        <family val="2"/>
        <scheme val="minor"/>
      </rPr>
      <t>xrd</t>
    </r>
    <r>
      <rPr>
        <b/>
        <sz val="11"/>
        <color theme="1"/>
        <rFont val="Calibri"/>
        <family val="2"/>
        <scheme val="minor"/>
      </rPr>
      <t>=</t>
    </r>
  </si>
  <si>
    <r>
      <t>AADT</t>
    </r>
    <r>
      <rPr>
        <b/>
        <vertAlign val="subscript"/>
        <sz val="11"/>
        <color theme="1"/>
        <rFont val="Calibri"/>
        <family val="2"/>
        <scheme val="minor"/>
      </rPr>
      <t>ex</t>
    </r>
    <r>
      <rPr>
        <b/>
        <sz val="11"/>
        <color theme="1"/>
        <rFont val="Calibri"/>
        <family val="2"/>
        <scheme val="minor"/>
      </rPr>
      <t>=</t>
    </r>
  </si>
  <si>
    <r>
      <t>AADT</t>
    </r>
    <r>
      <rPr>
        <b/>
        <vertAlign val="subscript"/>
        <sz val="11"/>
        <color theme="1"/>
        <rFont val="Calibri"/>
        <family val="2"/>
        <scheme val="minor"/>
      </rPr>
      <t>en</t>
    </r>
    <r>
      <rPr>
        <b/>
        <sz val="11"/>
        <color theme="1"/>
        <rFont val="Calibri"/>
        <family val="2"/>
        <scheme val="minor"/>
      </rPr>
      <t>=</t>
    </r>
  </si>
  <si>
    <r>
      <t>AADT</t>
    </r>
    <r>
      <rPr>
        <b/>
        <vertAlign val="subscript"/>
        <sz val="11"/>
        <color theme="1"/>
        <rFont val="Calibri"/>
        <family val="2"/>
        <scheme val="minor"/>
      </rPr>
      <t>in</t>
    </r>
    <r>
      <rPr>
        <b/>
        <sz val="11"/>
        <color theme="1"/>
        <rFont val="Calibri"/>
        <family val="2"/>
        <scheme val="minor"/>
      </rPr>
      <t>=</t>
    </r>
  </si>
  <si>
    <r>
      <t>AADT</t>
    </r>
    <r>
      <rPr>
        <b/>
        <vertAlign val="subscript"/>
        <sz val="11"/>
        <color theme="1"/>
        <rFont val="Calibri"/>
        <family val="2"/>
        <scheme val="minor"/>
      </rPr>
      <t>out</t>
    </r>
    <r>
      <rPr>
        <b/>
        <sz val="11"/>
        <color theme="1"/>
        <rFont val="Calibri"/>
        <family val="2"/>
        <scheme val="minor"/>
      </rPr>
      <t>=</t>
    </r>
  </si>
  <si>
    <t>Urban/Rural</t>
  </si>
  <si>
    <t>Crossroad Through Lanes</t>
  </si>
  <si>
    <t>Terminal Type</t>
  </si>
  <si>
    <t>Control</t>
  </si>
  <si>
    <t>Unsignalized</t>
  </si>
  <si>
    <t>Exit Ramp Capacity</t>
  </si>
  <si>
    <t>Signal/Stop/Yield</t>
  </si>
  <si>
    <t>Crossroad Left Turn Lanes (Out)</t>
  </si>
  <si>
    <t>Crossroad Left Turn Lanes (In)</t>
  </si>
  <si>
    <t>Crossroad Right Turn Lanes (Out)</t>
  </si>
  <si>
    <t>Access Control (Unsig Access  within 250')</t>
  </si>
  <si>
    <t>Segment Length</t>
  </si>
  <si>
    <t>Median Width (Out)</t>
  </si>
  <si>
    <t>Median Width (In)</t>
  </si>
  <si>
    <t>Protected Left Turn Operations (In)</t>
  </si>
  <si>
    <t>Protected Left Turn Operations (Out)</t>
  </si>
  <si>
    <t>Protected Only</t>
  </si>
  <si>
    <t>Channelized Right Turn on Crossroad (In)</t>
  </si>
  <si>
    <t>Channelized</t>
  </si>
  <si>
    <t>Channelized Right Turn on Crossroad (Out)</t>
  </si>
  <si>
    <t>Channelized Right Turn on Exit Ramp</t>
  </si>
  <si>
    <t>Non- Ramp Public Street Leg</t>
  </si>
  <si>
    <t>Skew Angle</t>
  </si>
  <si>
    <t>1 (Rural 1-Lane Entrance)</t>
  </si>
  <si>
    <t>2 (Rural 1-Lane Exit)</t>
  </si>
  <si>
    <t>3 (Urban 1-Lane Entrance)</t>
  </si>
  <si>
    <t>4 (Urban 1-Lane Exit)</t>
  </si>
  <si>
    <t>5 (Urban 2-Lane Entrance)</t>
  </si>
  <si>
    <t>6 (Urban 2-Lane Exit)</t>
  </si>
  <si>
    <t>Lane Width</t>
  </si>
  <si>
    <t>Right Shoulder Width</t>
  </si>
  <si>
    <t>Left Shoulder Width</t>
  </si>
  <si>
    <t>Right Side Barrier</t>
  </si>
  <si>
    <t>Left Side Barrier</t>
  </si>
  <si>
    <t>Lane Add or Drop</t>
  </si>
  <si>
    <t>Lane Drop</t>
  </si>
  <si>
    <t>Inside Shoulder Width</t>
  </si>
  <si>
    <t>Median Width</t>
  </si>
  <si>
    <t>Median Barrier</t>
  </si>
  <si>
    <t>High Volume</t>
  </si>
  <si>
    <t>Crash Modification Factor (All Crashes)</t>
  </si>
  <si>
    <t>Crash Modification Factor (Multiple Vehicle Crashes)</t>
  </si>
  <si>
    <t>Other</t>
  </si>
  <si>
    <t>Crash Modification Factor (Single Vehicle Crashes)</t>
  </si>
  <si>
    <t>Shoulder Rumble Strip</t>
  </si>
  <si>
    <t>Outside Clearance</t>
  </si>
  <si>
    <t>Outside Barrier</t>
  </si>
  <si>
    <t>Urban</t>
  </si>
  <si>
    <t>Crossroad Right Turn Lanes (In)</t>
  </si>
  <si>
    <t>Angle</t>
  </si>
  <si>
    <t>Urban Arterial</t>
  </si>
  <si>
    <t>Multiple Vehicle (Non Driveway) FI</t>
  </si>
  <si>
    <t>Multiple Vehicle (Non Driveway) PDO</t>
  </si>
  <si>
    <t>Multiple Vehicle (Driveway) FI</t>
  </si>
  <si>
    <t>Multiple Vehicle (Driveway) PDO</t>
  </si>
  <si>
    <t>3 Lane, Center Turn Lanes</t>
  </si>
  <si>
    <t>5 Lane, Center Turn Lanes</t>
  </si>
  <si>
    <t>4 Lane, Divided</t>
  </si>
  <si>
    <t>4 Lane, Undivided</t>
  </si>
  <si>
    <t>2 Lane, Undivided</t>
  </si>
  <si>
    <t># of Major Commercial</t>
  </si>
  <si>
    <t># of Major Residential</t>
  </si>
  <si>
    <t># of Minor Commercial</t>
  </si>
  <si>
    <t># of Minor Residential</t>
  </si>
  <si>
    <t>TABLE 12-3</t>
  </si>
  <si>
    <t>Maj Comm</t>
  </si>
  <si>
    <t>Min Comm</t>
  </si>
  <si>
    <t>Maj Ind</t>
  </si>
  <si>
    <t>Min Ind</t>
  </si>
  <si>
    <t>Maj Res</t>
  </si>
  <si>
    <t>Min Res</t>
  </si>
  <si>
    <t># of Other</t>
  </si>
  <si>
    <t>Driveway Related Collisions</t>
  </si>
  <si>
    <r>
      <rPr>
        <sz val="11"/>
        <color theme="1"/>
        <rFont val="Calibri"/>
        <family val="2"/>
      </rPr>
      <t>N=</t>
    </r>
    <r>
      <rPr>
        <sz val="16"/>
        <color theme="1"/>
        <rFont val="Calibri"/>
        <family val="2"/>
      </rPr>
      <t>Σ</t>
    </r>
    <r>
      <rPr>
        <sz val="11"/>
        <color theme="1"/>
        <rFont val="Calibri"/>
        <family val="2"/>
      </rPr>
      <t>n</t>
    </r>
    <r>
      <rPr>
        <vertAlign val="subscript"/>
        <sz val="11"/>
        <color theme="1"/>
        <rFont val="Calibri"/>
        <family val="2"/>
      </rPr>
      <t>j</t>
    </r>
    <r>
      <rPr>
        <sz val="11"/>
        <color theme="1"/>
        <rFont val="Calibri"/>
        <family val="2"/>
      </rPr>
      <t>*N</t>
    </r>
    <r>
      <rPr>
        <vertAlign val="subscript"/>
        <sz val="11"/>
        <color theme="1"/>
        <rFont val="Calibri"/>
        <family val="2"/>
      </rPr>
      <t>j</t>
    </r>
    <r>
      <rPr>
        <sz val="11"/>
        <color theme="1"/>
        <rFont val="Calibri"/>
        <family val="2"/>
      </rPr>
      <t>*(AADT/15000)</t>
    </r>
    <r>
      <rPr>
        <vertAlign val="superscript"/>
        <sz val="11"/>
        <color theme="1"/>
        <rFont val="Calibri"/>
        <family val="2"/>
      </rPr>
      <t>t</t>
    </r>
  </si>
  <si>
    <t>EQN 12-16</t>
  </si>
  <si>
    <t>Regression Coefficient (t)</t>
  </si>
  <si>
    <r>
      <t>N</t>
    </r>
    <r>
      <rPr>
        <b/>
        <vertAlign val="subscript"/>
        <sz val="11"/>
        <color theme="1"/>
        <rFont val="Calibri"/>
        <family val="2"/>
        <scheme val="minor"/>
      </rPr>
      <t>j</t>
    </r>
  </si>
  <si>
    <r>
      <t>n</t>
    </r>
    <r>
      <rPr>
        <b/>
        <vertAlign val="subscript"/>
        <sz val="11"/>
        <color theme="1"/>
        <rFont val="Calibri"/>
        <family val="2"/>
        <scheme val="minor"/>
      </rPr>
      <t>j</t>
    </r>
  </si>
  <si>
    <t>t</t>
  </si>
  <si>
    <t>%FI</t>
  </si>
  <si>
    <t>Segment Type</t>
  </si>
  <si>
    <r>
      <t>AADT</t>
    </r>
    <r>
      <rPr>
        <b/>
        <sz val="11"/>
        <color theme="1"/>
        <rFont val="Calibri"/>
        <family val="2"/>
        <scheme val="minor"/>
      </rPr>
      <t>=</t>
    </r>
  </si>
  <si>
    <t>N=exp(a+b*ln(AADT)+ln(L))</t>
  </si>
  <si>
    <t>Length (miles)</t>
  </si>
  <si>
    <t>Posted Speed</t>
  </si>
  <si>
    <t>30 MPH or Lower</t>
  </si>
  <si>
    <t>Speed&lt;30</t>
  </si>
  <si>
    <t>Speed&gt;30</t>
  </si>
  <si>
    <t>Ped and Bike</t>
  </si>
  <si>
    <t>On-Street Parking</t>
  </si>
  <si>
    <t>Roadside Fixed Objects</t>
  </si>
  <si>
    <t>Lighting</t>
  </si>
  <si>
    <t>Automated Speed Enforcement</t>
  </si>
  <si>
    <t>Res/Other</t>
  </si>
  <si>
    <t>Comm/Ind</t>
  </si>
  <si>
    <t>Parallel</t>
  </si>
  <si>
    <t>Commercial/Industrial/Institutional</t>
  </si>
  <si>
    <t>CMF 2 Fixed Object Offset Factor</t>
  </si>
  <si>
    <t>Undivided</t>
  </si>
  <si>
    <t>Barrier Median</t>
  </si>
  <si>
    <t>10' Median</t>
  </si>
  <si>
    <t>15' Median</t>
  </si>
  <si>
    <t>20' Median</t>
  </si>
  <si>
    <t>30' Median</t>
  </si>
  <si>
    <t>40' Median</t>
  </si>
  <si>
    <t>50' Median</t>
  </si>
  <si>
    <t>60' Median</t>
  </si>
  <si>
    <t>70' Median</t>
  </si>
  <si>
    <t>80' Median</t>
  </si>
  <si>
    <t>90' Median</t>
  </si>
  <si>
    <t>100' Median</t>
  </si>
  <si>
    <t>Side</t>
  </si>
  <si>
    <t>CMF1 Entrance</t>
  </si>
  <si>
    <t>Ramp Entrance or Exit</t>
  </si>
  <si>
    <t>Right</t>
  </si>
  <si>
    <r>
      <t>AADT</t>
    </r>
    <r>
      <rPr>
        <vertAlign val="subscript"/>
        <sz val="11"/>
        <color theme="1"/>
        <rFont val="Calibri"/>
        <family val="2"/>
        <scheme val="minor"/>
      </rPr>
      <t>ramp</t>
    </r>
    <r>
      <rPr>
        <sz val="11"/>
        <color theme="1"/>
        <rFont val="Calibri"/>
        <family val="2"/>
        <scheme val="minor"/>
      </rPr>
      <t>=</t>
    </r>
  </si>
  <si>
    <t>10 Through Lanes</t>
  </si>
  <si>
    <t>3 (Merge, 8 Through Lanes)</t>
  </si>
  <si>
    <t>4 (Merge, 10 Through Lanes)</t>
  </si>
  <si>
    <t>5 (Diverge, 4 Through Lanes)</t>
  </si>
  <si>
    <t>6 (Diverge, 6 Through Lanes)</t>
  </si>
  <si>
    <t>7 (Diverge, 8 Through Lanes)</t>
  </si>
  <si>
    <t>8 (Diverge, 10 Through Lanes)</t>
  </si>
  <si>
    <t>TABLE 18-5 &amp; 18-6</t>
  </si>
  <si>
    <t>04 Through Lanes</t>
  </si>
  <si>
    <t>06 Through Lanes</t>
  </si>
  <si>
    <t>08 Through Lanes</t>
  </si>
  <si>
    <t>TABLE 18-28 and 18-29</t>
  </si>
  <si>
    <t>No Build</t>
  </si>
  <si>
    <t>Build</t>
  </si>
  <si>
    <t>Signalized</t>
  </si>
  <si>
    <t>Not Channelized</t>
  </si>
  <si>
    <t>Greater Than 30 MPH</t>
  </si>
  <si>
    <t>Location</t>
  </si>
  <si>
    <t>SPF Type</t>
  </si>
  <si>
    <t>Diverge</t>
  </si>
  <si>
    <t>Merge</t>
  </si>
  <si>
    <t>Total REDUCTION in Crashes</t>
  </si>
  <si>
    <t>TABLE 12-14</t>
  </si>
  <si>
    <t>Urban Intersection</t>
  </si>
  <si>
    <t>Ped - Signalized Intersection</t>
  </si>
  <si>
    <t>Ped - Unsignalized Intersection</t>
  </si>
  <si>
    <t>CMF 1</t>
  </si>
  <si>
    <t xml:space="preserve">CMF 2 </t>
  </si>
  <si>
    <t>CMF 3</t>
  </si>
  <si>
    <t>CMF 5</t>
  </si>
  <si>
    <t>TABLE 12-7</t>
  </si>
  <si>
    <r>
      <rPr>
        <b/>
        <sz val="11"/>
        <color theme="1"/>
        <rFont val="Calibri"/>
        <family val="2"/>
        <scheme val="minor"/>
      </rPr>
      <t>TABLE 12-9</t>
    </r>
    <r>
      <rPr>
        <sz val="11"/>
        <color theme="1"/>
        <rFont val="Calibri"/>
        <family val="2"/>
        <scheme val="minor"/>
      </rPr>
      <t xml:space="preserve"> - Bike</t>
    </r>
  </si>
  <si>
    <t>Driveway Related</t>
  </si>
  <si>
    <t>EQN 12-27</t>
  </si>
  <si>
    <t>TABLE 12-16</t>
  </si>
  <si>
    <t>TABLE 12-17</t>
  </si>
  <si>
    <t>TABLE 12-24</t>
  </si>
  <si>
    <t>TABLE 12-25</t>
  </si>
  <si>
    <t>1 Approach</t>
  </si>
  <si>
    <t>2 Approaches</t>
  </si>
  <si>
    <t>TABLE 12-26</t>
  </si>
  <si>
    <t>TABLE 12-27</t>
  </si>
  <si>
    <t>TABLE 12-19</t>
  </si>
  <si>
    <r>
      <rPr>
        <b/>
        <sz val="11"/>
        <color theme="1"/>
        <rFont val="Calibri"/>
        <family val="2"/>
        <scheme val="minor"/>
      </rPr>
      <t>TABLE 12-8</t>
    </r>
    <r>
      <rPr>
        <sz val="11"/>
        <color theme="1"/>
        <rFont val="Calibri"/>
        <family val="2"/>
        <scheme val="minor"/>
      </rPr>
      <t xml:space="preserve"> - Ped</t>
    </r>
  </si>
  <si>
    <r>
      <t>f</t>
    </r>
    <r>
      <rPr>
        <vertAlign val="subscript"/>
        <sz val="11"/>
        <color theme="1"/>
        <rFont val="Calibri"/>
        <family val="2"/>
        <scheme val="minor"/>
      </rPr>
      <t>offset</t>
    </r>
  </si>
  <si>
    <t>TABLE 12-20</t>
  </si>
  <si>
    <t>TABLE 12-21</t>
  </si>
  <si>
    <r>
      <t>p</t>
    </r>
    <r>
      <rPr>
        <vertAlign val="subscript"/>
        <sz val="11"/>
        <color theme="1"/>
        <rFont val="Calibri"/>
        <family val="2"/>
        <scheme val="minor"/>
      </rPr>
      <t>fo</t>
    </r>
  </si>
  <si>
    <t>TABLE 12-22</t>
  </si>
  <si>
    <t>CMF 3 Median Width</t>
  </si>
  <si>
    <t>CMF 4 Lighting</t>
  </si>
  <si>
    <r>
      <t>P</t>
    </r>
    <r>
      <rPr>
        <vertAlign val="subscript"/>
        <sz val="11"/>
        <color theme="1"/>
        <rFont val="Calibri"/>
        <family val="2"/>
        <scheme val="minor"/>
      </rPr>
      <t>inr</t>
    </r>
  </si>
  <si>
    <r>
      <t>p</t>
    </r>
    <r>
      <rPr>
        <vertAlign val="subscript"/>
        <sz val="11"/>
        <color theme="1"/>
        <rFont val="Calibri"/>
        <family val="2"/>
        <scheme val="minor"/>
      </rPr>
      <t>prn</t>
    </r>
  </si>
  <si>
    <r>
      <t>p</t>
    </r>
    <r>
      <rPr>
        <vertAlign val="subscript"/>
        <sz val="11"/>
        <color theme="1"/>
        <rFont val="Calibri"/>
        <family val="2"/>
        <scheme val="minor"/>
      </rPr>
      <t>nr</t>
    </r>
  </si>
  <si>
    <t>CMF</t>
  </si>
  <si>
    <t>TABLE 12-23</t>
  </si>
  <si>
    <t>TABLE 19-13</t>
  </si>
  <si>
    <t>TABLE19-14</t>
  </si>
  <si>
    <t>TABLE 19-15</t>
  </si>
  <si>
    <t>TABLE 19-12</t>
  </si>
  <si>
    <t>Multiple Vehicle (Non Driveway) Total</t>
  </si>
  <si>
    <t># of Major Industrial/Institutional</t>
  </si>
  <si>
    <t># of Minor Industrial/Institutional</t>
  </si>
  <si>
    <t>Multiple Vehicle (Driveway) Total</t>
  </si>
  <si>
    <t>Horizontal Curve (Use EQN 18-24)</t>
  </si>
  <si>
    <t>Lane Change (If applicable, see associated template)</t>
  </si>
  <si>
    <t>Major Road Approaches Left Turn Phasing</t>
  </si>
  <si>
    <t>CD Road Segment</t>
  </si>
  <si>
    <t>1 Lane Rural</t>
  </si>
  <si>
    <t>1 Lane Urban</t>
  </si>
  <si>
    <t>2 Lane Urban</t>
  </si>
  <si>
    <t>Multile Vehicle Total</t>
  </si>
  <si>
    <t>Horizontal Curve (Use EQN 19-33)</t>
  </si>
  <si>
    <t>Outside Shoulder Width (Use EQN 13-35, if Horizontal Curves are Present)</t>
  </si>
  <si>
    <t>Ped FI</t>
  </si>
  <si>
    <t>EQN 19-28</t>
  </si>
  <si>
    <t>EQN 12-10 &amp; 12-13</t>
  </si>
  <si>
    <t>Urban Ramp Segment</t>
  </si>
  <si>
    <t>Urban Ramp Speed Change Lane (Merge or Diverge)</t>
  </si>
  <si>
    <t>Urban Freeway Segment</t>
  </si>
  <si>
    <t>Urban CD Road Segment</t>
  </si>
  <si>
    <t>Urban CMF Weaving Segment - Apply to Urban Freeway Segment</t>
  </si>
  <si>
    <t>Urban Ramp Speed Change Lane</t>
  </si>
  <si>
    <t>North of 44, No Build</t>
  </si>
  <si>
    <t>Between Turnpike and 470, No Build</t>
  </si>
  <si>
    <t>`</t>
  </si>
  <si>
    <t>South of 470, No Build</t>
  </si>
  <si>
    <t>Turnpike, East of I-75, No  Build</t>
  </si>
  <si>
    <t>NB Diverge to 470, No Build</t>
  </si>
  <si>
    <t>NB Merge from 470, No Build</t>
  </si>
  <si>
    <t>SB Diverge to 470, No Build</t>
  </si>
  <si>
    <t>SB Merge from 470, No Build</t>
  </si>
  <si>
    <t>NB Diverge to 44, No Build</t>
  </si>
  <si>
    <t>NB Merge from 44, No Build</t>
  </si>
  <si>
    <t>SB Diverge to 44, No Build</t>
  </si>
  <si>
    <t>SB Merge from 44, No Build</t>
  </si>
  <si>
    <t>470 at SB Ramps, No Build</t>
  </si>
  <si>
    <t>470 at NB Ramps, No Build</t>
  </si>
  <si>
    <t>44 at SB Ramps, No Build</t>
  </si>
  <si>
    <t>44 at NB Ramps, No Build</t>
  </si>
  <si>
    <t>470, West of I-75, No Build</t>
  </si>
  <si>
    <t>470, East of I-74, No Build</t>
  </si>
  <si>
    <t>514, East of I-75, No Build</t>
  </si>
  <si>
    <t>44, East of I-75, No Build</t>
  </si>
  <si>
    <t>44, West of I-75, No Build</t>
  </si>
  <si>
    <t>44, West of I-75, Build</t>
  </si>
  <si>
    <t>North of 44, Build</t>
  </si>
  <si>
    <t>Between Turnpike and 514, Build</t>
  </si>
  <si>
    <t>Between 514 and 470, Build</t>
  </si>
  <si>
    <t>South of 470, Build</t>
  </si>
  <si>
    <t>Turnpike, East of I-75, Build</t>
  </si>
  <si>
    <t>NB Diverge to 470, Build</t>
  </si>
  <si>
    <t>NB Merge from 470, Build</t>
  </si>
  <si>
    <t>SB Diverge to 470, Build</t>
  </si>
  <si>
    <t>SB Merge from 470, Build</t>
  </si>
  <si>
    <t>NB Diverge to 514, Build</t>
  </si>
  <si>
    <t>NB Merge from 514, Build</t>
  </si>
  <si>
    <t>SB Diverge to 514, Build</t>
  </si>
  <si>
    <t>SB Merge from 514, Build</t>
  </si>
  <si>
    <t>NB Diverge to 44, Build</t>
  </si>
  <si>
    <t>NB Merge from 44, Build</t>
  </si>
  <si>
    <t>SB Diverge to 44, Build</t>
  </si>
  <si>
    <t>SB Merge from 44, Build</t>
  </si>
  <si>
    <t>470 at SB Ramps, Build</t>
  </si>
  <si>
    <t>470 at NB Ramps, Build</t>
  </si>
  <si>
    <t>514 at SB Ramps, Build</t>
  </si>
  <si>
    <t>514 at NB Ramps, Build</t>
  </si>
  <si>
    <t>44 at SB Ramps, Build</t>
  </si>
  <si>
    <t>44 at NB Ramps, Build</t>
  </si>
  <si>
    <t>470, West of I-75, Build</t>
  </si>
  <si>
    <t>470, East of I-74, Build</t>
  </si>
  <si>
    <t>514, East of I-75, Build</t>
  </si>
  <si>
    <t>44, East of I-75, Build</t>
  </si>
  <si>
    <t>EQN 18-15 &amp; 18-18</t>
  </si>
  <si>
    <t>Crash Cost ($)</t>
  </si>
  <si>
    <t xml:space="preserve"> Crash Cost Reduction ($)</t>
  </si>
  <si>
    <t>FDOT (http://www.fdot.gov/roadway/bulletin/rdb14-12.pdf)</t>
  </si>
  <si>
    <t>HSM Table 7-1</t>
  </si>
  <si>
    <t>FDOT/HSM</t>
  </si>
  <si>
    <t>K</t>
  </si>
  <si>
    <t>A</t>
  </si>
  <si>
    <t>B</t>
  </si>
  <si>
    <t>FI (K/A/B)</t>
  </si>
  <si>
    <t>&lt;-Average Change</t>
  </si>
  <si>
    <t>FDOT Crash Distribution (http://www.fdot.gov/safety/11A-SafetyEngineering/TransSafEng/strategicplandocs/FL-Crash-Distribution-2015.pdf)</t>
  </si>
  <si>
    <t>C</t>
  </si>
  <si>
    <t>PDO (C/PDO)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</si>
</sst>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#\ &quot;Driveways&quot;"/>
    <numFmt numFmtId="167" formatCode="#\ &quot;Roadways&quot;"/>
    <numFmt numFmtId="168" formatCode="#&quot;mi to Adj. Ramp&quot;"/>
    <numFmt numFmtId="169" formatCode="#&quot;mi to Public Rd&quot;"/>
    <numFmt numFmtId="170" formatCode="#&quot;' Median&quot;"/>
    <numFmt numFmtId="171" formatCode="#&quot;' Lane&quot;"/>
    <numFmt numFmtId="172" formatCode="#&quot; Lanes Opposing&quot;"/>
    <numFmt numFmtId="173" formatCode="#&quot;˚&quot;"/>
    <numFmt numFmtId="174" formatCode="#&quot;' Lanes&quot;"/>
    <numFmt numFmtId="175" formatCode="#&quot;' Shoulder&quot;"/>
    <numFmt numFmtId="176" formatCode="#&quot;' to Barrier&quot;"/>
    <numFmt numFmtId="177" formatCode="0%\ &quot;Adj to Barrier&quot;"/>
    <numFmt numFmtId="178" formatCode="0%\ &quot;Adj to Taper&quot;"/>
    <numFmt numFmtId="179" formatCode="0%\ &quot;Adj to Spd Chg Ln&quot;"/>
    <numFmt numFmtId="180" formatCode="0%\ &quot;of AADT where vol&gt;1000 veh/ln/hr&quot;"/>
    <numFmt numFmtId="181" formatCode="0%\ &quot;Present on Inside&quot;"/>
    <numFmt numFmtId="182" formatCode="0%\ &quot;Present on Outside&quot;"/>
    <numFmt numFmtId="183" formatCode="#&quot;' Clearzone&quot;"/>
    <numFmt numFmtId="184" formatCode="#&quot;' from Edge of Shoulder&quot;"/>
    <numFmt numFmtId="185" formatCode="#\ &quot;Lane(s)&quot;"/>
    <numFmt numFmtId="186" formatCode="0\ &quot;Objects/mi&quot;"/>
    <numFmt numFmtId="187" formatCode="0&quot;' Offset&quot;"/>
    <numFmt numFmtId="188" formatCode="0.0"/>
    <numFmt numFmtId="189" formatCode="#.0&quot;mi to Adj. Ramp&quot;"/>
  </numFmts>
  <fonts count="23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sz val="16"/>
      <color theme="1"/>
      <name val="Calibri"/>
      <family val="2"/>
    </font>
    <font>
      <b/>
      <sz val="15"/>
      <color theme="3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3F3F3F"/>
      </right>
      <top/>
      <bottom/>
      <diagonal/>
    </border>
    <border>
      <left/>
      <right/>
      <top/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 style="double">
        <color theme="7"/>
      </bottom>
      <diagonal/>
    </border>
    <border>
      <left/>
      <right/>
      <top/>
      <bottom style="double">
        <color theme="7"/>
      </bottom>
      <diagonal/>
    </border>
    <border>
      <left/>
      <right style="thin">
        <color auto="1"/>
      </right>
      <top/>
      <bottom style="double">
        <color theme="7"/>
      </bottom>
      <diagonal/>
    </border>
    <border>
      <left style="thin">
        <color auto="1"/>
      </left>
      <right style="thin">
        <color rgb="FF7F7F7F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">
    <xf numFmtId="0" fontId="0" fillId="0" borderId="0"/>
    <xf numFmtId="0" fontId="1" fillId="2" borderId="1" applyNumberFormat="0" applyAlignment="0" applyProtection="0"/>
    <xf numFmtId="0" fontId="7" fillId="4" borderId="2" applyNumberFormat="0" applyAlignment="0" applyProtection="0"/>
    <xf numFmtId="0" fontId="2" fillId="3" borderId="1" applyNumberFormat="0" applyAlignment="0" applyProtection="0"/>
    <xf numFmtId="0" fontId="9" fillId="5" borderId="1" applyNumberFormat="0" applyAlignment="0" applyProtection="0"/>
    <xf numFmtId="164" fontId="7" fillId="6" borderId="2">
      <alignment horizontal="center"/>
    </xf>
    <xf numFmtId="9" fontId="15" fillId="0" borderId="0" applyFont="0" applyFill="0" applyBorder="0" applyAlignment="0" applyProtection="0"/>
    <xf numFmtId="0" fontId="20" fillId="0" borderId="42" applyNumberFormat="0" applyFill="0" applyAlignment="0" applyProtection="0"/>
    <xf numFmtId="0" fontId="15" fillId="7" borderId="46" applyNumberFormat="0" applyFont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5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2" fontId="9" fillId="5" borderId="1" xfId="4" applyNumberFormat="1" applyBorder="1" applyAlignment="1">
      <alignment horizontal="center"/>
    </xf>
    <xf numFmtId="164" fontId="7" fillId="4" borderId="2" xfId="2" applyNumberFormat="1" applyBorder="1" applyAlignment="1">
      <alignment horizontal="center"/>
    </xf>
    <xf numFmtId="164" fontId="9" fillId="5" borderId="1" xfId="4" applyNumberFormat="1" applyBorder="1" applyAlignment="1">
      <alignment horizontal="center"/>
    </xf>
    <xf numFmtId="2" fontId="2" fillId="3" borderId="1" xfId="3" applyNumberFormat="1" applyBorder="1" applyAlignment="1">
      <alignment horizontal="center"/>
    </xf>
    <xf numFmtId="2" fontId="0" fillId="0" borderId="0" xfId="0" applyNumberFormat="1" applyBorder="1"/>
    <xf numFmtId="49" fontId="0" fillId="0" borderId="0" xfId="0" applyNumberFormat="1" applyAlignment="1">
      <alignment horizontal="center"/>
    </xf>
    <xf numFmtId="165" fontId="9" fillId="5" borderId="1" xfId="4" applyNumberFormat="1" applyBorder="1" applyAlignment="1">
      <alignment horizontal="center"/>
    </xf>
    <xf numFmtId="0" fontId="11" fillId="0" borderId="0" xfId="0" applyFont="1"/>
    <xf numFmtId="0" fontId="3" fillId="0" borderId="22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3" xfId="0" applyBorder="1" applyAlignment="1"/>
    <xf numFmtId="164" fontId="2" fillId="3" borderId="27" xfId="3" applyNumberFormat="1" applyBorder="1" applyAlignment="1">
      <alignment horizontal="center"/>
    </xf>
    <xf numFmtId="0" fontId="3" fillId="0" borderId="22" xfId="0" applyFont="1" applyBorder="1" applyAlignment="1"/>
    <xf numFmtId="0" fontId="3" fillId="0" borderId="23" xfId="0" applyFont="1" applyBorder="1" applyAlignment="1">
      <alignment horizontal="center"/>
    </xf>
    <xf numFmtId="2" fontId="2" fillId="3" borderId="27" xfId="3" applyNumberFormat="1" applyBorder="1" applyAlignment="1">
      <alignment horizontal="center"/>
    </xf>
    <xf numFmtId="0" fontId="1" fillId="2" borderId="1" xfId="1" applyBorder="1"/>
    <xf numFmtId="0" fontId="1" fillId="2" borderId="27" xfId="1" applyBorder="1"/>
    <xf numFmtId="0" fontId="3" fillId="0" borderId="22" xfId="0" applyFont="1" applyFill="1" applyBorder="1" applyAlignment="1">
      <alignment horizontal="right"/>
    </xf>
    <xf numFmtId="164" fontId="2" fillId="3" borderId="1" xfId="3" applyNumberFormat="1" applyBorder="1"/>
    <xf numFmtId="0" fontId="0" fillId="0" borderId="0" xfId="0" applyBorder="1" applyAlignment="1">
      <alignment wrapText="1"/>
    </xf>
    <xf numFmtId="2" fontId="2" fillId="3" borderId="1" xfId="3" applyNumberFormat="1" applyBorder="1"/>
    <xf numFmtId="0" fontId="1" fillId="0" borderId="0" xfId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/>
    <xf numFmtId="164" fontId="7" fillId="6" borderId="2" xfId="5" applyBorder="1">
      <alignment horizontal="center"/>
    </xf>
    <xf numFmtId="0" fontId="3" fillId="0" borderId="22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2" fontId="1" fillId="2" borderId="1" xfId="1" applyNumberFormat="1" applyBorder="1" applyAlignment="1">
      <alignment horizontal="center"/>
    </xf>
    <xf numFmtId="2" fontId="1" fillId="2" borderId="27" xfId="1" applyNumberFormat="1" applyBorder="1" applyAlignment="1">
      <alignment horizontal="center"/>
    </xf>
    <xf numFmtId="0" fontId="0" fillId="0" borderId="0" xfId="0" applyAlignment="1">
      <alignment wrapText="1"/>
    </xf>
    <xf numFmtId="167" fontId="1" fillId="2" borderId="1" xfId="1" applyNumberFormat="1" applyBorder="1" applyAlignment="1">
      <alignment horizontal="center"/>
    </xf>
    <xf numFmtId="1" fontId="7" fillId="6" borderId="2" xfId="5" applyNumberFormat="1" applyBorder="1" applyAlignment="1">
      <alignment horizontal="right"/>
    </xf>
    <xf numFmtId="174" fontId="1" fillId="2" borderId="1" xfId="1" applyNumberFormat="1" applyBorder="1" applyAlignment="1"/>
    <xf numFmtId="175" fontId="1" fillId="2" borderId="1" xfId="1" applyNumberFormat="1" applyBorder="1" applyAlignment="1"/>
    <xf numFmtId="176" fontId="1" fillId="2" borderId="1" xfId="1" applyNumberFormat="1" applyBorder="1" applyAlignment="1"/>
    <xf numFmtId="177" fontId="1" fillId="2" borderId="1" xfId="6" applyNumberFormat="1" applyFont="1" applyFill="1" applyBorder="1" applyAlignment="1"/>
    <xf numFmtId="178" fontId="1" fillId="2" borderId="1" xfId="6" applyNumberFormat="1" applyFont="1" applyFill="1" applyBorder="1" applyAlignment="1"/>
    <xf numFmtId="179" fontId="1" fillId="2" borderId="1" xfId="6" applyNumberFormat="1" applyFont="1" applyFill="1" applyBorder="1" applyAlignment="1"/>
    <xf numFmtId="2" fontId="1" fillId="2" borderId="32" xfId="1" applyNumberFormat="1" applyBorder="1" applyAlignment="1">
      <alignment horizontal="center"/>
    </xf>
    <xf numFmtId="177" fontId="1" fillId="2" borderId="1" xfId="6" applyNumberFormat="1" applyFont="1" applyFill="1" applyBorder="1" applyAlignment="1">
      <alignment horizontal="center"/>
    </xf>
    <xf numFmtId="175" fontId="1" fillId="2" borderId="1" xfId="1" applyNumberFormat="1" applyBorder="1" applyAlignment="1">
      <alignment horizontal="center"/>
    </xf>
    <xf numFmtId="176" fontId="1" fillId="2" borderId="1" xfId="1" applyNumberFormat="1" applyBorder="1" applyAlignment="1">
      <alignment horizontal="center"/>
    </xf>
    <xf numFmtId="174" fontId="1" fillId="2" borderId="1" xfId="1" applyNumberFormat="1" applyBorder="1" applyAlignment="1">
      <alignment horizontal="center"/>
    </xf>
    <xf numFmtId="170" fontId="1" fillId="2" borderId="1" xfId="1" applyNumberFormat="1" applyBorder="1" applyAlignment="1">
      <alignment horizontal="center"/>
    </xf>
    <xf numFmtId="182" fontId="1" fillId="2" borderId="1" xfId="6" applyNumberFormat="1" applyFont="1" applyFill="1" applyBorder="1" applyAlignment="1">
      <alignment horizontal="center"/>
    </xf>
    <xf numFmtId="181" fontId="1" fillId="2" borderId="1" xfId="6" applyNumberFormat="1" applyFont="1" applyFill="1" applyBorder="1" applyAlignment="1">
      <alignment horizontal="center"/>
    </xf>
    <xf numFmtId="183" fontId="1" fillId="2" borderId="1" xfId="1" applyNumberFormat="1" applyBorder="1" applyAlignment="1">
      <alignment horizontal="center"/>
    </xf>
    <xf numFmtId="184" fontId="1" fillId="2" borderId="1" xfId="1" applyNumberFormat="1" applyBorder="1" applyAlignment="1">
      <alignment horizontal="center"/>
    </xf>
    <xf numFmtId="0" fontId="1" fillId="2" borderId="32" xfId="1" applyBorder="1"/>
    <xf numFmtId="2" fontId="2" fillId="3" borderId="32" xfId="3" applyNumberFormat="1" applyBorder="1"/>
    <xf numFmtId="164" fontId="2" fillId="3" borderId="32" xfId="3" applyNumberFormat="1" applyBorder="1"/>
    <xf numFmtId="164" fontId="7" fillId="4" borderId="36" xfId="2" applyNumberFormat="1" applyBorder="1" applyAlignment="1">
      <alignment horizontal="center"/>
    </xf>
    <xf numFmtId="0" fontId="16" fillId="0" borderId="0" xfId="0" applyFont="1" applyBorder="1"/>
    <xf numFmtId="0" fontId="0" fillId="0" borderId="20" xfId="0" applyBorder="1"/>
    <xf numFmtId="0" fontId="0" fillId="0" borderId="0" xfId="0" applyAlignment="1">
      <alignment horizontal="center" wrapText="1"/>
    </xf>
    <xf numFmtId="164" fontId="7" fillId="4" borderId="37" xfId="2" applyNumberFormat="1" applyBorder="1" applyAlignment="1">
      <alignment horizontal="center"/>
    </xf>
    <xf numFmtId="0" fontId="3" fillId="0" borderId="0" xfId="0" applyFont="1" applyAlignment="1"/>
    <xf numFmtId="0" fontId="0" fillId="0" borderId="38" xfId="0" applyBorder="1" applyAlignment="1">
      <alignment horizontal="center"/>
    </xf>
    <xf numFmtId="0" fontId="0" fillId="0" borderId="40" xfId="0" applyBorder="1" applyAlignment="1">
      <alignment horizontal="center"/>
    </xf>
    <xf numFmtId="2" fontId="2" fillId="3" borderId="32" xfId="3" applyNumberFormat="1" applyBorder="1" applyAlignment="1">
      <alignment horizontal="center"/>
    </xf>
    <xf numFmtId="164" fontId="9" fillId="5" borderId="27" xfId="4" applyNumberFormat="1" applyBorder="1" applyAlignment="1">
      <alignment horizontal="center"/>
    </xf>
    <xf numFmtId="0" fontId="0" fillId="0" borderId="22" xfId="0" applyBorder="1" applyAlignment="1"/>
    <xf numFmtId="9" fontId="9" fillId="5" borderId="27" xfId="6" applyFont="1" applyFill="1" applyBorder="1" applyAlignment="1">
      <alignment horizontal="center"/>
    </xf>
    <xf numFmtId="0" fontId="1" fillId="2" borderId="1" xfId="1" applyAlignment="1">
      <alignment horizontal="center"/>
    </xf>
    <xf numFmtId="9" fontId="1" fillId="2" borderId="1" xfId="1" applyNumberFormat="1" applyAlignment="1">
      <alignment horizontal="center"/>
    </xf>
    <xf numFmtId="2" fontId="1" fillId="2" borderId="1" xfId="1" applyNumberFormat="1" applyAlignment="1">
      <alignment horizontal="center"/>
    </xf>
    <xf numFmtId="186" fontId="1" fillId="2" borderId="1" xfId="1" applyNumberFormat="1" applyAlignment="1"/>
    <xf numFmtId="187" fontId="1" fillId="2" borderId="1" xfId="1" applyNumberFormat="1" applyAlignment="1">
      <alignment horizontal="center"/>
    </xf>
    <xf numFmtId="49" fontId="1" fillId="2" borderId="1" xfId="1" applyNumberFormat="1" applyAlignment="1">
      <alignment horizontal="center"/>
    </xf>
    <xf numFmtId="164" fontId="2" fillId="3" borderId="32" xfId="3" applyNumberFormat="1" applyBorder="1" applyAlignment="1">
      <alignment horizontal="center"/>
    </xf>
    <xf numFmtId="0" fontId="0" fillId="0" borderId="0" xfId="0"/>
    <xf numFmtId="185" fontId="1" fillId="2" borderId="1" xfId="1" applyNumberFormat="1" applyBorder="1" applyAlignment="1">
      <alignment horizontal="center"/>
    </xf>
    <xf numFmtId="166" fontId="1" fillId="2" borderId="1" xfId="1" applyNumberFormat="1" applyBorder="1" applyAlignment="1">
      <alignment horizontal="center"/>
    </xf>
    <xf numFmtId="171" fontId="1" fillId="2" borderId="1" xfId="1" applyNumberFormat="1" applyBorder="1" applyAlignment="1">
      <alignment horizontal="center"/>
    </xf>
    <xf numFmtId="172" fontId="1" fillId="2" borderId="1" xfId="1" applyNumberFormat="1" applyBorder="1" applyAlignment="1">
      <alignment horizontal="center"/>
    </xf>
    <xf numFmtId="173" fontId="1" fillId="2" borderId="1" xfId="1" applyNumberFormat="1" applyBorder="1" applyAlignment="1">
      <alignment horizontal="center"/>
    </xf>
    <xf numFmtId="0" fontId="0" fillId="0" borderId="25" xfId="0" applyBorder="1" applyAlignment="1">
      <alignment horizontal="center" wrapText="1"/>
    </xf>
    <xf numFmtId="168" fontId="1" fillId="2" borderId="1" xfId="1" applyNumberFormat="1" applyBorder="1" applyAlignment="1">
      <alignment horizontal="center"/>
    </xf>
    <xf numFmtId="169" fontId="1" fillId="2" borderId="1" xfId="1" applyNumberFormat="1" applyBorder="1" applyAlignment="1">
      <alignment horizontal="center"/>
    </xf>
    <xf numFmtId="0" fontId="0" fillId="0" borderId="9" xfId="0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1" xfId="1" applyBorder="1" applyAlignment="1">
      <alignment horizontal="center"/>
    </xf>
    <xf numFmtId="0" fontId="1" fillId="2" borderId="27" xfId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2" borderId="1" xfId="1" applyBorder="1" applyAlignment="1">
      <alignment horizontal="left"/>
    </xf>
    <xf numFmtId="0" fontId="3" fillId="0" borderId="31" xfId="0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3" fillId="0" borderId="2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1" xfId="1" applyBorder="1" applyAlignment="1">
      <alignment horizontal="center"/>
    </xf>
    <xf numFmtId="0" fontId="3" fillId="0" borderId="22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" fillId="2" borderId="27" xfId="1" applyBorder="1" applyAlignment="1">
      <alignment horizontal="center"/>
    </xf>
    <xf numFmtId="188" fontId="0" fillId="0" borderId="0" xfId="0" applyNumberFormat="1"/>
    <xf numFmtId="188" fontId="3" fillId="0" borderId="0" xfId="0" applyNumberFormat="1" applyFont="1"/>
    <xf numFmtId="189" fontId="1" fillId="2" borderId="1" xfId="1" applyNumberFormat="1" applyBorder="1" applyAlignment="1">
      <alignment horizontal="center"/>
    </xf>
    <xf numFmtId="0" fontId="0" fillId="0" borderId="5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188" fontId="0" fillId="0" borderId="5" xfId="0" applyNumberFormat="1" applyBorder="1" applyAlignment="1">
      <alignment horizontal="center"/>
    </xf>
    <xf numFmtId="188" fontId="3" fillId="0" borderId="5" xfId="0" applyNumberFormat="1" applyFont="1" applyBorder="1" applyAlignment="1">
      <alignment horizontal="center"/>
    </xf>
    <xf numFmtId="0" fontId="0" fillId="0" borderId="5" xfId="0" applyBorder="1"/>
    <xf numFmtId="0" fontId="20" fillId="0" borderId="42" xfId="7"/>
    <xf numFmtId="0" fontId="0" fillId="0" borderId="0" xfId="0" applyAlignment="1">
      <alignment horizontal="left" indent="1"/>
    </xf>
    <xf numFmtId="2" fontId="0" fillId="0" borderId="14" xfId="0" applyNumberFormat="1" applyFill="1" applyBorder="1" applyAlignment="1">
      <alignment horizontal="center"/>
    </xf>
    <xf numFmtId="2" fontId="0" fillId="0" borderId="15" xfId="0" applyNumberFormat="1" applyFill="1" applyBorder="1" applyAlignment="1">
      <alignment horizontal="center"/>
    </xf>
    <xf numFmtId="2" fontId="0" fillId="0" borderId="16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2" fontId="0" fillId="0" borderId="8" xfId="0" applyNumberFormat="1" applyBorder="1"/>
    <xf numFmtId="2" fontId="0" fillId="0" borderId="10" xfId="0" applyNumberFormat="1" applyBorder="1"/>
    <xf numFmtId="2" fontId="0" fillId="0" borderId="13" xfId="0" applyNumberFormat="1" applyBorder="1"/>
    <xf numFmtId="0" fontId="0" fillId="0" borderId="0" xfId="0" applyFill="1"/>
    <xf numFmtId="0" fontId="3" fillId="0" borderId="0" xfId="0" applyFont="1" applyFill="1"/>
    <xf numFmtId="164" fontId="0" fillId="0" borderId="5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0" xfId="0" applyAlignment="1">
      <alignment horizontal="left"/>
    </xf>
    <xf numFmtId="164" fontId="0" fillId="0" borderId="1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39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1" xfId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1" fillId="2" borderId="1" xfId="1" applyBorder="1" applyAlignment="1">
      <alignment horizontal="center"/>
    </xf>
    <xf numFmtId="0" fontId="1" fillId="2" borderId="27" xfId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3" fillId="0" borderId="22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" fillId="2" borderId="1" xfId="1" applyBorder="1" applyAlignment="1"/>
    <xf numFmtId="2" fontId="1" fillId="7" borderId="46" xfId="8" applyNumberFormat="1" applyFont="1" applyAlignment="1">
      <alignment horizontal="center"/>
    </xf>
    <xf numFmtId="0" fontId="3" fillId="0" borderId="5" xfId="0" applyFont="1" applyBorder="1" applyAlignment="1">
      <alignment horizontal="center"/>
    </xf>
    <xf numFmtId="44" fontId="3" fillId="0" borderId="5" xfId="9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4" xfId="0" applyBorder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" fillId="2" borderId="1" xfId="1" applyBorder="1" applyAlignment="1">
      <alignment horizontal="left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" fillId="2" borderId="1" xfId="1" applyAlignment="1">
      <alignment horizontal="left"/>
    </xf>
    <xf numFmtId="0" fontId="3" fillId="0" borderId="18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1" xfId="1" applyBorder="1" applyAlignment="1">
      <alignment horizontal="center"/>
    </xf>
    <xf numFmtId="0" fontId="1" fillId="2" borderId="27" xfId="1" applyBorder="1" applyAlignment="1">
      <alignment horizontal="center"/>
    </xf>
    <xf numFmtId="0" fontId="1" fillId="2" borderId="32" xfId="1" applyBorder="1" applyAlignment="1"/>
    <xf numFmtId="0" fontId="1" fillId="2" borderId="33" xfId="1" applyBorder="1" applyAlignment="1"/>
    <xf numFmtId="0" fontId="1" fillId="2" borderId="34" xfId="1" applyBorder="1" applyAlignment="1"/>
    <xf numFmtId="0" fontId="1" fillId="2" borderId="32" xfId="1" applyBorder="1" applyAlignment="1">
      <alignment horizontal="left"/>
    </xf>
    <xf numFmtId="0" fontId="1" fillId="2" borderId="33" xfId="1" applyBorder="1" applyAlignment="1">
      <alignment horizontal="left"/>
    </xf>
    <xf numFmtId="0" fontId="1" fillId="2" borderId="34" xfId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2" borderId="1" xfId="1" applyAlignment="1"/>
    <xf numFmtId="0" fontId="0" fillId="0" borderId="0" xfId="0" applyFont="1" applyBorder="1" applyAlignment="1">
      <alignment horizontal="center" wrapText="1"/>
    </xf>
    <xf numFmtId="0" fontId="1" fillId="2" borderId="32" xfId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3" fillId="0" borderId="22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31" xfId="0" applyFont="1" applyBorder="1" applyAlignment="1">
      <alignment horizontal="center" vertical="center"/>
    </xf>
    <xf numFmtId="0" fontId="1" fillId="2" borderId="33" xfId="1" applyBorder="1" applyAlignment="1">
      <alignment horizontal="center"/>
    </xf>
    <xf numFmtId="0" fontId="1" fillId="2" borderId="34" xfId="1" applyBorder="1" applyAlignment="1">
      <alignment horizontal="center"/>
    </xf>
    <xf numFmtId="0" fontId="3" fillId="0" borderId="35" xfId="0" applyFont="1" applyBorder="1" applyAlignment="1">
      <alignment horizontal="center"/>
    </xf>
    <xf numFmtId="180" fontId="1" fillId="2" borderId="32" xfId="6" applyNumberFormat="1" applyFont="1" applyFill="1" applyBorder="1" applyAlignment="1">
      <alignment horizontal="center"/>
    </xf>
    <xf numFmtId="180" fontId="1" fillId="2" borderId="33" xfId="6" applyNumberFormat="1" applyFont="1" applyFill="1" applyBorder="1" applyAlignment="1">
      <alignment horizontal="center"/>
    </xf>
    <xf numFmtId="180" fontId="1" fillId="2" borderId="34" xfId="6" applyNumberFormat="1" applyFont="1" applyFill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23" xfId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9" xfId="0" applyBorder="1" applyAlignment="1">
      <alignment horizontal="center"/>
    </xf>
    <xf numFmtId="43" fontId="0" fillId="0" borderId="0" xfId="10" applyFont="1"/>
    <xf numFmtId="164" fontId="0" fillId="0" borderId="0" xfId="0" applyNumberFormat="1" applyAlignment="1">
      <alignment horizontal="left"/>
    </xf>
    <xf numFmtId="43" fontId="0" fillId="0" borderId="0" xfId="0" applyNumberFormat="1"/>
    <xf numFmtId="43" fontId="0" fillId="8" borderId="0" xfId="10" applyFont="1" applyFill="1"/>
    <xf numFmtId="3" fontId="0" fillId="0" borderId="0" xfId="0" applyNumberFormat="1"/>
    <xf numFmtId="44" fontId="0" fillId="0" borderId="0" xfId="9" applyFont="1"/>
    <xf numFmtId="44" fontId="0" fillId="8" borderId="0" xfId="9" applyFont="1" applyFill="1"/>
  </cellXfs>
  <cellStyles count="11">
    <cellStyle name="Calculation" xfId="3" builtinId="22"/>
    <cellStyle name="Comma" xfId="10" builtinId="3"/>
    <cellStyle name="Currency" xfId="9" builtinId="4"/>
    <cellStyle name="Heading 1" xfId="7" builtinId="16"/>
    <cellStyle name="Input" xfId="1" builtinId="20"/>
    <cellStyle name="Linked Cell" xfId="4" builtinId="24" customBuiltin="1"/>
    <cellStyle name="Normal" xfId="0" builtinId="0"/>
    <cellStyle name="Note" xfId="8" builtinId="10"/>
    <cellStyle name="Output" xfId="2" builtinId="21" customBuiltin="1"/>
    <cellStyle name="Output Intermediate" xfId="5"/>
    <cellStyle name="Percent" xfId="6" builtinId="5"/>
  </cellStyles>
  <dxfs count="0"/>
  <tableStyles count="0" defaultTableStyle="TableStyleMedium2" defaultPivotStyle="PivotStyleLight16"/>
  <colors>
    <mruColors>
      <color rgb="FF7F7F7F"/>
      <color rgb="FFF2F2F2"/>
      <color rgb="FFF2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93"/>
  <sheetViews>
    <sheetView tabSelected="1" topLeftCell="A34" workbookViewId="0">
      <selection activeCell="E51" sqref="E51"/>
    </sheetView>
  </sheetViews>
  <sheetFormatPr defaultColWidth="12" defaultRowHeight="15" x14ac:dyDescent="0.25"/>
  <cols>
    <col min="1" max="1" width="36.85546875" style="90" bestFit="1" customWidth="1"/>
    <col min="2" max="16384" width="12" style="90"/>
  </cols>
  <sheetData>
    <row r="1" spans="1:12" ht="20.25" thickBot="1" x14ac:dyDescent="0.35">
      <c r="A1" s="131" t="s">
        <v>305</v>
      </c>
    </row>
    <row r="2" spans="1:12" ht="15.75" thickTop="1" x14ac:dyDescent="0.25"/>
    <row r="3" spans="1:12" x14ac:dyDescent="0.25">
      <c r="A3" s="1" t="s">
        <v>10</v>
      </c>
    </row>
    <row r="4" spans="1:12" x14ac:dyDescent="0.25">
      <c r="A4" s="90" t="s">
        <v>22</v>
      </c>
    </row>
    <row r="5" spans="1:12" x14ac:dyDescent="0.25">
      <c r="A5" s="90" t="s">
        <v>23</v>
      </c>
    </row>
    <row r="6" spans="1:12" x14ac:dyDescent="0.25">
      <c r="A6" s="90" t="s">
        <v>24</v>
      </c>
    </row>
    <row r="7" spans="1:12" x14ac:dyDescent="0.25">
      <c r="A7" s="90" t="s">
        <v>25</v>
      </c>
    </row>
    <row r="9" spans="1:12" x14ac:dyDescent="0.25">
      <c r="A9" s="1" t="s">
        <v>11</v>
      </c>
      <c r="C9" s="193" t="s">
        <v>41</v>
      </c>
      <c r="D9" s="193"/>
      <c r="E9" s="193"/>
      <c r="F9" s="188" t="s">
        <v>42</v>
      </c>
      <c r="G9" s="188"/>
      <c r="H9" s="188"/>
    </row>
    <row r="10" spans="1:12" ht="15.75" thickBot="1" x14ac:dyDescent="0.3">
      <c r="A10" s="2" t="s">
        <v>18</v>
      </c>
      <c r="C10" s="146" t="s">
        <v>12</v>
      </c>
      <c r="D10" s="146" t="s">
        <v>13</v>
      </c>
      <c r="E10" s="146" t="s">
        <v>14</v>
      </c>
      <c r="F10" s="146" t="s">
        <v>15</v>
      </c>
      <c r="G10" s="146" t="s">
        <v>16</v>
      </c>
      <c r="H10" s="146" t="s">
        <v>17</v>
      </c>
    </row>
    <row r="11" spans="1:12" x14ac:dyDescent="0.25">
      <c r="A11" s="132" t="s">
        <v>22</v>
      </c>
      <c r="C11" s="144">
        <v>-13.36</v>
      </c>
      <c r="D11" s="4">
        <v>1.1100000000000001</v>
      </c>
      <c r="E11" s="145">
        <v>0.41</v>
      </c>
      <c r="F11" s="144">
        <v>-6.81</v>
      </c>
      <c r="G11" s="4">
        <v>0.16</v>
      </c>
      <c r="H11" s="145">
        <v>0.51</v>
      </c>
    </row>
    <row r="12" spans="1:12" x14ac:dyDescent="0.25">
      <c r="A12" s="132" t="s">
        <v>23</v>
      </c>
      <c r="C12" s="5">
        <v>-12.13</v>
      </c>
      <c r="D12" s="3">
        <v>1.1100000000000001</v>
      </c>
      <c r="E12" s="6">
        <v>0.26</v>
      </c>
      <c r="F12" s="5">
        <v>-9.02</v>
      </c>
      <c r="G12" s="3">
        <v>0.42</v>
      </c>
      <c r="H12" s="6">
        <v>0.4</v>
      </c>
    </row>
    <row r="13" spans="1:12" x14ac:dyDescent="0.25">
      <c r="A13" s="132" t="s">
        <v>24</v>
      </c>
      <c r="C13" s="5">
        <v>-8.9</v>
      </c>
      <c r="D13" s="3">
        <v>0.82</v>
      </c>
      <c r="E13" s="6">
        <v>0.25</v>
      </c>
      <c r="F13" s="5">
        <v>-5.33</v>
      </c>
      <c r="G13" s="3">
        <v>0.33</v>
      </c>
      <c r="H13" s="6">
        <v>0.12</v>
      </c>
    </row>
    <row r="14" spans="1:12" ht="15.75" thickBot="1" x14ac:dyDescent="0.3">
      <c r="A14" s="132" t="s">
        <v>25</v>
      </c>
      <c r="C14" s="7">
        <v>-10.99</v>
      </c>
      <c r="D14" s="8">
        <v>1.07</v>
      </c>
      <c r="E14" s="9">
        <v>0.23</v>
      </c>
      <c r="F14" s="7">
        <v>-10.210000000000001</v>
      </c>
      <c r="G14" s="8">
        <v>0.68</v>
      </c>
      <c r="H14" s="9">
        <v>0.27</v>
      </c>
      <c r="J14" s="171" t="s">
        <v>315</v>
      </c>
      <c r="K14" s="76"/>
      <c r="L14" s="76"/>
    </row>
    <row r="15" spans="1:12" ht="15.75" thickBot="1" x14ac:dyDescent="0.3">
      <c r="A15" s="2" t="s">
        <v>19</v>
      </c>
      <c r="C15" s="146"/>
      <c r="D15" s="146"/>
      <c r="E15" s="146"/>
      <c r="F15" s="146"/>
      <c r="G15" s="146"/>
      <c r="H15" s="146"/>
      <c r="J15" s="148" t="s">
        <v>26</v>
      </c>
    </row>
    <row r="16" spans="1:12" x14ac:dyDescent="0.25">
      <c r="A16" s="132" t="s">
        <v>22</v>
      </c>
      <c r="C16" s="144">
        <v>-14.01</v>
      </c>
      <c r="D16" s="4">
        <v>1.1599999999999999</v>
      </c>
      <c r="E16" s="140">
        <v>0.3</v>
      </c>
      <c r="F16" s="144"/>
      <c r="G16" s="4"/>
      <c r="H16" s="145"/>
      <c r="J16" s="10">
        <v>0.31</v>
      </c>
    </row>
    <row r="17" spans="1:10" x14ac:dyDescent="0.25">
      <c r="A17" s="132" t="s">
        <v>23</v>
      </c>
      <c r="C17" s="5">
        <v>-11.58</v>
      </c>
      <c r="D17" s="3">
        <v>1.02</v>
      </c>
      <c r="E17" s="6">
        <v>0.17</v>
      </c>
      <c r="F17" s="5">
        <v>-9.75</v>
      </c>
      <c r="G17" s="3">
        <v>0.27</v>
      </c>
      <c r="H17" s="6">
        <v>0.51</v>
      </c>
      <c r="J17" s="11"/>
    </row>
    <row r="18" spans="1:10" x14ac:dyDescent="0.25">
      <c r="A18" s="132" t="s">
        <v>24</v>
      </c>
      <c r="C18" s="5">
        <v>-11.13</v>
      </c>
      <c r="D18" s="3">
        <v>0.93</v>
      </c>
      <c r="E18" s="6">
        <v>0.28000000000000003</v>
      </c>
      <c r="F18" s="5"/>
      <c r="G18" s="3"/>
      <c r="H18" s="6"/>
      <c r="J18" s="11">
        <v>0.28000000000000003</v>
      </c>
    </row>
    <row r="19" spans="1:10" ht="15.75" thickBot="1" x14ac:dyDescent="0.3">
      <c r="A19" s="132" t="s">
        <v>25</v>
      </c>
      <c r="C19" s="7">
        <v>-13.14</v>
      </c>
      <c r="D19" s="8">
        <v>1.18</v>
      </c>
      <c r="E19" s="9">
        <v>0.22</v>
      </c>
      <c r="F19" s="7">
        <v>-9.25</v>
      </c>
      <c r="G19" s="8">
        <v>0.43</v>
      </c>
      <c r="H19" s="9">
        <v>0.28999999999999998</v>
      </c>
      <c r="J19" s="12"/>
    </row>
    <row r="20" spans="1:10" ht="15.75" thickBot="1" x14ac:dyDescent="0.3">
      <c r="A20" s="2" t="s">
        <v>20</v>
      </c>
      <c r="C20" s="146"/>
      <c r="D20" s="146"/>
      <c r="E20" s="146"/>
      <c r="F20" s="146"/>
      <c r="G20" s="146"/>
      <c r="H20" s="146"/>
    </row>
    <row r="21" spans="1:10" x14ac:dyDescent="0.25">
      <c r="A21" s="132" t="s">
        <v>22</v>
      </c>
      <c r="C21" s="144">
        <v>-15.38</v>
      </c>
      <c r="D21" s="147">
        <v>1.2</v>
      </c>
      <c r="E21" s="145">
        <v>0.51</v>
      </c>
      <c r="F21" s="144">
        <v>-8.36</v>
      </c>
      <c r="G21" s="4">
        <v>0.25</v>
      </c>
      <c r="H21" s="145">
        <v>0.55000000000000004</v>
      </c>
    </row>
    <row r="22" spans="1:10" x14ac:dyDescent="0.25">
      <c r="A22" s="132" t="s">
        <v>23</v>
      </c>
      <c r="C22" s="5">
        <v>-13.24</v>
      </c>
      <c r="D22" s="3">
        <v>1.1399999999999999</v>
      </c>
      <c r="E22" s="6">
        <v>0.3</v>
      </c>
      <c r="F22" s="5">
        <v>-9.08</v>
      </c>
      <c r="G22" s="3">
        <v>0.45</v>
      </c>
      <c r="H22" s="6">
        <v>0.33</v>
      </c>
    </row>
    <row r="23" spans="1:10" x14ac:dyDescent="0.25">
      <c r="A23" s="132" t="s">
        <v>24</v>
      </c>
      <c r="C23" s="5">
        <v>-8.74</v>
      </c>
      <c r="D23" s="3">
        <v>0.77</v>
      </c>
      <c r="E23" s="6">
        <v>0.23</v>
      </c>
      <c r="F23" s="5">
        <v>-7.04</v>
      </c>
      <c r="G23" s="3">
        <v>0.36</v>
      </c>
      <c r="H23" s="6">
        <v>0.25</v>
      </c>
    </row>
    <row r="24" spans="1:10" ht="15.75" thickBot="1" x14ac:dyDescent="0.3">
      <c r="A24" s="132" t="s">
        <v>25</v>
      </c>
      <c r="C24" s="7">
        <v>-11.02</v>
      </c>
      <c r="D24" s="8">
        <v>1.02</v>
      </c>
      <c r="E24" s="9">
        <v>0.24</v>
      </c>
      <c r="F24" s="7">
        <v>-11.34</v>
      </c>
      <c r="G24" s="8">
        <v>0.78</v>
      </c>
      <c r="H24" s="9">
        <v>0.25</v>
      </c>
    </row>
    <row r="25" spans="1:10" x14ac:dyDescent="0.25">
      <c r="C25" s="172"/>
      <c r="D25" s="172"/>
      <c r="E25" s="172"/>
      <c r="F25" s="172"/>
      <c r="G25" s="172"/>
      <c r="H25" s="172"/>
    </row>
    <row r="26" spans="1:10" x14ac:dyDescent="0.25">
      <c r="A26" s="1" t="s">
        <v>105</v>
      </c>
      <c r="C26" s="188" t="s">
        <v>304</v>
      </c>
      <c r="D26" s="188"/>
      <c r="E26" s="188"/>
      <c r="F26" s="188"/>
      <c r="G26" s="188"/>
      <c r="H26" s="172"/>
    </row>
    <row r="27" spans="1:10" ht="15.75" thickBot="1" x14ac:dyDescent="0.3">
      <c r="A27" s="2" t="s">
        <v>306</v>
      </c>
      <c r="C27" s="172" t="s">
        <v>54</v>
      </c>
      <c r="D27" s="172" t="s">
        <v>52</v>
      </c>
      <c r="E27" s="172" t="s">
        <v>53</v>
      </c>
      <c r="F27" s="172" t="s">
        <v>95</v>
      </c>
      <c r="G27" s="172" t="s">
        <v>96</v>
      </c>
      <c r="H27" s="172"/>
    </row>
    <row r="28" spans="1:10" x14ac:dyDescent="0.25">
      <c r="A28" s="132" t="s">
        <v>22</v>
      </c>
      <c r="C28" s="144" t="s">
        <v>102</v>
      </c>
      <c r="D28" s="4" t="s">
        <v>102</v>
      </c>
      <c r="E28" s="4" t="s">
        <v>102</v>
      </c>
      <c r="F28" s="4" t="s">
        <v>102</v>
      </c>
      <c r="G28" s="145" t="s">
        <v>102</v>
      </c>
      <c r="H28" s="172"/>
    </row>
    <row r="29" spans="1:10" x14ac:dyDescent="0.25">
      <c r="A29" s="132" t="s">
        <v>23</v>
      </c>
      <c r="C29" s="149">
        <v>-6.6</v>
      </c>
      <c r="D29" s="150">
        <v>0.05</v>
      </c>
      <c r="E29" s="150">
        <v>0.24</v>
      </c>
      <c r="F29" s="150">
        <v>0.41</v>
      </c>
      <c r="G29" s="141">
        <v>0.09</v>
      </c>
      <c r="H29" s="172"/>
    </row>
    <row r="30" spans="1:10" x14ac:dyDescent="0.25">
      <c r="A30" s="132" t="s">
        <v>24</v>
      </c>
      <c r="C30" s="149" t="s">
        <v>102</v>
      </c>
      <c r="D30" s="150" t="s">
        <v>102</v>
      </c>
      <c r="E30" s="150" t="s">
        <v>102</v>
      </c>
      <c r="F30" s="150" t="s">
        <v>102</v>
      </c>
      <c r="G30" s="141" t="s">
        <v>102</v>
      </c>
      <c r="H30" s="172"/>
    </row>
    <row r="31" spans="1:10" ht="15.75" thickBot="1" x14ac:dyDescent="0.3">
      <c r="A31" s="132" t="s">
        <v>25</v>
      </c>
      <c r="C31" s="151">
        <v>-9.5299999999999994</v>
      </c>
      <c r="D31" s="152">
        <v>0.4</v>
      </c>
      <c r="E31" s="152">
        <v>0.26</v>
      </c>
      <c r="F31" s="152">
        <v>0.45</v>
      </c>
      <c r="G31" s="142">
        <v>0.04</v>
      </c>
      <c r="H31" s="172"/>
    </row>
    <row r="32" spans="1:10" x14ac:dyDescent="0.25">
      <c r="A32" s="132"/>
      <c r="C32" s="171" t="s">
        <v>316</v>
      </c>
      <c r="D32" s="143"/>
      <c r="E32" s="143"/>
      <c r="F32" s="143"/>
      <c r="G32" s="143"/>
      <c r="H32" s="172"/>
    </row>
    <row r="33" spans="1:8" ht="18.75" thickBot="1" x14ac:dyDescent="0.4">
      <c r="A33" s="2" t="s">
        <v>307</v>
      </c>
      <c r="C33" s="46" t="s">
        <v>97</v>
      </c>
      <c r="D33" s="172"/>
      <c r="E33" s="172"/>
      <c r="F33" s="172"/>
      <c r="G33" s="172"/>
      <c r="H33" s="172"/>
    </row>
    <row r="34" spans="1:8" x14ac:dyDescent="0.25">
      <c r="A34" s="132" t="s">
        <v>22</v>
      </c>
      <c r="C34" s="10">
        <v>2.1000000000000001E-2</v>
      </c>
      <c r="D34" s="172"/>
      <c r="E34" s="172"/>
      <c r="F34" s="172"/>
      <c r="G34" s="172"/>
      <c r="H34" s="172"/>
    </row>
    <row r="35" spans="1:8" x14ac:dyDescent="0.25">
      <c r="A35" s="132" t="s">
        <v>23</v>
      </c>
      <c r="C35" s="11" t="s">
        <v>102</v>
      </c>
      <c r="D35" s="172"/>
      <c r="E35" s="172"/>
      <c r="F35" s="172"/>
      <c r="G35" s="172"/>
      <c r="H35" s="172"/>
    </row>
    <row r="36" spans="1:8" x14ac:dyDescent="0.25">
      <c r="A36" s="132" t="s">
        <v>24</v>
      </c>
      <c r="C36" s="11">
        <v>2.1999999999999999E-2</v>
      </c>
      <c r="D36" s="172"/>
      <c r="E36" s="172"/>
      <c r="F36" s="172"/>
      <c r="G36" s="172"/>
      <c r="H36" s="172"/>
    </row>
    <row r="37" spans="1:8" ht="15.75" thickBot="1" x14ac:dyDescent="0.3">
      <c r="A37" s="132" t="s">
        <v>25</v>
      </c>
      <c r="C37" s="12" t="s">
        <v>102</v>
      </c>
      <c r="D37" s="172"/>
      <c r="E37" s="172"/>
      <c r="F37" s="172"/>
      <c r="G37" s="172"/>
      <c r="H37" s="172"/>
    </row>
    <row r="38" spans="1:8" x14ac:dyDescent="0.25">
      <c r="A38" s="132"/>
      <c r="C38" s="171" t="s">
        <v>317</v>
      </c>
      <c r="D38" s="172"/>
      <c r="E38" s="172"/>
      <c r="F38" s="172"/>
      <c r="G38" s="172"/>
      <c r="H38" s="172"/>
    </row>
    <row r="39" spans="1:8" ht="18.75" thickBot="1" x14ac:dyDescent="0.4">
      <c r="A39" s="2" t="s">
        <v>106</v>
      </c>
      <c r="C39" s="46" t="s">
        <v>107</v>
      </c>
      <c r="D39" s="172"/>
      <c r="E39" s="172"/>
      <c r="F39" s="172"/>
      <c r="G39" s="172"/>
      <c r="H39" s="172"/>
    </row>
    <row r="40" spans="1:8" x14ac:dyDescent="0.25">
      <c r="A40" s="132" t="s">
        <v>22</v>
      </c>
      <c r="C40" s="10">
        <v>1.6E-2</v>
      </c>
      <c r="D40" s="172"/>
      <c r="E40" s="172"/>
      <c r="F40" s="172"/>
      <c r="G40" s="172"/>
      <c r="H40" s="172"/>
    </row>
    <row r="41" spans="1:8" x14ac:dyDescent="0.25">
      <c r="A41" s="132" t="s">
        <v>23</v>
      </c>
      <c r="C41" s="11">
        <v>1.0999999999999999E-2</v>
      </c>
      <c r="D41" s="172"/>
      <c r="E41" s="172"/>
      <c r="F41" s="172"/>
      <c r="G41" s="172"/>
      <c r="H41" s="172"/>
    </row>
    <row r="42" spans="1:8" x14ac:dyDescent="0.25">
      <c r="A42" s="132" t="s">
        <v>24</v>
      </c>
      <c r="C42" s="11">
        <v>1.7999999999999999E-2</v>
      </c>
    </row>
    <row r="43" spans="1:8" ht="15.75" thickBot="1" x14ac:dyDescent="0.3">
      <c r="A43" s="132" t="s">
        <v>25</v>
      </c>
      <c r="C43" s="12">
        <v>1.4999999999999999E-2</v>
      </c>
    </row>
    <row r="45" spans="1:8" x14ac:dyDescent="0.25">
      <c r="C45" s="189" t="s">
        <v>318</v>
      </c>
      <c r="D45" s="189"/>
    </row>
    <row r="46" spans="1:8" ht="15.75" thickBot="1" x14ac:dyDescent="0.3">
      <c r="A46" s="1" t="s">
        <v>308</v>
      </c>
      <c r="C46" s="146" t="s">
        <v>132</v>
      </c>
      <c r="D46" s="146" t="s">
        <v>133</v>
      </c>
    </row>
    <row r="47" spans="1:8" x14ac:dyDescent="0.25">
      <c r="A47" s="90" t="s">
        <v>22</v>
      </c>
      <c r="C47" s="137">
        <v>0.67</v>
      </c>
      <c r="D47" s="154">
        <v>1</v>
      </c>
    </row>
    <row r="48" spans="1:8" x14ac:dyDescent="0.25">
      <c r="A48" s="90" t="s">
        <v>23</v>
      </c>
      <c r="C48" s="138">
        <v>0.93</v>
      </c>
      <c r="D48" s="155">
        <v>0.93</v>
      </c>
    </row>
    <row r="49" spans="1:7" x14ac:dyDescent="0.25">
      <c r="A49" s="90" t="s">
        <v>24</v>
      </c>
      <c r="C49" s="138">
        <v>0.73</v>
      </c>
      <c r="D49" s="155">
        <v>1</v>
      </c>
    </row>
    <row r="50" spans="1:7" ht="15.75" thickBot="1" x14ac:dyDescent="0.3">
      <c r="A50" s="90" t="s">
        <v>25</v>
      </c>
      <c r="C50" s="139">
        <v>0.9</v>
      </c>
      <c r="D50" s="156">
        <v>0.9</v>
      </c>
    </row>
    <row r="51" spans="1:7" x14ac:dyDescent="0.25">
      <c r="C51" s="46"/>
      <c r="D51" s="14"/>
    </row>
    <row r="52" spans="1:7" ht="15.75" thickBot="1" x14ac:dyDescent="0.3">
      <c r="A52" s="1" t="s">
        <v>309</v>
      </c>
      <c r="C52" s="158" t="s">
        <v>319</v>
      </c>
    </row>
    <row r="53" spans="1:7" x14ac:dyDescent="0.25">
      <c r="A53" s="90" t="s">
        <v>125</v>
      </c>
      <c r="C53" s="133">
        <v>1</v>
      </c>
    </row>
    <row r="54" spans="1:7" x14ac:dyDescent="0.25">
      <c r="A54" s="90" t="s">
        <v>127</v>
      </c>
      <c r="C54" s="134">
        <v>0.94</v>
      </c>
    </row>
    <row r="55" spans="1:7" ht="15.75" thickBot="1" x14ac:dyDescent="0.3">
      <c r="A55" s="90" t="s">
        <v>126</v>
      </c>
      <c r="C55" s="135">
        <v>0.99</v>
      </c>
    </row>
    <row r="56" spans="1:7" x14ac:dyDescent="0.25">
      <c r="C56" s="136"/>
    </row>
    <row r="57" spans="1:7" x14ac:dyDescent="0.25">
      <c r="C57" s="189" t="s">
        <v>322</v>
      </c>
      <c r="D57" s="189"/>
    </row>
    <row r="58" spans="1:7" ht="15.75" thickBot="1" x14ac:dyDescent="0.3">
      <c r="A58" s="1" t="s">
        <v>310</v>
      </c>
      <c r="C58" s="157" t="s">
        <v>320</v>
      </c>
      <c r="D58" s="157" t="s">
        <v>321</v>
      </c>
    </row>
    <row r="59" spans="1:7" x14ac:dyDescent="0.25">
      <c r="A59" s="90" t="s">
        <v>22</v>
      </c>
      <c r="C59" s="137">
        <v>0.86</v>
      </c>
      <c r="D59" s="140">
        <v>1</v>
      </c>
    </row>
    <row r="60" spans="1:7" x14ac:dyDescent="0.25">
      <c r="A60" s="90" t="s">
        <v>23</v>
      </c>
      <c r="C60" s="138">
        <v>0.96</v>
      </c>
      <c r="D60" s="141">
        <v>0.96</v>
      </c>
    </row>
    <row r="61" spans="1:7" x14ac:dyDescent="0.25">
      <c r="A61" s="90" t="s">
        <v>24</v>
      </c>
      <c r="C61" s="138">
        <v>0.86</v>
      </c>
      <c r="D61" s="141">
        <v>1</v>
      </c>
    </row>
    <row r="62" spans="1:7" ht="15.75" thickBot="1" x14ac:dyDescent="0.3">
      <c r="A62" s="90" t="s">
        <v>25</v>
      </c>
      <c r="C62" s="139">
        <v>0.96</v>
      </c>
      <c r="D62" s="142">
        <v>0.96</v>
      </c>
    </row>
    <row r="63" spans="1:7" x14ac:dyDescent="0.25">
      <c r="C63" s="136"/>
      <c r="D63" s="143"/>
      <c r="G63" s="157"/>
    </row>
    <row r="64" spans="1:7" x14ac:dyDescent="0.25">
      <c r="C64" s="136"/>
      <c r="D64" s="143"/>
    </row>
    <row r="65" spans="1:8" x14ac:dyDescent="0.25">
      <c r="A65" s="1" t="s">
        <v>130</v>
      </c>
    </row>
    <row r="66" spans="1:8" x14ac:dyDescent="0.25">
      <c r="A66" s="90" t="s">
        <v>128</v>
      </c>
    </row>
    <row r="67" spans="1:8" x14ac:dyDescent="0.25">
      <c r="A67" s="90" t="s">
        <v>129</v>
      </c>
    </row>
    <row r="68" spans="1:8" ht="15.75" thickBot="1" x14ac:dyDescent="0.3">
      <c r="A68" s="1" t="s">
        <v>311</v>
      </c>
      <c r="C68" s="158" t="s">
        <v>323</v>
      </c>
    </row>
    <row r="69" spans="1:8" x14ac:dyDescent="0.25">
      <c r="A69" s="90" t="s">
        <v>22</v>
      </c>
      <c r="C69" s="10">
        <v>0.23799999999999999</v>
      </c>
    </row>
    <row r="70" spans="1:8" x14ac:dyDescent="0.25">
      <c r="A70" s="90" t="s">
        <v>23</v>
      </c>
      <c r="C70" s="11">
        <v>0.23499999999999999</v>
      </c>
    </row>
    <row r="71" spans="1:8" x14ac:dyDescent="0.25">
      <c r="A71" s="90" t="s">
        <v>24</v>
      </c>
      <c r="C71" s="11">
        <v>0.22900000000000001</v>
      </c>
    </row>
    <row r="72" spans="1:8" ht="15.75" thickBot="1" x14ac:dyDescent="0.3">
      <c r="A72" s="90" t="s">
        <v>25</v>
      </c>
      <c r="C72" s="12">
        <v>0.23499999999999999</v>
      </c>
    </row>
    <row r="73" spans="1:8" x14ac:dyDescent="0.25">
      <c r="C73" s="146"/>
    </row>
    <row r="77" spans="1:8" ht="20.25" thickBot="1" x14ac:dyDescent="0.35">
      <c r="A77" s="131" t="s">
        <v>216</v>
      </c>
    </row>
    <row r="78" spans="1:8" ht="15.75" thickTop="1" x14ac:dyDescent="0.25"/>
    <row r="79" spans="1:8" x14ac:dyDescent="0.25">
      <c r="A79" s="1" t="s">
        <v>11</v>
      </c>
      <c r="C79" s="193" t="s">
        <v>230</v>
      </c>
      <c r="D79" s="193"/>
      <c r="E79" s="188" t="s">
        <v>42</v>
      </c>
      <c r="F79" s="188"/>
      <c r="G79" s="76"/>
      <c r="H79" s="76"/>
    </row>
    <row r="80" spans="1:8" ht="15.75" thickBot="1" x14ac:dyDescent="0.3">
      <c r="A80" s="2" t="s">
        <v>18</v>
      </c>
      <c r="C80" s="146" t="s">
        <v>12</v>
      </c>
      <c r="D80" s="146" t="s">
        <v>13</v>
      </c>
      <c r="E80" s="146" t="s">
        <v>15</v>
      </c>
      <c r="F80" s="146" t="s">
        <v>16</v>
      </c>
    </row>
    <row r="81" spans="1:6" x14ac:dyDescent="0.25">
      <c r="A81" s="90" t="s">
        <v>225</v>
      </c>
      <c r="C81" s="144">
        <v>-15.22</v>
      </c>
      <c r="D81" s="145">
        <v>1.68</v>
      </c>
      <c r="E81" s="77">
        <v>-5.47</v>
      </c>
      <c r="F81" s="145">
        <v>0.56000000000000005</v>
      </c>
    </row>
    <row r="82" spans="1:6" x14ac:dyDescent="0.25">
      <c r="A82" s="90" t="s">
        <v>221</v>
      </c>
      <c r="C82" s="5">
        <v>-12.4</v>
      </c>
      <c r="D82" s="6">
        <v>1.41</v>
      </c>
      <c r="E82" s="173">
        <v>-5.74</v>
      </c>
      <c r="F82" s="6">
        <v>0.54</v>
      </c>
    </row>
    <row r="83" spans="1:6" x14ac:dyDescent="0.25">
      <c r="A83" s="90" t="s">
        <v>224</v>
      </c>
      <c r="C83" s="5">
        <v>-11.63</v>
      </c>
      <c r="D83" s="6">
        <v>1.33</v>
      </c>
      <c r="E83" s="173">
        <v>-7.99</v>
      </c>
      <c r="F83" s="6">
        <v>0.81</v>
      </c>
    </row>
    <row r="84" spans="1:6" x14ac:dyDescent="0.25">
      <c r="A84" s="90" t="s">
        <v>223</v>
      </c>
      <c r="C84" s="5">
        <v>-13.34</v>
      </c>
      <c r="D84" s="6">
        <v>1.36</v>
      </c>
      <c r="E84" s="173">
        <v>-5.05</v>
      </c>
      <c r="F84" s="6">
        <v>0.47</v>
      </c>
    </row>
    <row r="85" spans="1:6" ht="15.75" thickBot="1" x14ac:dyDescent="0.3">
      <c r="A85" s="90" t="s">
        <v>222</v>
      </c>
      <c r="C85" s="7">
        <v>-9.6999999999999993</v>
      </c>
      <c r="D85" s="9">
        <v>1.17</v>
      </c>
      <c r="E85" s="78">
        <v>-4.82</v>
      </c>
      <c r="F85" s="9">
        <v>0.54</v>
      </c>
    </row>
    <row r="86" spans="1:6" ht="15.75" thickBot="1" x14ac:dyDescent="0.3">
      <c r="A86" s="2" t="s">
        <v>19</v>
      </c>
      <c r="C86" s="146"/>
      <c r="D86" s="146"/>
      <c r="E86" s="146"/>
      <c r="F86" s="146"/>
    </row>
    <row r="87" spans="1:6" x14ac:dyDescent="0.25">
      <c r="A87" s="90" t="s">
        <v>225</v>
      </c>
      <c r="C87" s="144">
        <v>-16.22</v>
      </c>
      <c r="D87" s="145">
        <v>1.66</v>
      </c>
      <c r="E87" s="77">
        <v>-3.96</v>
      </c>
      <c r="F87" s="145">
        <v>0.23</v>
      </c>
    </row>
    <row r="88" spans="1:6" x14ac:dyDescent="0.25">
      <c r="A88" s="90" t="s">
        <v>221</v>
      </c>
      <c r="C88" s="5">
        <v>-16.45</v>
      </c>
      <c r="D88" s="6">
        <v>1.69</v>
      </c>
      <c r="E88" s="173">
        <v>-6.37</v>
      </c>
      <c r="F88" s="6">
        <v>0.47</v>
      </c>
    </row>
    <row r="89" spans="1:6" x14ac:dyDescent="0.25">
      <c r="A89" s="90" t="s">
        <v>224</v>
      </c>
      <c r="C89" s="5">
        <v>-12.08</v>
      </c>
      <c r="D89" s="6">
        <v>1.25</v>
      </c>
      <c r="E89" s="173">
        <v>-7.37</v>
      </c>
      <c r="F89" s="6">
        <v>0.61</v>
      </c>
    </row>
    <row r="90" spans="1:6" x14ac:dyDescent="0.25">
      <c r="A90" s="90" t="s">
        <v>223</v>
      </c>
      <c r="C90" s="5">
        <v>-12.76</v>
      </c>
      <c r="D90" s="6">
        <v>1.28</v>
      </c>
      <c r="E90" s="173">
        <v>-8.7100000000000009</v>
      </c>
      <c r="F90" s="6">
        <v>0.66</v>
      </c>
    </row>
    <row r="91" spans="1:6" ht="15.75" thickBot="1" x14ac:dyDescent="0.3">
      <c r="A91" s="90" t="s">
        <v>222</v>
      </c>
      <c r="C91" s="7">
        <v>-10.47</v>
      </c>
      <c r="D91" s="9">
        <v>1.1200000000000001</v>
      </c>
      <c r="E91" s="78">
        <v>-4.43</v>
      </c>
      <c r="F91" s="9">
        <v>0.35</v>
      </c>
    </row>
    <row r="92" spans="1:6" ht="15.75" thickBot="1" x14ac:dyDescent="0.3">
      <c r="A92" s="2" t="s">
        <v>20</v>
      </c>
      <c r="C92" s="146"/>
      <c r="D92" s="146"/>
      <c r="E92" s="146"/>
      <c r="F92" s="146"/>
    </row>
    <row r="93" spans="1:6" x14ac:dyDescent="0.25">
      <c r="A93" s="90" t="s">
        <v>225</v>
      </c>
      <c r="C93" s="144">
        <v>-15.62</v>
      </c>
      <c r="D93" s="145">
        <v>1.69</v>
      </c>
      <c r="E93" s="77">
        <v>-6.51</v>
      </c>
      <c r="F93" s="145">
        <v>0.64</v>
      </c>
    </row>
    <row r="94" spans="1:6" x14ac:dyDescent="0.25">
      <c r="A94" s="90" t="s">
        <v>221</v>
      </c>
      <c r="C94" s="5">
        <v>-11.95</v>
      </c>
      <c r="D94" s="6">
        <v>1.33</v>
      </c>
      <c r="E94" s="173">
        <v>-6.28</v>
      </c>
      <c r="F94" s="6">
        <v>0.56000000000000005</v>
      </c>
    </row>
    <row r="95" spans="1:6" x14ac:dyDescent="0.25">
      <c r="A95" s="90" t="s">
        <v>224</v>
      </c>
      <c r="C95" s="5">
        <v>-12.53</v>
      </c>
      <c r="D95" s="6">
        <v>1.38</v>
      </c>
      <c r="E95" s="173">
        <v>-8.5</v>
      </c>
      <c r="F95" s="6">
        <v>0.84</v>
      </c>
    </row>
    <row r="96" spans="1:6" x14ac:dyDescent="0.25">
      <c r="A96" s="90" t="s">
        <v>223</v>
      </c>
      <c r="C96" s="5">
        <v>-12.81</v>
      </c>
      <c r="D96" s="6">
        <v>1.38</v>
      </c>
      <c r="E96" s="173">
        <v>-5.04</v>
      </c>
      <c r="F96" s="6">
        <v>0.45</v>
      </c>
    </row>
    <row r="97" spans="1:12" ht="15.75" thickBot="1" x14ac:dyDescent="0.3">
      <c r="A97" s="90" t="s">
        <v>222</v>
      </c>
      <c r="C97" s="7">
        <v>-9.9700000000000006</v>
      </c>
      <c r="D97" s="9">
        <v>1.17</v>
      </c>
      <c r="E97" s="78">
        <v>-5.83</v>
      </c>
      <c r="F97" s="9">
        <v>0.61</v>
      </c>
    </row>
    <row r="99" spans="1:12" x14ac:dyDescent="0.25">
      <c r="C99" s="189" t="s">
        <v>312</v>
      </c>
      <c r="D99" s="189"/>
      <c r="E99" s="189"/>
      <c r="F99" s="189"/>
      <c r="G99" s="189"/>
      <c r="H99" s="189"/>
      <c r="I99" s="189"/>
      <c r="J99" s="189"/>
      <c r="K99" s="189"/>
    </row>
    <row r="100" spans="1:12" ht="15.75" thickBot="1" x14ac:dyDescent="0.3">
      <c r="A100" s="2" t="s">
        <v>314</v>
      </c>
      <c r="C100" s="172" t="s">
        <v>231</v>
      </c>
      <c r="D100" s="172" t="s">
        <v>232</v>
      </c>
      <c r="E100" s="172" t="s">
        <v>233</v>
      </c>
      <c r="F100" s="172" t="s">
        <v>234</v>
      </c>
      <c r="G100" s="172" t="s">
        <v>235</v>
      </c>
      <c r="H100" s="172" t="s">
        <v>236</v>
      </c>
      <c r="I100" s="172" t="s">
        <v>208</v>
      </c>
      <c r="J100" s="172" t="s">
        <v>244</v>
      </c>
      <c r="K100" s="172" t="s">
        <v>245</v>
      </c>
    </row>
    <row r="101" spans="1:12" x14ac:dyDescent="0.25">
      <c r="A101" s="90" t="s">
        <v>225</v>
      </c>
      <c r="C101" s="144">
        <v>0.158</v>
      </c>
      <c r="D101" s="4">
        <v>0.05</v>
      </c>
      <c r="E101" s="4">
        <v>0.17199999999999999</v>
      </c>
      <c r="F101" s="4">
        <v>2.3E-2</v>
      </c>
      <c r="G101" s="4">
        <v>8.3000000000000004E-2</v>
      </c>
      <c r="H101" s="4">
        <v>1.6E-2</v>
      </c>
      <c r="I101" s="4">
        <v>2.5000000000000001E-2</v>
      </c>
      <c r="J101" s="4">
        <v>1</v>
      </c>
      <c r="K101" s="145">
        <v>0.32300000000000001</v>
      </c>
      <c r="L101" s="148"/>
    </row>
    <row r="102" spans="1:12" x14ac:dyDescent="0.25">
      <c r="A102" s="90" t="s">
        <v>221</v>
      </c>
      <c r="C102" s="5">
        <v>0.10199999999999999</v>
      </c>
      <c r="D102" s="3">
        <v>3.2000000000000001E-2</v>
      </c>
      <c r="E102" s="3">
        <v>0.11</v>
      </c>
      <c r="F102" s="3">
        <v>1.4999999999999999E-2</v>
      </c>
      <c r="G102" s="3">
        <v>5.2999999999999999E-2</v>
      </c>
      <c r="H102" s="159">
        <v>0.01</v>
      </c>
      <c r="I102" s="3">
        <v>1.6E-2</v>
      </c>
      <c r="J102" s="3">
        <v>1</v>
      </c>
      <c r="K102" s="6">
        <v>0.24299999999999999</v>
      </c>
    </row>
    <row r="103" spans="1:12" x14ac:dyDescent="0.25">
      <c r="A103" s="90" t="s">
        <v>224</v>
      </c>
      <c r="C103" s="5">
        <v>0.182</v>
      </c>
      <c r="D103" s="3">
        <v>5.8000000000000003E-2</v>
      </c>
      <c r="E103" s="3">
        <v>0.19800000000000001</v>
      </c>
      <c r="F103" s="3">
        <v>2.5999999999999999E-2</v>
      </c>
      <c r="G103" s="3">
        <v>9.6000000000000002E-2</v>
      </c>
      <c r="H103" s="3">
        <v>1.7999999999999999E-2</v>
      </c>
      <c r="I103" s="3">
        <v>2.9000000000000001E-2</v>
      </c>
      <c r="J103" s="3">
        <v>1.1719999999999999</v>
      </c>
      <c r="K103" s="6">
        <v>0.34200000000000003</v>
      </c>
    </row>
    <row r="104" spans="1:12" x14ac:dyDescent="0.25">
      <c r="A104" s="90" t="s">
        <v>223</v>
      </c>
      <c r="C104" s="5">
        <v>3.3000000000000002E-2</v>
      </c>
      <c r="D104" s="3">
        <v>1.0999999999999999E-2</v>
      </c>
      <c r="E104" s="3">
        <v>3.5999999999999997E-2</v>
      </c>
      <c r="F104" s="3">
        <v>5.0000000000000001E-3</v>
      </c>
      <c r="G104" s="3">
        <v>1.7999999999999999E-2</v>
      </c>
      <c r="H104" s="3">
        <v>3.0000000000000001E-3</v>
      </c>
      <c r="I104" s="3">
        <v>5.0000000000000001E-3</v>
      </c>
      <c r="J104" s="3">
        <v>1.1060000000000001</v>
      </c>
      <c r="K104" s="6">
        <v>0.28399999999999997</v>
      </c>
    </row>
    <row r="105" spans="1:12" ht="15.75" thickBot="1" x14ac:dyDescent="0.3">
      <c r="A105" s="90" t="s">
        <v>222</v>
      </c>
      <c r="C105" s="7">
        <v>0.16500000000000001</v>
      </c>
      <c r="D105" s="8">
        <v>5.2999999999999999E-2</v>
      </c>
      <c r="E105" s="8">
        <v>0.18099999999999999</v>
      </c>
      <c r="F105" s="8">
        <v>2.4E-2</v>
      </c>
      <c r="G105" s="8">
        <v>8.6999999999999994E-2</v>
      </c>
      <c r="H105" s="8">
        <v>1.6E-2</v>
      </c>
      <c r="I105" s="8">
        <v>2.7E-2</v>
      </c>
      <c r="J105" s="8">
        <v>1.1719999999999999</v>
      </c>
      <c r="K105" s="9">
        <v>0.26900000000000002</v>
      </c>
    </row>
    <row r="107" spans="1:12" ht="15.75" thickBot="1" x14ac:dyDescent="0.3">
      <c r="C107" s="190" t="s">
        <v>325</v>
      </c>
      <c r="D107" s="190"/>
      <c r="E107" s="190" t="s">
        <v>313</v>
      </c>
      <c r="F107" s="190"/>
    </row>
    <row r="108" spans="1:12" x14ac:dyDescent="0.25">
      <c r="A108" s="2" t="s">
        <v>254</v>
      </c>
      <c r="C108" s="144" t="s">
        <v>252</v>
      </c>
      <c r="D108" s="145" t="s">
        <v>253</v>
      </c>
      <c r="E108" s="144" t="s">
        <v>252</v>
      </c>
      <c r="F108" s="145" t="s">
        <v>253</v>
      </c>
    </row>
    <row r="109" spans="1:12" x14ac:dyDescent="0.25">
      <c r="A109" s="90" t="s">
        <v>225</v>
      </c>
      <c r="C109" s="100">
        <v>3.5999999999999997E-2</v>
      </c>
      <c r="D109" s="163">
        <v>5.0000000000000001E-3</v>
      </c>
      <c r="E109" s="100">
        <v>1.7999999999999999E-2</v>
      </c>
      <c r="F109" s="163">
        <v>4.0000000000000001E-3</v>
      </c>
    </row>
    <row r="110" spans="1:12" x14ac:dyDescent="0.25">
      <c r="A110" s="90" t="s">
        <v>221</v>
      </c>
      <c r="C110" s="100">
        <v>4.1000000000000002E-2</v>
      </c>
      <c r="D110" s="163">
        <v>1.2999999999999999E-2</v>
      </c>
      <c r="E110" s="100">
        <v>2.7E-2</v>
      </c>
      <c r="F110" s="163">
        <v>7.0000000000000001E-3</v>
      </c>
    </row>
    <row r="111" spans="1:12" x14ac:dyDescent="0.25">
      <c r="A111" s="90" t="s">
        <v>224</v>
      </c>
      <c r="C111" s="100">
        <v>2.1999999999999999E-2</v>
      </c>
      <c r="D111" s="163">
        <v>8.9999999999999993E-3</v>
      </c>
      <c r="E111" s="100">
        <v>1.0999999999999999E-2</v>
      </c>
      <c r="F111" s="163">
        <v>2E-3</v>
      </c>
    </row>
    <row r="112" spans="1:12" x14ac:dyDescent="0.25">
      <c r="A112" s="90" t="s">
        <v>223</v>
      </c>
      <c r="C112" s="100">
        <v>6.7000000000000004E-2</v>
      </c>
      <c r="D112" s="163">
        <v>1.9E-2</v>
      </c>
      <c r="E112" s="100">
        <v>1.2999999999999999E-2</v>
      </c>
      <c r="F112" s="163">
        <v>5.0000000000000001E-3</v>
      </c>
    </row>
    <row r="113" spans="1:6" ht="15.75" thickBot="1" x14ac:dyDescent="0.3">
      <c r="A113" s="90" t="s">
        <v>222</v>
      </c>
      <c r="C113" s="103">
        <v>0.03</v>
      </c>
      <c r="D113" s="164">
        <v>2.3E-2</v>
      </c>
      <c r="E113" s="153">
        <v>0.05</v>
      </c>
      <c r="F113" s="164">
        <v>1.2E-2</v>
      </c>
    </row>
    <row r="114" spans="1:6" ht="15.75" thickBot="1" x14ac:dyDescent="0.3">
      <c r="A114" s="2"/>
      <c r="B114" s="188" t="s">
        <v>324</v>
      </c>
      <c r="C114" s="188"/>
      <c r="D114" s="188"/>
      <c r="E114" s="188"/>
    </row>
    <row r="115" spans="1:6" ht="15.75" thickBot="1" x14ac:dyDescent="0.3">
      <c r="B115" s="191" t="s">
        <v>261</v>
      </c>
      <c r="C115" s="192"/>
      <c r="D115" s="191" t="s">
        <v>215</v>
      </c>
      <c r="E115" s="192"/>
    </row>
    <row r="116" spans="1:6" x14ac:dyDescent="0.25">
      <c r="A116" s="1" t="s">
        <v>308</v>
      </c>
      <c r="B116" s="160" t="s">
        <v>259</v>
      </c>
      <c r="C116" s="160" t="s">
        <v>260</v>
      </c>
      <c r="D116" s="160" t="s">
        <v>259</v>
      </c>
      <c r="E116" s="160" t="s">
        <v>260</v>
      </c>
    </row>
    <row r="117" spans="1:6" x14ac:dyDescent="0.25">
      <c r="A117" s="90" t="s">
        <v>225</v>
      </c>
      <c r="B117" s="161">
        <v>1.4650000000000001</v>
      </c>
      <c r="C117" s="161">
        <v>2.0739999999999998</v>
      </c>
      <c r="D117" s="161">
        <v>3.4279999999999999</v>
      </c>
      <c r="E117" s="161">
        <v>4.8529999999999998</v>
      </c>
    </row>
    <row r="118" spans="1:6" x14ac:dyDescent="0.25">
      <c r="A118" s="90" t="s">
        <v>221</v>
      </c>
      <c r="B118" s="161">
        <v>1.4650000000000001</v>
      </c>
      <c r="C118" s="161">
        <v>2.0739999999999998</v>
      </c>
      <c r="D118" s="161">
        <v>3.4279999999999999</v>
      </c>
      <c r="E118" s="161">
        <v>4.8529999999999998</v>
      </c>
    </row>
    <row r="119" spans="1:6" x14ac:dyDescent="0.25">
      <c r="A119" s="90" t="s">
        <v>224</v>
      </c>
      <c r="B119" s="161">
        <v>1.1000000000000001</v>
      </c>
      <c r="C119" s="161">
        <v>1.7090000000000001</v>
      </c>
      <c r="D119" s="161">
        <v>2.5739999999999998</v>
      </c>
      <c r="E119" s="161">
        <v>3.9990000000000001</v>
      </c>
    </row>
    <row r="120" spans="1:6" x14ac:dyDescent="0.25">
      <c r="A120" s="90" t="s">
        <v>223</v>
      </c>
      <c r="B120" s="161">
        <v>1.1000000000000001</v>
      </c>
      <c r="C120" s="161">
        <v>1.7090000000000001</v>
      </c>
      <c r="D120" s="161">
        <v>2.5739999999999998</v>
      </c>
      <c r="E120" s="161">
        <v>3.9990000000000001</v>
      </c>
    </row>
    <row r="121" spans="1:6" ht="15.75" thickBot="1" x14ac:dyDescent="0.3">
      <c r="A121" s="90" t="s">
        <v>222</v>
      </c>
      <c r="B121" s="162">
        <v>1.1000000000000001</v>
      </c>
      <c r="C121" s="162">
        <v>1.7090000000000001</v>
      </c>
      <c r="D121" s="162">
        <v>2.5739999999999998</v>
      </c>
      <c r="E121" s="162">
        <v>3.9990000000000001</v>
      </c>
    </row>
    <row r="123" spans="1:6" x14ac:dyDescent="0.25">
      <c r="B123" s="1" t="s">
        <v>327</v>
      </c>
    </row>
    <row r="124" spans="1:6" ht="18.75" thickBot="1" x14ac:dyDescent="0.4">
      <c r="A124" s="1" t="s">
        <v>263</v>
      </c>
      <c r="B124" s="146" t="s">
        <v>326</v>
      </c>
    </row>
    <row r="125" spans="1:6" x14ac:dyDescent="0.25">
      <c r="A125" s="165">
        <v>2</v>
      </c>
      <c r="B125" s="10">
        <v>0.23200000000000001</v>
      </c>
    </row>
    <row r="126" spans="1:6" x14ac:dyDescent="0.25">
      <c r="A126" s="165">
        <v>5</v>
      </c>
      <c r="B126" s="11">
        <v>0.13300000000000001</v>
      </c>
    </row>
    <row r="127" spans="1:6" x14ac:dyDescent="0.25">
      <c r="A127" s="165">
        <v>10</v>
      </c>
      <c r="B127" s="11">
        <v>8.6999999999999994E-2</v>
      </c>
    </row>
    <row r="128" spans="1:6" x14ac:dyDescent="0.25">
      <c r="A128" s="165">
        <v>15</v>
      </c>
      <c r="B128" s="11">
        <v>6.8000000000000005E-2</v>
      </c>
    </row>
    <row r="129" spans="1:2" x14ac:dyDescent="0.25">
      <c r="A129" s="165">
        <v>20</v>
      </c>
      <c r="B129" s="11">
        <v>5.7000000000000002E-2</v>
      </c>
    </row>
    <row r="130" spans="1:2" x14ac:dyDescent="0.25">
      <c r="A130" s="165">
        <v>25</v>
      </c>
      <c r="B130" s="11">
        <v>4.9000000000000002E-2</v>
      </c>
    </row>
    <row r="131" spans="1:2" ht="15.75" thickBot="1" x14ac:dyDescent="0.3">
      <c r="A131" s="165">
        <v>30</v>
      </c>
      <c r="B131" s="12">
        <v>4.3999999999999997E-2</v>
      </c>
    </row>
    <row r="133" spans="1:2" x14ac:dyDescent="0.25">
      <c r="B133" s="1" t="s">
        <v>328</v>
      </c>
    </row>
    <row r="134" spans="1:2" ht="18.75" thickBot="1" x14ac:dyDescent="0.4">
      <c r="B134" s="146" t="s">
        <v>329</v>
      </c>
    </row>
    <row r="135" spans="1:2" x14ac:dyDescent="0.25">
      <c r="A135" s="90" t="s">
        <v>225</v>
      </c>
      <c r="B135" s="10">
        <v>5.8999999999999997E-2</v>
      </c>
    </row>
    <row r="136" spans="1:2" x14ac:dyDescent="0.25">
      <c r="A136" s="90" t="s">
        <v>221</v>
      </c>
      <c r="B136" s="11">
        <v>3.4000000000000002E-2</v>
      </c>
    </row>
    <row r="137" spans="1:2" x14ac:dyDescent="0.25">
      <c r="A137" s="90" t="s">
        <v>224</v>
      </c>
      <c r="B137" s="11">
        <v>3.6999999999999998E-2</v>
      </c>
    </row>
    <row r="138" spans="1:2" x14ac:dyDescent="0.25">
      <c r="A138" s="90" t="s">
        <v>223</v>
      </c>
      <c r="B138" s="11">
        <v>3.5999999999999997E-2</v>
      </c>
    </row>
    <row r="139" spans="1:2" ht="15.75" thickBot="1" x14ac:dyDescent="0.3">
      <c r="A139" s="90" t="s">
        <v>222</v>
      </c>
      <c r="B139" s="12">
        <v>1.6E-2</v>
      </c>
    </row>
    <row r="141" spans="1:2" ht="15.75" thickBot="1" x14ac:dyDescent="0.3">
      <c r="A141" s="1" t="s">
        <v>331</v>
      </c>
      <c r="B141" s="1" t="s">
        <v>330</v>
      </c>
    </row>
    <row r="142" spans="1:2" x14ac:dyDescent="0.25">
      <c r="A142" s="90" t="s">
        <v>265</v>
      </c>
      <c r="B142" s="166">
        <v>1</v>
      </c>
    </row>
    <row r="143" spans="1:2" x14ac:dyDescent="0.25">
      <c r="A143" s="90" t="s">
        <v>266</v>
      </c>
      <c r="B143" s="161">
        <v>1.01</v>
      </c>
    </row>
    <row r="144" spans="1:2" x14ac:dyDescent="0.25">
      <c r="A144" s="90" t="s">
        <v>267</v>
      </c>
      <c r="B144" s="161">
        <v>1</v>
      </c>
    </row>
    <row r="145" spans="1:5" x14ac:dyDescent="0.25">
      <c r="A145" s="90" t="s">
        <v>268</v>
      </c>
      <c r="B145" s="161">
        <v>0.99</v>
      </c>
    </row>
    <row r="146" spans="1:5" x14ac:dyDescent="0.25">
      <c r="A146" s="90" t="s">
        <v>269</v>
      </c>
      <c r="B146" s="161">
        <v>0.98</v>
      </c>
    </row>
    <row r="147" spans="1:5" x14ac:dyDescent="0.25">
      <c r="A147" s="90" t="s">
        <v>270</v>
      </c>
      <c r="B147" s="161">
        <v>0.97</v>
      </c>
    </row>
    <row r="148" spans="1:5" x14ac:dyDescent="0.25">
      <c r="A148" s="90" t="s">
        <v>271</v>
      </c>
      <c r="B148" s="161">
        <v>0.96</v>
      </c>
    </row>
    <row r="149" spans="1:5" x14ac:dyDescent="0.25">
      <c r="A149" s="90" t="s">
        <v>272</v>
      </c>
      <c r="B149" s="161">
        <v>0.95</v>
      </c>
    </row>
    <row r="150" spans="1:5" x14ac:dyDescent="0.25">
      <c r="A150" s="90" t="s">
        <v>273</v>
      </c>
      <c r="B150" s="161">
        <v>0.94</v>
      </c>
    </row>
    <row r="151" spans="1:5" x14ac:dyDescent="0.25">
      <c r="A151" s="90" t="s">
        <v>274</v>
      </c>
      <c r="B151" s="161">
        <v>0.93</v>
      </c>
    </row>
    <row r="152" spans="1:5" x14ac:dyDescent="0.25">
      <c r="A152" s="90" t="s">
        <v>275</v>
      </c>
      <c r="B152" s="161">
        <v>0.93</v>
      </c>
    </row>
    <row r="153" spans="1:5" x14ac:dyDescent="0.25">
      <c r="A153" s="90" t="s">
        <v>276</v>
      </c>
      <c r="B153" s="161">
        <v>0.92</v>
      </c>
    </row>
    <row r="154" spans="1:5" ht="15.75" thickBot="1" x14ac:dyDescent="0.3">
      <c r="A154" s="90" t="s">
        <v>264</v>
      </c>
      <c r="B154" s="162">
        <v>1</v>
      </c>
    </row>
    <row r="156" spans="1:5" x14ac:dyDescent="0.25">
      <c r="A156" s="90" t="s">
        <v>332</v>
      </c>
      <c r="B156" s="188" t="s">
        <v>337</v>
      </c>
      <c r="C156" s="188"/>
      <c r="D156" s="188"/>
      <c r="E156" s="188"/>
    </row>
    <row r="157" spans="1:5" ht="18.75" thickBot="1" x14ac:dyDescent="0.4">
      <c r="B157" s="146" t="s">
        <v>333</v>
      </c>
      <c r="C157" s="146" t="s">
        <v>334</v>
      </c>
      <c r="D157" s="146" t="s">
        <v>335</v>
      </c>
      <c r="E157" s="146" t="s">
        <v>336</v>
      </c>
    </row>
    <row r="158" spans="1:5" x14ac:dyDescent="0.25">
      <c r="A158" s="90" t="s">
        <v>225</v>
      </c>
      <c r="B158" s="101">
        <v>0.42399999999999999</v>
      </c>
      <c r="C158" s="167">
        <v>0.57599999999999996</v>
      </c>
      <c r="D158" s="167">
        <v>0.316</v>
      </c>
      <c r="E158" s="168">
        <f>1-(D158*(1-0.72*B158-0.83*C158))</f>
        <v>0.93154176</v>
      </c>
    </row>
    <row r="159" spans="1:5" x14ac:dyDescent="0.25">
      <c r="A159" s="90" t="s">
        <v>221</v>
      </c>
      <c r="B159" s="100">
        <v>0.42899999999999999</v>
      </c>
      <c r="C159" s="159">
        <v>0.57099999999999995</v>
      </c>
      <c r="D159" s="159">
        <v>0.30399999999999999</v>
      </c>
      <c r="E159" s="163">
        <f>1-(D159*(1-0.72*B159-0.83*C159))</f>
        <v>0.93397423999999996</v>
      </c>
    </row>
    <row r="160" spans="1:5" x14ac:dyDescent="0.25">
      <c r="A160" s="90" t="s">
        <v>224</v>
      </c>
      <c r="B160" s="100">
        <v>0.51700000000000002</v>
      </c>
      <c r="C160" s="159">
        <v>0.48299999999999998</v>
      </c>
      <c r="D160" s="159">
        <v>0.36499999999999999</v>
      </c>
      <c r="E160" s="163">
        <f>1-(D160*(1-0.72*B160-0.83*C160))</f>
        <v>0.91719244999999994</v>
      </c>
    </row>
    <row r="161" spans="1:5" x14ac:dyDescent="0.25">
      <c r="A161" s="90" t="s">
        <v>223</v>
      </c>
      <c r="B161" s="100">
        <v>0.36399999999999999</v>
      </c>
      <c r="C161" s="159">
        <v>0.63600000000000001</v>
      </c>
      <c r="D161" s="159">
        <v>0.41</v>
      </c>
      <c r="E161" s="163">
        <f>1-(D161*(1-0.72*B161-0.83*C161))</f>
        <v>0.91388360000000002</v>
      </c>
    </row>
    <row r="162" spans="1:5" ht="15.75" thickBot="1" x14ac:dyDescent="0.3">
      <c r="A162" s="90" t="s">
        <v>222</v>
      </c>
      <c r="B162" s="103">
        <v>0.432</v>
      </c>
      <c r="C162" s="169">
        <v>0.56799999999999995</v>
      </c>
      <c r="D162" s="169">
        <v>0.27400000000000002</v>
      </c>
      <c r="E162" s="164">
        <f>1-(D162*(1-0.72*B162-0.83*C162))</f>
        <v>0.94039951999999993</v>
      </c>
    </row>
    <row r="167" spans="1:5" ht="20.25" thickBot="1" x14ac:dyDescent="0.35">
      <c r="A167" s="131" t="s">
        <v>27</v>
      </c>
    </row>
    <row r="168" spans="1:5" ht="15.75" thickTop="1" x14ac:dyDescent="0.25"/>
    <row r="169" spans="1:5" x14ac:dyDescent="0.25">
      <c r="A169" s="1" t="s">
        <v>35</v>
      </c>
    </row>
    <row r="170" spans="1:5" x14ac:dyDescent="0.25">
      <c r="A170" s="90" t="s">
        <v>189</v>
      </c>
    </row>
    <row r="171" spans="1:5" x14ac:dyDescent="0.25">
      <c r="A171" s="90" t="s">
        <v>190</v>
      </c>
    </row>
    <row r="172" spans="1:5" x14ac:dyDescent="0.25">
      <c r="A172" s="90" t="s">
        <v>191</v>
      </c>
    </row>
    <row r="173" spans="1:5" x14ac:dyDescent="0.25">
      <c r="A173" s="90" t="s">
        <v>192</v>
      </c>
    </row>
    <row r="174" spans="1:5" x14ac:dyDescent="0.25">
      <c r="A174" s="90" t="s">
        <v>193</v>
      </c>
    </row>
    <row r="175" spans="1:5" x14ac:dyDescent="0.25">
      <c r="A175" s="90" t="s">
        <v>194</v>
      </c>
    </row>
    <row r="177" spans="1:10" x14ac:dyDescent="0.25">
      <c r="A177" s="1" t="s">
        <v>34</v>
      </c>
      <c r="C177" s="188" t="s">
        <v>43</v>
      </c>
      <c r="D177" s="188"/>
      <c r="E177" s="188"/>
      <c r="F177" s="188"/>
      <c r="G177" s="188" t="s">
        <v>44</v>
      </c>
      <c r="H177" s="188"/>
      <c r="I177" s="188"/>
      <c r="J177" s="188"/>
    </row>
    <row r="178" spans="1:10" ht="15.75" thickBot="1" x14ac:dyDescent="0.3">
      <c r="A178" s="2" t="s">
        <v>19</v>
      </c>
      <c r="C178" s="146" t="s">
        <v>12</v>
      </c>
      <c r="D178" s="146" t="s">
        <v>13</v>
      </c>
      <c r="E178" s="146" t="s">
        <v>14</v>
      </c>
      <c r="F178" s="146" t="s">
        <v>32</v>
      </c>
      <c r="G178" s="146" t="s">
        <v>15</v>
      </c>
      <c r="H178" s="146" t="s">
        <v>16</v>
      </c>
      <c r="I178" s="146" t="s">
        <v>17</v>
      </c>
      <c r="J178" s="146" t="s">
        <v>33</v>
      </c>
    </row>
    <row r="179" spans="1:10" x14ac:dyDescent="0.25">
      <c r="A179" s="90" t="s">
        <v>189</v>
      </c>
      <c r="C179" s="144">
        <v>-5.226</v>
      </c>
      <c r="D179" s="4">
        <v>0.52400000000000002</v>
      </c>
      <c r="E179" s="4">
        <v>1E-3</v>
      </c>
      <c r="F179" s="4">
        <v>6.9900000000000004E-2</v>
      </c>
      <c r="G179" s="4">
        <v>-2.12</v>
      </c>
      <c r="H179" s="4">
        <v>0.71799999999999997</v>
      </c>
      <c r="I179" s="4">
        <v>1E-3</v>
      </c>
      <c r="J179" s="145">
        <v>0</v>
      </c>
    </row>
    <row r="180" spans="1:10" x14ac:dyDescent="0.25">
      <c r="A180" s="90" t="s">
        <v>190</v>
      </c>
      <c r="C180" s="5">
        <v>-6.6920000000000002</v>
      </c>
      <c r="D180" s="3">
        <v>0.52400000000000002</v>
      </c>
      <c r="E180" s="3">
        <v>1E-3</v>
      </c>
      <c r="F180" s="3">
        <v>6.9900000000000004E-2</v>
      </c>
      <c r="G180" s="3">
        <v>-1.7989999999999999</v>
      </c>
      <c r="H180" s="3">
        <v>0.71799999999999997</v>
      </c>
      <c r="I180" s="3">
        <v>1E-3</v>
      </c>
      <c r="J180" s="6">
        <v>0</v>
      </c>
    </row>
    <row r="181" spans="1:10" x14ac:dyDescent="0.25">
      <c r="A181" s="90" t="s">
        <v>191</v>
      </c>
      <c r="C181" s="5">
        <v>-3.5049999999999999</v>
      </c>
      <c r="D181" s="3">
        <v>0.52400000000000002</v>
      </c>
      <c r="E181" s="3">
        <v>1E-3</v>
      </c>
      <c r="F181" s="3">
        <v>6.9900000000000004E-2</v>
      </c>
      <c r="G181" s="3">
        <v>-1.966</v>
      </c>
      <c r="H181" s="3">
        <v>0.71799999999999997</v>
      </c>
      <c r="I181" s="3">
        <v>1E-3</v>
      </c>
      <c r="J181" s="6">
        <v>0</v>
      </c>
    </row>
    <row r="182" spans="1:10" x14ac:dyDescent="0.25">
      <c r="A182" s="90" t="s">
        <v>192</v>
      </c>
      <c r="C182" s="5">
        <v>-4.9710000000000001</v>
      </c>
      <c r="D182" s="3">
        <v>0.52400000000000002</v>
      </c>
      <c r="E182" s="3">
        <v>1E-3</v>
      </c>
      <c r="F182" s="3">
        <v>6.9900000000000004E-2</v>
      </c>
      <c r="G182" s="3">
        <v>-1.645</v>
      </c>
      <c r="H182" s="3">
        <v>0.71799999999999997</v>
      </c>
      <c r="I182" s="3">
        <v>1E-3</v>
      </c>
      <c r="J182" s="6">
        <v>0</v>
      </c>
    </row>
    <row r="183" spans="1:10" x14ac:dyDescent="0.25">
      <c r="A183" s="90" t="s">
        <v>193</v>
      </c>
      <c r="C183" s="5">
        <v>-3.0230000000000001</v>
      </c>
      <c r="D183" s="3">
        <v>0.52400000000000002</v>
      </c>
      <c r="E183" s="3">
        <v>1E-3</v>
      </c>
      <c r="F183" s="3">
        <v>6.9900000000000004E-2</v>
      </c>
      <c r="G183" s="3">
        <v>-1.9990000000000001</v>
      </c>
      <c r="H183" s="3">
        <v>0.71799999999999997</v>
      </c>
      <c r="I183" s="3">
        <v>1E-3</v>
      </c>
      <c r="J183" s="6">
        <v>0</v>
      </c>
    </row>
    <row r="184" spans="1:10" ht="15.75" thickBot="1" x14ac:dyDescent="0.3">
      <c r="A184" s="90" t="s">
        <v>194</v>
      </c>
      <c r="C184" s="7">
        <v>-4.4889999999999999</v>
      </c>
      <c r="D184" s="8">
        <v>0.52400000000000002</v>
      </c>
      <c r="E184" s="8">
        <v>1E-3</v>
      </c>
      <c r="F184" s="8">
        <v>6.9900000000000004E-2</v>
      </c>
      <c r="G184" s="8">
        <v>-1.6779999999999999</v>
      </c>
      <c r="H184" s="8">
        <v>0.71799999999999997</v>
      </c>
      <c r="I184" s="8">
        <v>1E-3</v>
      </c>
      <c r="J184" s="9">
        <v>0</v>
      </c>
    </row>
    <row r="185" spans="1:10" ht="15.75" thickBot="1" x14ac:dyDescent="0.3">
      <c r="A185" s="2" t="s">
        <v>20</v>
      </c>
    </row>
    <row r="186" spans="1:10" x14ac:dyDescent="0.25">
      <c r="A186" s="90" t="s">
        <v>189</v>
      </c>
      <c r="C186" s="144">
        <v>-3.819</v>
      </c>
      <c r="D186" s="4">
        <v>1.256</v>
      </c>
      <c r="E186" s="4">
        <v>1E-3</v>
      </c>
      <c r="F186" s="4">
        <v>0</v>
      </c>
      <c r="G186" s="4">
        <v>-1.946</v>
      </c>
      <c r="H186" s="4">
        <v>0.68899999999999995</v>
      </c>
      <c r="I186" s="4">
        <v>1E-3</v>
      </c>
      <c r="J186" s="145">
        <v>0</v>
      </c>
    </row>
    <row r="187" spans="1:10" x14ac:dyDescent="0.25">
      <c r="A187" s="90" t="s">
        <v>190</v>
      </c>
      <c r="C187" s="5">
        <v>-4.851</v>
      </c>
      <c r="D187" s="3">
        <v>1.256</v>
      </c>
      <c r="E187" s="3">
        <v>1E-3</v>
      </c>
      <c r="F187" s="3">
        <v>0</v>
      </c>
      <c r="G187" s="3">
        <v>-1.7390000000000001</v>
      </c>
      <c r="H187" s="3">
        <v>0.68899999999999995</v>
      </c>
      <c r="I187" s="3">
        <v>1E-3</v>
      </c>
      <c r="J187" s="6">
        <v>0</v>
      </c>
    </row>
    <row r="188" spans="1:10" x14ac:dyDescent="0.25">
      <c r="A188" s="90" t="s">
        <v>191</v>
      </c>
      <c r="C188" s="5">
        <v>-3.819</v>
      </c>
      <c r="D188" s="3">
        <v>1.256</v>
      </c>
      <c r="E188" s="3">
        <v>1E-3</v>
      </c>
      <c r="F188" s="3">
        <v>0</v>
      </c>
      <c r="G188" s="3">
        <v>-1.7150000000000001</v>
      </c>
      <c r="H188" s="3">
        <v>0.68899999999999995</v>
      </c>
      <c r="I188" s="3">
        <v>1E-3</v>
      </c>
      <c r="J188" s="6">
        <v>0</v>
      </c>
    </row>
    <row r="189" spans="1:10" x14ac:dyDescent="0.25">
      <c r="A189" s="90" t="s">
        <v>192</v>
      </c>
      <c r="C189" s="5">
        <v>-4.851</v>
      </c>
      <c r="D189" s="3">
        <v>1.256</v>
      </c>
      <c r="E189" s="3">
        <v>1E-3</v>
      </c>
      <c r="F189" s="3">
        <v>0</v>
      </c>
      <c r="G189" s="3">
        <v>-1.508</v>
      </c>
      <c r="H189" s="3">
        <v>0.68899999999999995</v>
      </c>
      <c r="I189" s="3">
        <v>1E-3</v>
      </c>
      <c r="J189" s="6">
        <v>0</v>
      </c>
    </row>
    <row r="190" spans="1:10" x14ac:dyDescent="0.25">
      <c r="A190" s="90" t="s">
        <v>193</v>
      </c>
      <c r="C190" s="5">
        <v>-2.9830000000000001</v>
      </c>
      <c r="D190" s="3">
        <v>1.256</v>
      </c>
      <c r="E190" s="3">
        <v>1E-3</v>
      </c>
      <c r="F190" s="3">
        <v>0</v>
      </c>
      <c r="G190" s="3">
        <v>-1.4</v>
      </c>
      <c r="H190" s="3">
        <v>0.68899999999999995</v>
      </c>
      <c r="I190" s="3">
        <v>1E-3</v>
      </c>
      <c r="J190" s="6">
        <v>0</v>
      </c>
    </row>
    <row r="191" spans="1:10" ht="15.75" thickBot="1" x14ac:dyDescent="0.3">
      <c r="A191" s="90" t="s">
        <v>194</v>
      </c>
      <c r="C191" s="7">
        <v>-4.0149999999999997</v>
      </c>
      <c r="D191" s="8">
        <v>1.256</v>
      </c>
      <c r="E191" s="8">
        <v>1E-3</v>
      </c>
      <c r="F191" s="8">
        <v>0</v>
      </c>
      <c r="G191" s="8">
        <v>-1.1930000000000001</v>
      </c>
      <c r="H191" s="8">
        <v>0.68899999999999995</v>
      </c>
      <c r="I191" s="8">
        <v>1E-3</v>
      </c>
      <c r="J191" s="9">
        <v>0</v>
      </c>
    </row>
    <row r="194" spans="1:8" ht="20.25" thickBot="1" x14ac:dyDescent="0.35">
      <c r="A194" s="131" t="s">
        <v>49</v>
      </c>
    </row>
    <row r="195" spans="1:8" ht="15.75" thickTop="1" x14ac:dyDescent="0.25"/>
    <row r="196" spans="1:8" x14ac:dyDescent="0.25">
      <c r="A196" s="1" t="s">
        <v>50</v>
      </c>
    </row>
    <row r="197" spans="1:8" x14ac:dyDescent="0.25">
      <c r="A197" s="90" t="s">
        <v>59</v>
      </c>
    </row>
    <row r="198" spans="1:8" x14ac:dyDescent="0.25">
      <c r="A198" s="90" t="s">
        <v>60</v>
      </c>
    </row>
    <row r="199" spans="1:8" x14ac:dyDescent="0.25">
      <c r="A199" s="90" t="s">
        <v>283</v>
      </c>
    </row>
    <row r="200" spans="1:8" x14ac:dyDescent="0.25">
      <c r="A200" s="90" t="s">
        <v>284</v>
      </c>
    </row>
    <row r="201" spans="1:8" x14ac:dyDescent="0.25">
      <c r="A201" s="90" t="s">
        <v>285</v>
      </c>
    </row>
    <row r="202" spans="1:8" x14ac:dyDescent="0.25">
      <c r="A202" s="90" t="s">
        <v>286</v>
      </c>
    </row>
    <row r="203" spans="1:8" x14ac:dyDescent="0.25">
      <c r="A203" s="90" t="s">
        <v>287</v>
      </c>
    </row>
    <row r="204" spans="1:8" x14ac:dyDescent="0.25">
      <c r="A204" s="90" t="s">
        <v>288</v>
      </c>
    </row>
    <row r="206" spans="1:8" x14ac:dyDescent="0.25">
      <c r="A206" s="1" t="s">
        <v>51</v>
      </c>
      <c r="C206" s="193" t="s">
        <v>55</v>
      </c>
      <c r="D206" s="193"/>
      <c r="E206" s="193"/>
    </row>
    <row r="207" spans="1:8" ht="15.75" thickBot="1" x14ac:dyDescent="0.3">
      <c r="A207" s="2" t="s">
        <v>19</v>
      </c>
      <c r="C207" s="146" t="s">
        <v>54</v>
      </c>
      <c r="D207" s="146" t="s">
        <v>52</v>
      </c>
      <c r="E207" s="20" t="s">
        <v>53</v>
      </c>
      <c r="F207" s="146"/>
      <c r="G207" s="146"/>
      <c r="H207" s="146"/>
    </row>
    <row r="208" spans="1:8" x14ac:dyDescent="0.25">
      <c r="A208" s="90" t="s">
        <v>59</v>
      </c>
      <c r="C208" s="144">
        <v>-3.714</v>
      </c>
      <c r="D208" s="4">
        <v>1.173</v>
      </c>
      <c r="E208" s="145">
        <v>5.0000000000000001E-4</v>
      </c>
    </row>
    <row r="209" spans="1:5" x14ac:dyDescent="0.25">
      <c r="A209" s="90" t="s">
        <v>60</v>
      </c>
      <c r="C209" s="5">
        <v>-3.9740000000000002</v>
      </c>
      <c r="D209" s="3">
        <v>1.173</v>
      </c>
      <c r="E209" s="6">
        <v>5.0000000000000001E-4</v>
      </c>
    </row>
    <row r="210" spans="1:5" x14ac:dyDescent="0.25">
      <c r="A210" s="90" t="s">
        <v>283</v>
      </c>
      <c r="C210" s="5">
        <v>-4.234</v>
      </c>
      <c r="D210" s="3">
        <v>1.173</v>
      </c>
      <c r="E210" s="6">
        <v>5.0000000000000001E-4</v>
      </c>
    </row>
    <row r="211" spans="1:5" x14ac:dyDescent="0.25">
      <c r="A211" s="90" t="s">
        <v>284</v>
      </c>
      <c r="C211" s="99">
        <v>-4.4939999999999998</v>
      </c>
      <c r="D211" s="3">
        <v>1.173</v>
      </c>
      <c r="E211" s="6">
        <v>5.0000000000000001E-4</v>
      </c>
    </row>
    <row r="212" spans="1:5" x14ac:dyDescent="0.25">
      <c r="A212" s="90" t="s">
        <v>285</v>
      </c>
      <c r="C212" s="5">
        <v>-2.6789999999999998</v>
      </c>
      <c r="D212" s="3">
        <v>0.90300000000000002</v>
      </c>
      <c r="E212" s="6">
        <v>5.0000000000000001E-4</v>
      </c>
    </row>
    <row r="213" spans="1:5" x14ac:dyDescent="0.25">
      <c r="A213" s="90" t="s">
        <v>286</v>
      </c>
      <c r="C213" s="5">
        <v>-2.6789999999999998</v>
      </c>
      <c r="D213" s="3">
        <v>0.90300000000000002</v>
      </c>
      <c r="E213" s="6">
        <v>5.0000000000000001E-4</v>
      </c>
    </row>
    <row r="214" spans="1:5" x14ac:dyDescent="0.25">
      <c r="A214" s="90" t="s">
        <v>287</v>
      </c>
      <c r="C214" s="5">
        <v>-2.6789999999999998</v>
      </c>
      <c r="D214" s="3">
        <v>0.90300000000000002</v>
      </c>
      <c r="E214" s="6">
        <v>5.0000000000000001E-4</v>
      </c>
    </row>
    <row r="215" spans="1:5" ht="15.75" thickBot="1" x14ac:dyDescent="0.3">
      <c r="A215" s="90" t="s">
        <v>288</v>
      </c>
      <c r="C215" s="7">
        <v>-2.6789999999999998</v>
      </c>
      <c r="D215" s="8">
        <v>0.90300000000000002</v>
      </c>
      <c r="E215" s="9">
        <v>5.0000000000000001E-4</v>
      </c>
    </row>
    <row r="216" spans="1:5" ht="15.75" thickBot="1" x14ac:dyDescent="0.3">
      <c r="A216" s="2" t="s">
        <v>20</v>
      </c>
      <c r="C216" s="146"/>
      <c r="D216" s="146"/>
      <c r="E216" s="146"/>
    </row>
    <row r="217" spans="1:5" x14ac:dyDescent="0.25">
      <c r="A217" s="90" t="s">
        <v>59</v>
      </c>
      <c r="C217" s="101">
        <v>-2.7959999999999998</v>
      </c>
      <c r="D217" s="4">
        <v>1.2150000000000001</v>
      </c>
      <c r="E217" s="145">
        <v>5.0000000000000001E-4</v>
      </c>
    </row>
    <row r="218" spans="1:5" x14ac:dyDescent="0.25">
      <c r="A218" s="90" t="s">
        <v>60</v>
      </c>
      <c r="C218" s="100">
        <v>-2.9980000000000002</v>
      </c>
      <c r="D218" s="3">
        <v>1.2150000000000001</v>
      </c>
      <c r="E218" s="6">
        <v>5.0000000000000001E-4</v>
      </c>
    </row>
    <row r="219" spans="1:5" x14ac:dyDescent="0.25">
      <c r="A219" s="90" t="s">
        <v>283</v>
      </c>
      <c r="C219" s="100">
        <v>-3.2</v>
      </c>
      <c r="D219" s="3">
        <v>1.2150000000000001</v>
      </c>
      <c r="E219" s="6">
        <v>5.0000000000000001E-4</v>
      </c>
    </row>
    <row r="220" spans="1:5" x14ac:dyDescent="0.25">
      <c r="A220" s="90" t="s">
        <v>284</v>
      </c>
      <c r="C220" s="102">
        <v>-3.4020000000000001</v>
      </c>
      <c r="D220" s="3">
        <v>1.2150000000000001</v>
      </c>
      <c r="E220" s="6">
        <v>5.0000000000000001E-4</v>
      </c>
    </row>
    <row r="221" spans="1:5" x14ac:dyDescent="0.25">
      <c r="A221" s="90" t="s">
        <v>285</v>
      </c>
      <c r="C221" s="100">
        <v>-1.798</v>
      </c>
      <c r="D221" s="3">
        <v>0.93200000000000005</v>
      </c>
      <c r="E221" s="6">
        <v>5.0000000000000001E-4</v>
      </c>
    </row>
    <row r="222" spans="1:5" x14ac:dyDescent="0.25">
      <c r="A222" s="90" t="s">
        <v>286</v>
      </c>
      <c r="C222" s="100">
        <v>-1.798</v>
      </c>
      <c r="D222" s="3">
        <v>0.93200000000000005</v>
      </c>
      <c r="E222" s="6">
        <v>5.0000000000000001E-4</v>
      </c>
    </row>
    <row r="223" spans="1:5" x14ac:dyDescent="0.25">
      <c r="A223" s="90" t="s">
        <v>287</v>
      </c>
      <c r="C223" s="100">
        <v>-1.798</v>
      </c>
      <c r="D223" s="3">
        <v>0.93200000000000005</v>
      </c>
      <c r="E223" s="6">
        <v>5.0000000000000001E-4</v>
      </c>
    </row>
    <row r="224" spans="1:5" ht="15.75" thickBot="1" x14ac:dyDescent="0.3">
      <c r="A224" s="90" t="s">
        <v>288</v>
      </c>
      <c r="C224" s="103">
        <v>-1.798</v>
      </c>
      <c r="D224" s="8">
        <v>0.93200000000000005</v>
      </c>
      <c r="E224" s="9">
        <v>5.0000000000000001E-4</v>
      </c>
    </row>
    <row r="226" spans="1:8" x14ac:dyDescent="0.25">
      <c r="A226" s="90" t="s">
        <v>278</v>
      </c>
      <c r="C226" s="194" t="s">
        <v>293</v>
      </c>
      <c r="D226" s="194"/>
      <c r="E226" s="194"/>
      <c r="F226" s="194"/>
      <c r="G226" s="172"/>
      <c r="H226" s="172"/>
    </row>
    <row r="227" spans="1:8" ht="15.75" thickBot="1" x14ac:dyDescent="0.3">
      <c r="A227" s="2" t="s">
        <v>19</v>
      </c>
      <c r="C227" s="146" t="s">
        <v>54</v>
      </c>
      <c r="D227" s="146" t="s">
        <v>52</v>
      </c>
      <c r="E227" s="20" t="s">
        <v>53</v>
      </c>
      <c r="F227" s="172" t="s">
        <v>95</v>
      </c>
      <c r="G227" s="172"/>
      <c r="H227" s="172"/>
    </row>
    <row r="228" spans="1:8" x14ac:dyDescent="0.25">
      <c r="A228" s="90" t="s">
        <v>59</v>
      </c>
      <c r="C228" s="144">
        <v>0.59399999999999997</v>
      </c>
      <c r="D228" s="4">
        <v>3.1800000000000002E-2</v>
      </c>
      <c r="E228" s="4">
        <v>1E-3</v>
      </c>
      <c r="F228" s="145">
        <v>0.19800000000000001</v>
      </c>
      <c r="G228" s="172"/>
      <c r="H228" s="172"/>
    </row>
    <row r="229" spans="1:8" x14ac:dyDescent="0.25">
      <c r="A229" s="90" t="s">
        <v>60</v>
      </c>
      <c r="C229" s="5">
        <v>0.59399999999999997</v>
      </c>
      <c r="D229" s="3">
        <v>3.1800000000000002E-2</v>
      </c>
      <c r="E229" s="3">
        <v>1E-3</v>
      </c>
      <c r="F229" s="6">
        <v>0.19800000000000001</v>
      </c>
      <c r="G229" s="172"/>
      <c r="H229" s="172"/>
    </row>
    <row r="230" spans="1:8" x14ac:dyDescent="0.25">
      <c r="A230" s="90" t="s">
        <v>283</v>
      </c>
      <c r="C230" s="5">
        <v>0.59399999999999997</v>
      </c>
      <c r="D230" s="3">
        <v>3.1800000000000002E-2</v>
      </c>
      <c r="E230" s="3">
        <v>1E-3</v>
      </c>
      <c r="F230" s="6">
        <v>0.19800000000000001</v>
      </c>
      <c r="G230" s="172"/>
      <c r="H230" s="172"/>
    </row>
    <row r="231" spans="1:8" x14ac:dyDescent="0.25">
      <c r="A231" s="90" t="s">
        <v>284</v>
      </c>
      <c r="C231" s="5">
        <v>0.59399999999999997</v>
      </c>
      <c r="D231" s="3">
        <v>3.1800000000000002E-2</v>
      </c>
      <c r="E231" s="3">
        <v>1E-3</v>
      </c>
      <c r="F231" s="6">
        <v>0.19800000000000001</v>
      </c>
      <c r="G231" s="172"/>
      <c r="H231" s="172"/>
    </row>
    <row r="232" spans="1:8" x14ac:dyDescent="0.25">
      <c r="A232" s="90" t="s">
        <v>285</v>
      </c>
      <c r="C232" s="5">
        <v>0.59399999999999997</v>
      </c>
      <c r="D232" s="3">
        <v>1.1599999999999999E-2</v>
      </c>
      <c r="E232" s="3" t="s">
        <v>102</v>
      </c>
      <c r="F232" s="6" t="s">
        <v>102</v>
      </c>
      <c r="G232" s="172"/>
      <c r="H232" s="172"/>
    </row>
    <row r="233" spans="1:8" x14ac:dyDescent="0.25">
      <c r="A233" s="90" t="s">
        <v>286</v>
      </c>
      <c r="C233" s="5">
        <v>0.59399999999999997</v>
      </c>
      <c r="D233" s="3">
        <v>1.1599999999999999E-2</v>
      </c>
      <c r="E233" s="3" t="s">
        <v>102</v>
      </c>
      <c r="F233" s="6" t="s">
        <v>102</v>
      </c>
      <c r="G233" s="172"/>
      <c r="H233" s="172"/>
    </row>
    <row r="234" spans="1:8" x14ac:dyDescent="0.25">
      <c r="A234" s="90" t="s">
        <v>287</v>
      </c>
      <c r="C234" s="5">
        <v>0.59399999999999997</v>
      </c>
      <c r="D234" s="3">
        <v>1.1599999999999999E-2</v>
      </c>
      <c r="E234" s="3" t="s">
        <v>102</v>
      </c>
      <c r="F234" s="6" t="s">
        <v>102</v>
      </c>
      <c r="G234" s="172"/>
      <c r="H234" s="172"/>
    </row>
    <row r="235" spans="1:8" ht="15.75" thickBot="1" x14ac:dyDescent="0.3">
      <c r="A235" s="90" t="s">
        <v>288</v>
      </c>
      <c r="C235" s="7">
        <v>0.59399999999999997</v>
      </c>
      <c r="D235" s="8">
        <v>1.1599999999999999E-2</v>
      </c>
      <c r="E235" s="8" t="s">
        <v>102</v>
      </c>
      <c r="F235" s="9" t="s">
        <v>102</v>
      </c>
      <c r="G235" s="172"/>
      <c r="H235" s="172"/>
    </row>
    <row r="236" spans="1:8" ht="15.75" thickBot="1" x14ac:dyDescent="0.3">
      <c r="A236" s="2" t="s">
        <v>20</v>
      </c>
      <c r="C236" s="172"/>
      <c r="D236" s="172"/>
      <c r="E236" s="172"/>
      <c r="F236" s="172"/>
      <c r="G236" s="172"/>
      <c r="H236" s="172"/>
    </row>
    <row r="237" spans="1:8" x14ac:dyDescent="0.25">
      <c r="A237" s="90" t="s">
        <v>59</v>
      </c>
      <c r="C237" s="144">
        <v>0.82399999999999995</v>
      </c>
      <c r="D237" s="4">
        <v>2.52E-2</v>
      </c>
      <c r="E237" s="4">
        <v>1E-3</v>
      </c>
      <c r="F237" s="145">
        <v>0</v>
      </c>
      <c r="G237" s="172"/>
      <c r="H237" s="172"/>
    </row>
    <row r="238" spans="1:8" x14ac:dyDescent="0.25">
      <c r="A238" s="90" t="s">
        <v>60</v>
      </c>
      <c r="C238" s="5">
        <v>0.82399999999999995</v>
      </c>
      <c r="D238" s="3">
        <v>2.52E-2</v>
      </c>
      <c r="E238" s="3">
        <v>1E-3</v>
      </c>
      <c r="F238" s="6">
        <v>0</v>
      </c>
      <c r="G238" s="172"/>
      <c r="H238" s="172"/>
    </row>
    <row r="239" spans="1:8" x14ac:dyDescent="0.25">
      <c r="A239" s="90" t="s">
        <v>283</v>
      </c>
      <c r="C239" s="5">
        <v>0.82399999999999995</v>
      </c>
      <c r="D239" s="3">
        <v>2.52E-2</v>
      </c>
      <c r="E239" s="3">
        <v>1E-3</v>
      </c>
      <c r="F239" s="6">
        <v>0</v>
      </c>
      <c r="G239" s="172"/>
      <c r="H239" s="172"/>
    </row>
    <row r="240" spans="1:8" x14ac:dyDescent="0.25">
      <c r="A240" s="90" t="s">
        <v>284</v>
      </c>
      <c r="C240" s="5">
        <v>0.82399999999999995</v>
      </c>
      <c r="D240" s="3">
        <v>2.52E-2</v>
      </c>
      <c r="E240" s="3">
        <v>1E-3</v>
      </c>
      <c r="F240" s="6">
        <v>0</v>
      </c>
    </row>
    <row r="241" spans="1:8" x14ac:dyDescent="0.25">
      <c r="A241" s="90" t="s">
        <v>285</v>
      </c>
      <c r="C241" s="5">
        <v>0.82399999999999995</v>
      </c>
      <c r="D241" s="104">
        <v>0</v>
      </c>
      <c r="E241" s="3" t="s">
        <v>102</v>
      </c>
      <c r="F241" s="6" t="s">
        <v>102</v>
      </c>
    </row>
    <row r="242" spans="1:8" x14ac:dyDescent="0.25">
      <c r="A242" s="90" t="s">
        <v>286</v>
      </c>
      <c r="C242" s="5">
        <v>0.82399999999999995</v>
      </c>
      <c r="D242" s="104">
        <v>0</v>
      </c>
      <c r="E242" s="3" t="s">
        <v>102</v>
      </c>
      <c r="F242" s="6" t="s">
        <v>102</v>
      </c>
    </row>
    <row r="243" spans="1:8" x14ac:dyDescent="0.25">
      <c r="A243" s="90" t="s">
        <v>287</v>
      </c>
      <c r="C243" s="5">
        <v>0.82399999999999995</v>
      </c>
      <c r="D243" s="104">
        <v>0</v>
      </c>
      <c r="E243" s="3" t="s">
        <v>102</v>
      </c>
      <c r="F243" s="6" t="s">
        <v>102</v>
      </c>
    </row>
    <row r="244" spans="1:8" ht="15.75" thickBot="1" x14ac:dyDescent="0.3">
      <c r="A244" s="90" t="s">
        <v>288</v>
      </c>
      <c r="C244" s="7">
        <v>0.82399999999999995</v>
      </c>
      <c r="D244" s="105">
        <v>0</v>
      </c>
      <c r="E244" s="8" t="s">
        <v>102</v>
      </c>
      <c r="F244" s="9" t="s">
        <v>102</v>
      </c>
    </row>
    <row r="246" spans="1:8" ht="20.25" thickBot="1" x14ac:dyDescent="0.35">
      <c r="A246" s="131" t="s">
        <v>361</v>
      </c>
    </row>
    <row r="247" spans="1:8" ht="15.75" thickTop="1" x14ac:dyDescent="0.25"/>
    <row r="248" spans="1:8" x14ac:dyDescent="0.25">
      <c r="A248" s="1" t="s">
        <v>50</v>
      </c>
    </row>
    <row r="249" spans="1:8" x14ac:dyDescent="0.25">
      <c r="A249" s="90" t="s">
        <v>290</v>
      </c>
    </row>
    <row r="250" spans="1:8" x14ac:dyDescent="0.25">
      <c r="A250" s="90" t="s">
        <v>291</v>
      </c>
    </row>
    <row r="251" spans="1:8" x14ac:dyDescent="0.25">
      <c r="A251" s="90" t="s">
        <v>292</v>
      </c>
    </row>
    <row r="252" spans="1:8" x14ac:dyDescent="0.25">
      <c r="A252" s="90" t="s">
        <v>282</v>
      </c>
    </row>
    <row r="254" spans="1:8" x14ac:dyDescent="0.25">
      <c r="A254" s="1" t="s">
        <v>51</v>
      </c>
      <c r="C254" s="193" t="s">
        <v>289</v>
      </c>
      <c r="D254" s="193"/>
      <c r="E254" s="193"/>
    </row>
    <row r="255" spans="1:8" ht="15.75" thickBot="1" x14ac:dyDescent="0.3">
      <c r="A255" s="2" t="s">
        <v>19</v>
      </c>
      <c r="C255" s="146" t="s">
        <v>12</v>
      </c>
      <c r="D255" s="146" t="s">
        <v>13</v>
      </c>
      <c r="E255" s="146" t="s">
        <v>14</v>
      </c>
      <c r="F255" s="146" t="s">
        <v>15</v>
      </c>
      <c r="G255" s="146" t="s">
        <v>16</v>
      </c>
      <c r="H255" s="146" t="s">
        <v>17</v>
      </c>
    </row>
    <row r="256" spans="1:8" x14ac:dyDescent="0.25">
      <c r="A256" s="90" t="s">
        <v>290</v>
      </c>
      <c r="C256" s="144">
        <v>-5.47</v>
      </c>
      <c r="D256" s="4">
        <v>1.492</v>
      </c>
      <c r="E256" s="4">
        <v>1E-3</v>
      </c>
      <c r="F256" s="4">
        <v>-2.1259999999999999</v>
      </c>
      <c r="G256" s="4">
        <v>0.64600000000000002</v>
      </c>
      <c r="H256" s="145">
        <v>1E-3</v>
      </c>
    </row>
    <row r="257" spans="1:8" x14ac:dyDescent="0.25">
      <c r="A257" s="90" t="s">
        <v>291</v>
      </c>
      <c r="C257" s="5">
        <v>-5.5869999999999997</v>
      </c>
      <c r="D257" s="3">
        <v>1.492</v>
      </c>
      <c r="E257" s="3">
        <v>1E-3</v>
      </c>
      <c r="F257" s="3">
        <v>-2.0550000000000002</v>
      </c>
      <c r="G257" s="3">
        <v>0.64600000000000002</v>
      </c>
      <c r="H257" s="6">
        <v>1E-3</v>
      </c>
    </row>
    <row r="258" spans="1:8" x14ac:dyDescent="0.25">
      <c r="A258" s="90" t="s">
        <v>292</v>
      </c>
      <c r="C258" s="5">
        <v>-5.6349999999999998</v>
      </c>
      <c r="D258" s="3">
        <v>1.492</v>
      </c>
      <c r="E258" s="3">
        <v>1E-3</v>
      </c>
      <c r="F258" s="3">
        <v>-1.9850000000000001</v>
      </c>
      <c r="G258" s="3">
        <v>0.64600000000000002</v>
      </c>
      <c r="H258" s="6">
        <v>1E-3</v>
      </c>
    </row>
    <row r="259" spans="1:8" ht="15.75" thickBot="1" x14ac:dyDescent="0.3">
      <c r="A259" s="90" t="s">
        <v>282</v>
      </c>
      <c r="C259" s="7">
        <v>-5.8419999999999996</v>
      </c>
      <c r="D259" s="8">
        <v>1.492</v>
      </c>
      <c r="E259" s="8">
        <v>1E-3</v>
      </c>
      <c r="F259" s="8">
        <v>-1.915</v>
      </c>
      <c r="G259" s="8">
        <v>0.64600000000000002</v>
      </c>
      <c r="H259" s="9">
        <v>1E-3</v>
      </c>
    </row>
    <row r="260" spans="1:8" ht="15.75" thickBot="1" x14ac:dyDescent="0.3">
      <c r="A260" s="2" t="s">
        <v>20</v>
      </c>
      <c r="C260" s="146"/>
      <c r="D260" s="146"/>
      <c r="E260" s="146"/>
    </row>
    <row r="261" spans="1:8" x14ac:dyDescent="0.25">
      <c r="A261" s="90" t="s">
        <v>290</v>
      </c>
      <c r="C261" s="144">
        <v>-6.548</v>
      </c>
      <c r="D261" s="4">
        <v>1.9359999999999999</v>
      </c>
      <c r="E261" s="4">
        <v>1E-3</v>
      </c>
      <c r="F261" s="4">
        <v>-2.2349999999999999</v>
      </c>
      <c r="G261" s="4">
        <v>0.876</v>
      </c>
      <c r="H261" s="145">
        <v>1E-3</v>
      </c>
    </row>
    <row r="262" spans="1:8" x14ac:dyDescent="0.25">
      <c r="A262" s="90" t="s">
        <v>291</v>
      </c>
      <c r="C262" s="5">
        <v>-6.8090000000000002</v>
      </c>
      <c r="D262" s="3">
        <v>1.9359999999999999</v>
      </c>
      <c r="E262" s="3">
        <v>1E-3</v>
      </c>
      <c r="F262" s="3">
        <v>-2.274</v>
      </c>
      <c r="G262" s="3">
        <v>0.876</v>
      </c>
      <c r="H262" s="6">
        <v>1E-3</v>
      </c>
    </row>
    <row r="263" spans="1:8" x14ac:dyDescent="0.25">
      <c r="A263" s="90" t="s">
        <v>292</v>
      </c>
      <c r="C263" s="5">
        <v>-6.9969999999999999</v>
      </c>
      <c r="D263" s="3">
        <v>1.9359999999999999</v>
      </c>
      <c r="E263" s="3">
        <v>1E-3</v>
      </c>
      <c r="F263" s="3">
        <v>-2.3119999999999998</v>
      </c>
      <c r="G263" s="3">
        <v>0.876</v>
      </c>
      <c r="H263" s="6">
        <v>1E-3</v>
      </c>
    </row>
    <row r="264" spans="1:8" ht="15.75" thickBot="1" x14ac:dyDescent="0.3">
      <c r="A264" s="90" t="s">
        <v>282</v>
      </c>
      <c r="C264" s="7">
        <v>-7.26</v>
      </c>
      <c r="D264" s="8">
        <v>1.9359999999999999</v>
      </c>
      <c r="E264" s="8">
        <v>1E-3</v>
      </c>
      <c r="F264" s="8">
        <v>-2.351</v>
      </c>
      <c r="G264" s="8">
        <v>0.876</v>
      </c>
      <c r="H264" s="9">
        <v>1E-3</v>
      </c>
    </row>
    <row r="265" spans="1:8" x14ac:dyDescent="0.25">
      <c r="C265" s="172"/>
      <c r="D265" s="172"/>
      <c r="E265" s="172"/>
      <c r="F265" s="172"/>
      <c r="G265" s="172"/>
      <c r="H265" s="172"/>
    </row>
    <row r="267" spans="1:8" ht="20.25" thickBot="1" x14ac:dyDescent="0.35">
      <c r="A267" s="131" t="s">
        <v>134</v>
      </c>
      <c r="C267" s="146" t="s">
        <v>54</v>
      </c>
      <c r="D267" s="146" t="s">
        <v>52</v>
      </c>
      <c r="E267" s="20" t="s">
        <v>53</v>
      </c>
      <c r="F267" s="146" t="s">
        <v>95</v>
      </c>
    </row>
    <row r="268" spans="1:8" ht="16.5" thickTop="1" thickBot="1" x14ac:dyDescent="0.3">
      <c r="A268" s="2" t="s">
        <v>143</v>
      </c>
      <c r="C268" s="146"/>
      <c r="D268" s="146"/>
      <c r="E268" s="146"/>
      <c r="F268" s="146"/>
    </row>
    <row r="269" spans="1:8" ht="15" customHeight="1" x14ac:dyDescent="0.25">
      <c r="A269" s="90" t="s">
        <v>136</v>
      </c>
      <c r="B269" s="49"/>
      <c r="C269" s="144">
        <v>-1.3520000000000001</v>
      </c>
      <c r="D269" s="4">
        <v>0.379</v>
      </c>
      <c r="E269" s="4">
        <v>1E-3</v>
      </c>
      <c r="F269" s="145">
        <v>0.39400000000000002</v>
      </c>
      <c r="G269" s="1" t="s">
        <v>338</v>
      </c>
    </row>
    <row r="270" spans="1:8" x14ac:dyDescent="0.25">
      <c r="A270" s="90" t="s">
        <v>137</v>
      </c>
      <c r="B270" s="49"/>
      <c r="C270" s="5">
        <v>-2.0680000000000001</v>
      </c>
      <c r="D270" s="3">
        <v>0.26500000000000001</v>
      </c>
      <c r="E270" s="3">
        <v>1E-3</v>
      </c>
      <c r="F270" s="6">
        <v>0.90500000000000003</v>
      </c>
      <c r="G270" s="1" t="s">
        <v>339</v>
      </c>
    </row>
    <row r="271" spans="1:8" x14ac:dyDescent="0.25">
      <c r="A271" s="90" t="s">
        <v>138</v>
      </c>
      <c r="B271" s="49"/>
      <c r="C271" s="5">
        <v>-2.6549999999999998</v>
      </c>
      <c r="D271" s="3">
        <v>1.1910000000000001</v>
      </c>
      <c r="E271" s="3">
        <v>1E-3</v>
      </c>
      <c r="F271" s="6">
        <v>0.13100000000000001</v>
      </c>
      <c r="G271" s="1" t="s">
        <v>340</v>
      </c>
    </row>
    <row r="272" spans="1:8" x14ac:dyDescent="0.25">
      <c r="A272" s="90" t="s">
        <v>140</v>
      </c>
      <c r="B272" s="49"/>
      <c r="C272" s="5">
        <f>C269</f>
        <v>-1.3520000000000001</v>
      </c>
      <c r="D272" s="3">
        <v>0.379</v>
      </c>
      <c r="E272" s="3">
        <v>1E-3</v>
      </c>
      <c r="F272" s="6">
        <v>0.39400000000000002</v>
      </c>
      <c r="G272" s="1" t="s">
        <v>338</v>
      </c>
    </row>
    <row r="273" spans="1:7" x14ac:dyDescent="0.25">
      <c r="A273" s="90" t="s">
        <v>139</v>
      </c>
      <c r="B273" s="49"/>
      <c r="C273" s="5">
        <f>C270</f>
        <v>-2.0680000000000001</v>
      </c>
      <c r="D273" s="3">
        <v>0.191</v>
      </c>
      <c r="E273" s="3">
        <v>1E-3</v>
      </c>
      <c r="F273" s="6">
        <v>0.13100000000000001</v>
      </c>
      <c r="G273" s="1" t="s">
        <v>339</v>
      </c>
    </row>
    <row r="274" spans="1:7" x14ac:dyDescent="0.25">
      <c r="A274" s="90" t="s">
        <v>141</v>
      </c>
      <c r="B274" s="49"/>
      <c r="C274" s="5">
        <v>-0.45800000000000002</v>
      </c>
      <c r="D274" s="3">
        <v>0.23499999999999999</v>
      </c>
      <c r="E274" s="3">
        <v>1E-3</v>
      </c>
      <c r="F274" s="6">
        <v>0.21199999999999999</v>
      </c>
      <c r="G274" s="170" t="s">
        <v>341</v>
      </c>
    </row>
    <row r="275" spans="1:7" ht="15.75" thickBot="1" x14ac:dyDescent="0.3">
      <c r="A275" s="90" t="s">
        <v>142</v>
      </c>
      <c r="B275" s="49"/>
      <c r="C275" s="7">
        <v>-0.45800000000000002</v>
      </c>
      <c r="D275" s="8">
        <v>0.23499999999999999</v>
      </c>
      <c r="E275" s="8">
        <v>1E-3</v>
      </c>
      <c r="F275" s="9">
        <v>0.21199999999999999</v>
      </c>
      <c r="G275" s="170" t="s">
        <v>341</v>
      </c>
    </row>
    <row r="276" spans="1:7" ht="15.75" thickBot="1" x14ac:dyDescent="0.3">
      <c r="A276" s="2" t="s">
        <v>144</v>
      </c>
      <c r="C276" s="146"/>
      <c r="D276" s="146"/>
      <c r="F276" s="146"/>
      <c r="G276" s="1"/>
    </row>
    <row r="277" spans="1:7" x14ac:dyDescent="0.25">
      <c r="A277" s="90" t="s">
        <v>136</v>
      </c>
      <c r="B277" s="49"/>
      <c r="C277" s="144">
        <v>-2.2469999999999999</v>
      </c>
      <c r="D277" s="4">
        <v>0.79700000000000004</v>
      </c>
      <c r="E277" s="4">
        <v>1E-3</v>
      </c>
      <c r="F277" s="145">
        <v>0.38400000000000001</v>
      </c>
      <c r="G277" s="1" t="s">
        <v>338</v>
      </c>
    </row>
    <row r="278" spans="1:7" x14ac:dyDescent="0.25">
      <c r="A278" s="90" t="s">
        <v>137</v>
      </c>
      <c r="B278" s="49"/>
      <c r="C278" s="5">
        <v>-2.931</v>
      </c>
      <c r="D278" s="3">
        <v>0.74099999999999999</v>
      </c>
      <c r="E278" s="3">
        <v>1E-3</v>
      </c>
      <c r="F278" s="6">
        <v>0.84499999999999997</v>
      </c>
      <c r="G278" s="1" t="s">
        <v>339</v>
      </c>
    </row>
    <row r="279" spans="1:7" x14ac:dyDescent="0.25">
      <c r="A279" s="90" t="s">
        <v>138</v>
      </c>
      <c r="B279" s="49"/>
      <c r="C279" s="5">
        <v>-2.2480000000000002</v>
      </c>
      <c r="D279" s="3">
        <v>0.879</v>
      </c>
      <c r="E279" s="3">
        <v>1E-3</v>
      </c>
      <c r="F279" s="6">
        <v>0.54500000000000004</v>
      </c>
      <c r="G279" s="1" t="s">
        <v>340</v>
      </c>
    </row>
    <row r="280" spans="1:7" x14ac:dyDescent="0.25">
      <c r="A280" s="90" t="s">
        <v>140</v>
      </c>
      <c r="B280" s="49"/>
      <c r="C280" s="5">
        <f>C277</f>
        <v>-2.2469999999999999</v>
      </c>
      <c r="D280" s="3">
        <v>0.79700000000000004</v>
      </c>
      <c r="E280" s="3">
        <v>1E-3</v>
      </c>
      <c r="F280" s="6">
        <v>0.38400000000000001</v>
      </c>
      <c r="G280" s="1" t="s">
        <v>338</v>
      </c>
    </row>
    <row r="281" spans="1:7" x14ac:dyDescent="0.25">
      <c r="A281" s="90" t="s">
        <v>139</v>
      </c>
      <c r="B281" s="49"/>
      <c r="C281" s="5">
        <f>C278</f>
        <v>-2.931</v>
      </c>
      <c r="D281" s="3">
        <v>0.74099999999999999</v>
      </c>
      <c r="E281" s="3">
        <v>1E-3</v>
      </c>
      <c r="F281" s="6">
        <v>0.84499999999999997</v>
      </c>
      <c r="G281" s="1" t="s">
        <v>339</v>
      </c>
    </row>
    <row r="282" spans="1:7" x14ac:dyDescent="0.25">
      <c r="A282" s="90" t="s">
        <v>141</v>
      </c>
      <c r="B282" s="49"/>
      <c r="C282" s="5">
        <v>-1.5369999999999999</v>
      </c>
      <c r="D282" s="3">
        <v>0.59199999999999997</v>
      </c>
      <c r="E282" s="3">
        <v>1E-3</v>
      </c>
      <c r="F282" s="6">
        <v>0.51600000000000001</v>
      </c>
      <c r="G282" s="170" t="s">
        <v>341</v>
      </c>
    </row>
    <row r="283" spans="1:7" ht="15.75" thickBot="1" x14ac:dyDescent="0.3">
      <c r="A283" s="90" t="s">
        <v>142</v>
      </c>
      <c r="B283" s="49"/>
      <c r="C283" s="7">
        <v>-1.5369999999999999</v>
      </c>
      <c r="D283" s="8">
        <v>0.59199999999999997</v>
      </c>
      <c r="E283" s="8">
        <v>1E-3</v>
      </c>
      <c r="F283" s="9">
        <v>0.51600000000000001</v>
      </c>
      <c r="G283" s="170" t="s">
        <v>341</v>
      </c>
    </row>
    <row r="284" spans="1:7" ht="15.75" thickBot="1" x14ac:dyDescent="0.3">
      <c r="A284" s="2" t="s">
        <v>145</v>
      </c>
      <c r="G284" s="1"/>
    </row>
    <row r="285" spans="1:7" x14ac:dyDescent="0.25">
      <c r="A285" s="90" t="s">
        <v>136</v>
      </c>
      <c r="C285" s="144">
        <v>-1.1919999999999999</v>
      </c>
      <c r="D285" s="4">
        <v>0.379</v>
      </c>
      <c r="E285" s="4">
        <v>1E-3</v>
      </c>
      <c r="F285" s="145">
        <v>0.39400000000000002</v>
      </c>
      <c r="G285" s="1" t="s">
        <v>338</v>
      </c>
    </row>
    <row r="286" spans="1:7" x14ac:dyDescent="0.25">
      <c r="A286" s="90" t="s">
        <v>137</v>
      </c>
      <c r="C286" s="5">
        <v>-1.9079999999999999</v>
      </c>
      <c r="D286" s="3">
        <v>0.26500000000000001</v>
      </c>
      <c r="E286" s="3">
        <v>1E-3</v>
      </c>
      <c r="F286" s="6">
        <v>0.90500000000000003</v>
      </c>
      <c r="G286" s="1" t="s">
        <v>339</v>
      </c>
    </row>
    <row r="287" spans="1:7" x14ac:dyDescent="0.25">
      <c r="A287" s="90" t="s">
        <v>138</v>
      </c>
      <c r="C287" s="5">
        <v>-2.4950000000000001</v>
      </c>
      <c r="D287" s="3">
        <v>1.1910000000000001</v>
      </c>
      <c r="E287" s="3">
        <v>1E-3</v>
      </c>
      <c r="F287" s="6">
        <v>0.13100000000000001</v>
      </c>
      <c r="G287" s="1" t="s">
        <v>340</v>
      </c>
    </row>
    <row r="288" spans="1:7" x14ac:dyDescent="0.25">
      <c r="A288" s="90" t="s">
        <v>140</v>
      </c>
      <c r="C288" s="5">
        <f>C285</f>
        <v>-1.1919999999999999</v>
      </c>
      <c r="D288" s="3">
        <v>0.379</v>
      </c>
      <c r="E288" s="3">
        <v>1E-3</v>
      </c>
      <c r="F288" s="6">
        <v>0.39400000000000002</v>
      </c>
      <c r="G288" s="1" t="s">
        <v>338</v>
      </c>
    </row>
    <row r="289" spans="1:7" x14ac:dyDescent="0.25">
      <c r="A289" s="90" t="s">
        <v>139</v>
      </c>
      <c r="C289" s="5">
        <f>C286</f>
        <v>-1.9079999999999999</v>
      </c>
      <c r="D289" s="3">
        <v>0.191</v>
      </c>
      <c r="E289" s="3">
        <v>1E-3</v>
      </c>
      <c r="F289" s="6">
        <v>0.13100000000000001</v>
      </c>
      <c r="G289" s="1" t="s">
        <v>339</v>
      </c>
    </row>
    <row r="290" spans="1:7" x14ac:dyDescent="0.25">
      <c r="A290" s="90" t="s">
        <v>141</v>
      </c>
      <c r="C290" s="5">
        <v>-0.29799999999999999</v>
      </c>
      <c r="D290" s="3">
        <v>0.23499999999999999</v>
      </c>
      <c r="E290" s="3">
        <v>1E-3</v>
      </c>
      <c r="F290" s="6">
        <v>0.21199999999999999</v>
      </c>
      <c r="G290" s="170" t="s">
        <v>341</v>
      </c>
    </row>
    <row r="291" spans="1:7" ht="15.75" thickBot="1" x14ac:dyDescent="0.3">
      <c r="A291" s="90" t="s">
        <v>142</v>
      </c>
      <c r="C291" s="7">
        <v>-0.29799999999999999</v>
      </c>
      <c r="D291" s="8">
        <v>0.23499999999999999</v>
      </c>
      <c r="E291" s="8">
        <v>1E-3</v>
      </c>
      <c r="F291" s="9">
        <v>0.21199999999999999</v>
      </c>
      <c r="G291" s="170" t="s">
        <v>341</v>
      </c>
    </row>
    <row r="292" spans="1:7" ht="15.75" thickBot="1" x14ac:dyDescent="0.3">
      <c r="A292" s="2" t="s">
        <v>146</v>
      </c>
      <c r="D292" s="146"/>
      <c r="F292" s="146"/>
      <c r="G292" s="1"/>
    </row>
    <row r="293" spans="1:7" x14ac:dyDescent="0.25">
      <c r="A293" s="90" t="s">
        <v>136</v>
      </c>
      <c r="C293" s="144">
        <v>-2.1589999999999998</v>
      </c>
      <c r="D293" s="4">
        <v>0.79700000000000004</v>
      </c>
      <c r="E293" s="4">
        <v>1E-3</v>
      </c>
      <c r="F293" s="145">
        <v>0.38400000000000001</v>
      </c>
      <c r="G293" s="1" t="s">
        <v>338</v>
      </c>
    </row>
    <row r="294" spans="1:7" x14ac:dyDescent="0.25">
      <c r="A294" s="90" t="s">
        <v>137</v>
      </c>
      <c r="C294" s="5">
        <v>-2.843</v>
      </c>
      <c r="D294" s="3">
        <v>0.74099999999999999</v>
      </c>
      <c r="E294" s="3">
        <v>1E-3</v>
      </c>
      <c r="F294" s="6">
        <v>0.84499999999999997</v>
      </c>
      <c r="G294" s="1" t="s">
        <v>339</v>
      </c>
    </row>
    <row r="295" spans="1:7" x14ac:dyDescent="0.25">
      <c r="A295" s="90" t="s">
        <v>138</v>
      </c>
      <c r="C295" s="5">
        <v>-2.16</v>
      </c>
      <c r="D295" s="3">
        <v>0.879</v>
      </c>
      <c r="E295" s="3">
        <v>1E-3</v>
      </c>
      <c r="F295" s="6">
        <v>0.54500000000000004</v>
      </c>
      <c r="G295" s="1" t="s">
        <v>340</v>
      </c>
    </row>
    <row r="296" spans="1:7" x14ac:dyDescent="0.25">
      <c r="A296" s="90" t="s">
        <v>140</v>
      </c>
      <c r="C296" s="5">
        <f>C293</f>
        <v>-2.1589999999999998</v>
      </c>
      <c r="D296" s="3">
        <v>0.79700000000000004</v>
      </c>
      <c r="E296" s="3">
        <v>1E-3</v>
      </c>
      <c r="F296" s="6">
        <v>0.38400000000000001</v>
      </c>
      <c r="G296" s="1" t="s">
        <v>338</v>
      </c>
    </row>
    <row r="297" spans="1:7" x14ac:dyDescent="0.25">
      <c r="A297" s="90" t="s">
        <v>139</v>
      </c>
      <c r="C297" s="5">
        <f>C294</f>
        <v>-2.843</v>
      </c>
      <c r="D297" s="3">
        <v>0.74099999999999999</v>
      </c>
      <c r="E297" s="3">
        <v>1E-3</v>
      </c>
      <c r="F297" s="6">
        <v>0.84499999999999997</v>
      </c>
      <c r="G297" s="1" t="s">
        <v>339</v>
      </c>
    </row>
    <row r="298" spans="1:7" x14ac:dyDescent="0.25">
      <c r="A298" s="90" t="s">
        <v>141</v>
      </c>
      <c r="C298" s="5">
        <v>-1.5369999999999999</v>
      </c>
      <c r="D298" s="3">
        <v>0.59199999999999997</v>
      </c>
      <c r="E298" s="3">
        <v>1E-3</v>
      </c>
      <c r="F298" s="6">
        <v>0.51600000000000001</v>
      </c>
      <c r="G298" s="170" t="s">
        <v>341</v>
      </c>
    </row>
    <row r="299" spans="1:7" ht="15.75" thickBot="1" x14ac:dyDescent="0.3">
      <c r="A299" s="90" t="s">
        <v>142</v>
      </c>
      <c r="C299" s="7">
        <v>-1.5369999999999999</v>
      </c>
      <c r="D299" s="8">
        <v>0.59199999999999997</v>
      </c>
      <c r="E299" s="8">
        <v>1E-3</v>
      </c>
      <c r="F299" s="9">
        <v>0.51600000000000001</v>
      </c>
      <c r="G299" s="170" t="s">
        <v>341</v>
      </c>
    </row>
    <row r="300" spans="1:7" ht="15.75" thickBot="1" x14ac:dyDescent="0.3">
      <c r="A300" s="2" t="s">
        <v>147</v>
      </c>
      <c r="G300" s="1"/>
    </row>
    <row r="301" spans="1:7" x14ac:dyDescent="0.25">
      <c r="A301" s="90" t="s">
        <v>136</v>
      </c>
      <c r="C301" s="144">
        <v>-1.032</v>
      </c>
      <c r="D301" s="4">
        <v>0.379</v>
      </c>
      <c r="E301" s="4">
        <v>1E-3</v>
      </c>
      <c r="F301" s="145">
        <v>0.39400000000000002</v>
      </c>
      <c r="G301" s="1" t="s">
        <v>338</v>
      </c>
    </row>
    <row r="302" spans="1:7" x14ac:dyDescent="0.25">
      <c r="A302" s="90" t="s">
        <v>137</v>
      </c>
      <c r="C302" s="5">
        <v>-1.748</v>
      </c>
      <c r="D302" s="3">
        <v>0.26500000000000001</v>
      </c>
      <c r="E302" s="3">
        <v>1E-3</v>
      </c>
      <c r="F302" s="6">
        <v>0.90500000000000003</v>
      </c>
      <c r="G302" s="1" t="s">
        <v>339</v>
      </c>
    </row>
    <row r="303" spans="1:7" x14ac:dyDescent="0.25">
      <c r="A303" s="90" t="s">
        <v>138</v>
      </c>
      <c r="C303" s="5">
        <v>-2.335</v>
      </c>
      <c r="D303" s="3">
        <v>1.1910000000000001</v>
      </c>
      <c r="E303" s="3">
        <v>1E-3</v>
      </c>
      <c r="F303" s="6">
        <v>0.13100000000000001</v>
      </c>
      <c r="G303" s="1" t="s">
        <v>340</v>
      </c>
    </row>
    <row r="304" spans="1:7" x14ac:dyDescent="0.25">
      <c r="A304" s="90" t="s">
        <v>140</v>
      </c>
      <c r="C304" s="5">
        <f>C301</f>
        <v>-1.032</v>
      </c>
      <c r="D304" s="3">
        <v>0.379</v>
      </c>
      <c r="E304" s="3">
        <v>1E-3</v>
      </c>
      <c r="F304" s="6">
        <v>0.39400000000000002</v>
      </c>
      <c r="G304" s="1" t="s">
        <v>338</v>
      </c>
    </row>
    <row r="305" spans="1:7" x14ac:dyDescent="0.25">
      <c r="A305" s="90" t="s">
        <v>139</v>
      </c>
      <c r="C305" s="5">
        <f>C302</f>
        <v>-1.748</v>
      </c>
      <c r="D305" s="3">
        <v>0.191</v>
      </c>
      <c r="E305" s="3">
        <v>1E-3</v>
      </c>
      <c r="F305" s="6">
        <v>0.13100000000000001</v>
      </c>
      <c r="G305" s="1" t="s">
        <v>339</v>
      </c>
    </row>
    <row r="306" spans="1:7" x14ac:dyDescent="0.25">
      <c r="A306" s="90" t="s">
        <v>141</v>
      </c>
      <c r="C306" s="5">
        <v>-0.13800000000000001</v>
      </c>
      <c r="D306" s="3">
        <v>0.23499999999999999</v>
      </c>
      <c r="E306" s="3">
        <v>1E-3</v>
      </c>
      <c r="F306" s="6">
        <v>0.21199999999999999</v>
      </c>
      <c r="G306" s="170" t="s">
        <v>341</v>
      </c>
    </row>
    <row r="307" spans="1:7" ht="15.75" thickBot="1" x14ac:dyDescent="0.3">
      <c r="A307" s="90" t="s">
        <v>142</v>
      </c>
      <c r="C307" s="7">
        <v>-0.13800000000000001</v>
      </c>
      <c r="D307" s="8">
        <v>0.23499999999999999</v>
      </c>
      <c r="E307" s="8">
        <v>1E-3</v>
      </c>
      <c r="F307" s="9">
        <v>0.21199999999999999</v>
      </c>
      <c r="G307" s="170" t="s">
        <v>341</v>
      </c>
    </row>
    <row r="308" spans="1:7" ht="15.75" thickBot="1" x14ac:dyDescent="0.3">
      <c r="A308" s="2" t="s">
        <v>148</v>
      </c>
      <c r="D308" s="146"/>
      <c r="F308" s="146"/>
      <c r="G308" s="1"/>
    </row>
    <row r="309" spans="1:7" x14ac:dyDescent="0.25">
      <c r="A309" s="90" t="s">
        <v>136</v>
      </c>
      <c r="C309" s="144">
        <v>-2.0710000000000002</v>
      </c>
      <c r="D309" s="4">
        <v>0.79700000000000004</v>
      </c>
      <c r="E309" s="4">
        <v>1E-3</v>
      </c>
      <c r="F309" s="145">
        <v>0.38400000000000001</v>
      </c>
      <c r="G309" s="1" t="s">
        <v>338</v>
      </c>
    </row>
    <row r="310" spans="1:7" x14ac:dyDescent="0.25">
      <c r="A310" s="90" t="s">
        <v>137</v>
      </c>
      <c r="C310" s="5">
        <v>-2.7549999999999999</v>
      </c>
      <c r="D310" s="3">
        <v>0.74099999999999999</v>
      </c>
      <c r="E310" s="3">
        <v>1E-3</v>
      </c>
      <c r="F310" s="6">
        <v>0.84499999999999997</v>
      </c>
      <c r="G310" s="1" t="s">
        <v>339</v>
      </c>
    </row>
    <row r="311" spans="1:7" x14ac:dyDescent="0.25">
      <c r="A311" s="90" t="s">
        <v>138</v>
      </c>
      <c r="C311" s="5">
        <v>-2.0720000000000001</v>
      </c>
      <c r="D311" s="3">
        <v>0.879</v>
      </c>
      <c r="E311" s="3">
        <v>1E-3</v>
      </c>
      <c r="F311" s="6">
        <v>0.54500000000000004</v>
      </c>
      <c r="G311" s="1" t="s">
        <v>340</v>
      </c>
    </row>
    <row r="312" spans="1:7" x14ac:dyDescent="0.25">
      <c r="A312" s="90" t="s">
        <v>140</v>
      </c>
      <c r="C312" s="5">
        <f>C309</f>
        <v>-2.0710000000000002</v>
      </c>
      <c r="D312" s="3">
        <v>0.79700000000000004</v>
      </c>
      <c r="E312" s="3">
        <v>1E-3</v>
      </c>
      <c r="F312" s="6">
        <v>0.38400000000000001</v>
      </c>
      <c r="G312" s="1" t="s">
        <v>338</v>
      </c>
    </row>
    <row r="313" spans="1:7" x14ac:dyDescent="0.25">
      <c r="A313" s="90" t="s">
        <v>139</v>
      </c>
      <c r="C313" s="5">
        <f>C310</f>
        <v>-2.7549999999999999</v>
      </c>
      <c r="D313" s="3">
        <v>0.74099999999999999</v>
      </c>
      <c r="E313" s="3">
        <v>1E-3</v>
      </c>
      <c r="F313" s="6">
        <v>0.84499999999999997</v>
      </c>
      <c r="G313" s="1" t="s">
        <v>339</v>
      </c>
    </row>
    <row r="314" spans="1:7" x14ac:dyDescent="0.25">
      <c r="A314" s="90" t="s">
        <v>141</v>
      </c>
      <c r="C314" s="5">
        <v>-1.361</v>
      </c>
      <c r="D314" s="3">
        <v>0.59199999999999997</v>
      </c>
      <c r="E314" s="3">
        <v>1E-3</v>
      </c>
      <c r="F314" s="6">
        <v>0.51600000000000001</v>
      </c>
      <c r="G314" s="170" t="s">
        <v>341</v>
      </c>
    </row>
    <row r="315" spans="1:7" ht="15.75" thickBot="1" x14ac:dyDescent="0.3">
      <c r="A315" s="90" t="s">
        <v>142</v>
      </c>
      <c r="C315" s="7">
        <v>-1.361</v>
      </c>
      <c r="D315" s="8">
        <v>0.59199999999999997</v>
      </c>
      <c r="E315" s="8">
        <v>1E-3</v>
      </c>
      <c r="F315" s="9">
        <v>0.51600000000000001</v>
      </c>
      <c r="G315" s="170" t="s">
        <v>341</v>
      </c>
    </row>
    <row r="316" spans="1:7" ht="15.75" thickBot="1" x14ac:dyDescent="0.3">
      <c r="A316" s="2" t="s">
        <v>149</v>
      </c>
      <c r="G316" s="1"/>
    </row>
    <row r="317" spans="1:7" x14ac:dyDescent="0.25">
      <c r="A317" s="90" t="s">
        <v>136</v>
      </c>
      <c r="C317" s="144">
        <v>-1.032</v>
      </c>
      <c r="D317" s="4">
        <v>0.379</v>
      </c>
      <c r="E317" s="4">
        <v>1E-3</v>
      </c>
      <c r="F317" s="145">
        <v>0.39400000000000002</v>
      </c>
      <c r="G317" s="1" t="s">
        <v>338</v>
      </c>
    </row>
    <row r="318" spans="1:7" x14ac:dyDescent="0.25">
      <c r="A318" s="90" t="s">
        <v>137</v>
      </c>
      <c r="C318" s="5">
        <v>-1.5880000000000001</v>
      </c>
      <c r="D318" s="3">
        <v>0.26500000000000001</v>
      </c>
      <c r="E318" s="3">
        <v>1E-3</v>
      </c>
      <c r="F318" s="6">
        <v>0.90500000000000003</v>
      </c>
      <c r="G318" s="1" t="s">
        <v>339</v>
      </c>
    </row>
    <row r="319" spans="1:7" x14ac:dyDescent="0.25">
      <c r="A319" s="90" t="s">
        <v>138</v>
      </c>
      <c r="C319" s="5">
        <v>-2.1749999999999998</v>
      </c>
      <c r="D319" s="3">
        <v>1.1910000000000001</v>
      </c>
      <c r="E319" s="3">
        <v>1E-3</v>
      </c>
      <c r="F319" s="6">
        <v>0.13100000000000001</v>
      </c>
      <c r="G319" s="1" t="s">
        <v>340</v>
      </c>
    </row>
    <row r="320" spans="1:7" x14ac:dyDescent="0.25">
      <c r="A320" s="90" t="s">
        <v>140</v>
      </c>
      <c r="C320" s="5">
        <f>C317</f>
        <v>-1.032</v>
      </c>
      <c r="D320" s="3">
        <v>0.379</v>
      </c>
      <c r="E320" s="3">
        <v>1E-3</v>
      </c>
      <c r="F320" s="6">
        <v>0.39400000000000002</v>
      </c>
      <c r="G320" s="1" t="s">
        <v>338</v>
      </c>
    </row>
    <row r="321" spans="1:7" x14ac:dyDescent="0.25">
      <c r="A321" s="90" t="s">
        <v>139</v>
      </c>
      <c r="C321" s="5">
        <f>C318</f>
        <v>-1.5880000000000001</v>
      </c>
      <c r="D321" s="3">
        <v>0.191</v>
      </c>
      <c r="E321" s="3">
        <v>1E-3</v>
      </c>
      <c r="F321" s="6">
        <v>0.13100000000000001</v>
      </c>
      <c r="G321" s="1" t="s">
        <v>339</v>
      </c>
    </row>
    <row r="322" spans="1:7" x14ac:dyDescent="0.25">
      <c r="A322" s="90" t="s">
        <v>141</v>
      </c>
      <c r="C322" s="5">
        <v>2.1999999999999999E-2</v>
      </c>
      <c r="D322" s="3">
        <v>0.23499999999999999</v>
      </c>
      <c r="E322" s="3">
        <v>1E-3</v>
      </c>
      <c r="F322" s="6">
        <v>0.21199999999999999</v>
      </c>
      <c r="G322" s="170" t="s">
        <v>341</v>
      </c>
    </row>
    <row r="323" spans="1:7" ht="15.75" thickBot="1" x14ac:dyDescent="0.3">
      <c r="A323" s="90" t="s">
        <v>142</v>
      </c>
      <c r="C323" s="7">
        <v>2.1999999999999999E-2</v>
      </c>
      <c r="D323" s="8">
        <v>0.23499999999999999</v>
      </c>
      <c r="E323" s="8">
        <v>1E-3</v>
      </c>
      <c r="F323" s="9">
        <v>0.21199999999999999</v>
      </c>
      <c r="G323" s="170" t="s">
        <v>341</v>
      </c>
    </row>
    <row r="324" spans="1:7" ht="15.75" thickBot="1" x14ac:dyDescent="0.3">
      <c r="A324" s="2" t="s">
        <v>150</v>
      </c>
      <c r="D324" s="146"/>
      <c r="F324" s="146"/>
      <c r="G324" s="1"/>
    </row>
    <row r="325" spans="1:7" x14ac:dyDescent="0.25">
      <c r="A325" s="90" t="s">
        <v>136</v>
      </c>
      <c r="C325" s="144">
        <v>-1.984</v>
      </c>
      <c r="D325" s="4">
        <v>0.79700000000000004</v>
      </c>
      <c r="E325" s="4">
        <v>1E-3</v>
      </c>
      <c r="F325" s="145">
        <v>0.38400000000000001</v>
      </c>
      <c r="G325" s="1" t="s">
        <v>338</v>
      </c>
    </row>
    <row r="326" spans="1:7" x14ac:dyDescent="0.25">
      <c r="A326" s="90" t="s">
        <v>137</v>
      </c>
      <c r="C326" s="5">
        <v>-2.6680000000000001</v>
      </c>
      <c r="D326" s="3">
        <v>0.74099999999999999</v>
      </c>
      <c r="E326" s="3">
        <v>1E-3</v>
      </c>
      <c r="F326" s="6">
        <v>0.84499999999999997</v>
      </c>
      <c r="G326" s="1" t="s">
        <v>339</v>
      </c>
    </row>
    <row r="327" spans="1:7" x14ac:dyDescent="0.25">
      <c r="A327" s="90" t="s">
        <v>138</v>
      </c>
      <c r="C327" s="5">
        <v>-1.9850000000000001</v>
      </c>
      <c r="D327" s="3">
        <v>0.879</v>
      </c>
      <c r="E327" s="3">
        <v>1E-3</v>
      </c>
      <c r="F327" s="6">
        <v>0.54500000000000004</v>
      </c>
      <c r="G327" s="1" t="s">
        <v>340</v>
      </c>
    </row>
    <row r="328" spans="1:7" x14ac:dyDescent="0.25">
      <c r="A328" s="90" t="s">
        <v>140</v>
      </c>
      <c r="C328" s="5">
        <f>C325</f>
        <v>-1.984</v>
      </c>
      <c r="D328" s="3">
        <v>0.79700000000000004</v>
      </c>
      <c r="E328" s="3">
        <v>1E-3</v>
      </c>
      <c r="F328" s="6">
        <v>0.38400000000000001</v>
      </c>
      <c r="G328" s="1" t="s">
        <v>338</v>
      </c>
    </row>
    <row r="329" spans="1:7" x14ac:dyDescent="0.25">
      <c r="A329" s="90" t="s">
        <v>139</v>
      </c>
      <c r="C329" s="5">
        <f>C326</f>
        <v>-2.6680000000000001</v>
      </c>
      <c r="D329" s="3">
        <v>0.74099999999999999</v>
      </c>
      <c r="E329" s="3">
        <v>1E-3</v>
      </c>
      <c r="F329" s="6">
        <v>0.84499999999999997</v>
      </c>
      <c r="G329" s="1" t="s">
        <v>339</v>
      </c>
    </row>
    <row r="330" spans="1:7" x14ac:dyDescent="0.25">
      <c r="A330" s="90" t="s">
        <v>141</v>
      </c>
      <c r="C330" s="5">
        <v>-1.274</v>
      </c>
      <c r="D330" s="3">
        <v>0.59199999999999997</v>
      </c>
      <c r="E330" s="3">
        <v>1E-3</v>
      </c>
      <c r="F330" s="6">
        <v>0.51600000000000001</v>
      </c>
      <c r="G330" s="170" t="s">
        <v>341</v>
      </c>
    </row>
    <row r="331" spans="1:7" ht="15.75" thickBot="1" x14ac:dyDescent="0.3">
      <c r="A331" s="90" t="s">
        <v>142</v>
      </c>
      <c r="C331" s="7">
        <v>-1.274</v>
      </c>
      <c r="D331" s="8">
        <v>0.59199999999999997</v>
      </c>
      <c r="E331" s="8">
        <v>1E-3</v>
      </c>
      <c r="F331" s="9">
        <v>0.51600000000000001</v>
      </c>
      <c r="G331" s="170" t="s">
        <v>341</v>
      </c>
    </row>
    <row r="332" spans="1:7" ht="15.75" thickBot="1" x14ac:dyDescent="0.3">
      <c r="A332" s="2" t="s">
        <v>151</v>
      </c>
      <c r="G332" s="1"/>
    </row>
    <row r="333" spans="1:7" x14ac:dyDescent="0.25">
      <c r="A333" s="90" t="s">
        <v>136</v>
      </c>
      <c r="C333" s="144">
        <v>-0.71199999999999997</v>
      </c>
      <c r="D333" s="4">
        <v>0.379</v>
      </c>
      <c r="E333" s="4">
        <v>1E-3</v>
      </c>
      <c r="F333" s="145">
        <v>0.39400000000000002</v>
      </c>
      <c r="G333" s="1" t="s">
        <v>338</v>
      </c>
    </row>
    <row r="334" spans="1:7" x14ac:dyDescent="0.25">
      <c r="A334" s="90" t="s">
        <v>137</v>
      </c>
      <c r="C334" s="5">
        <v>-1.4279999999999999</v>
      </c>
      <c r="D334" s="3">
        <v>0.26500000000000001</v>
      </c>
      <c r="E334" s="3">
        <v>1E-3</v>
      </c>
      <c r="F334" s="6">
        <v>0.90500000000000003</v>
      </c>
      <c r="G334" s="1" t="s">
        <v>339</v>
      </c>
    </row>
    <row r="335" spans="1:7" x14ac:dyDescent="0.25">
      <c r="A335" s="90" t="s">
        <v>138</v>
      </c>
      <c r="C335" s="5">
        <v>-2.0150000000000001</v>
      </c>
      <c r="D335" s="3">
        <v>1.1910000000000001</v>
      </c>
      <c r="E335" s="3">
        <v>1E-3</v>
      </c>
      <c r="F335" s="6">
        <v>0.13100000000000001</v>
      </c>
      <c r="G335" s="1" t="s">
        <v>340</v>
      </c>
    </row>
    <row r="336" spans="1:7" x14ac:dyDescent="0.25">
      <c r="A336" s="90" t="s">
        <v>140</v>
      </c>
      <c r="C336" s="5">
        <f>C333</f>
        <v>-0.71199999999999997</v>
      </c>
      <c r="D336" s="3">
        <v>0.379</v>
      </c>
      <c r="E336" s="3">
        <v>1E-3</v>
      </c>
      <c r="F336" s="6">
        <v>0.39400000000000002</v>
      </c>
      <c r="G336" s="1" t="s">
        <v>338</v>
      </c>
    </row>
    <row r="337" spans="1:7" x14ac:dyDescent="0.25">
      <c r="A337" s="90" t="s">
        <v>139</v>
      </c>
      <c r="C337" s="5">
        <f>C334</f>
        <v>-1.4279999999999999</v>
      </c>
      <c r="D337" s="3">
        <v>0.191</v>
      </c>
      <c r="E337" s="3">
        <v>1E-3</v>
      </c>
      <c r="F337" s="6">
        <v>0.13100000000000001</v>
      </c>
      <c r="G337" s="1" t="s">
        <v>339</v>
      </c>
    </row>
    <row r="338" spans="1:7" x14ac:dyDescent="0.25">
      <c r="A338" s="90" t="s">
        <v>141</v>
      </c>
      <c r="C338" s="5">
        <v>0.182</v>
      </c>
      <c r="D338" s="3">
        <v>0.23499999999999999</v>
      </c>
      <c r="E338" s="3">
        <v>1E-3</v>
      </c>
      <c r="F338" s="6">
        <v>0.21199999999999999</v>
      </c>
      <c r="G338" s="170" t="s">
        <v>341</v>
      </c>
    </row>
    <row r="339" spans="1:7" ht="15.75" thickBot="1" x14ac:dyDescent="0.3">
      <c r="A339" s="90" t="s">
        <v>142</v>
      </c>
      <c r="C339" s="7">
        <v>0.182</v>
      </c>
      <c r="D339" s="8">
        <v>0.23499999999999999</v>
      </c>
      <c r="E339" s="8">
        <v>1E-3</v>
      </c>
      <c r="F339" s="9">
        <v>0.21199999999999999</v>
      </c>
      <c r="G339" s="170" t="s">
        <v>341</v>
      </c>
    </row>
    <row r="340" spans="1:7" ht="15.75" thickBot="1" x14ac:dyDescent="0.3">
      <c r="A340" s="2" t="s">
        <v>152</v>
      </c>
      <c r="D340" s="146"/>
      <c r="F340" s="146"/>
      <c r="G340" s="1"/>
    </row>
    <row r="341" spans="1:7" x14ac:dyDescent="0.25">
      <c r="A341" s="90" t="s">
        <v>136</v>
      </c>
      <c r="C341" s="144">
        <v>-1.8959999999999999</v>
      </c>
      <c r="D341" s="4">
        <v>0.79700000000000004</v>
      </c>
      <c r="E341" s="4">
        <v>1E-3</v>
      </c>
      <c r="F341" s="145">
        <v>0.38400000000000001</v>
      </c>
      <c r="G341" s="1" t="s">
        <v>338</v>
      </c>
    </row>
    <row r="342" spans="1:7" x14ac:dyDescent="0.25">
      <c r="A342" s="90" t="s">
        <v>137</v>
      </c>
      <c r="C342" s="5">
        <v>-2.58</v>
      </c>
      <c r="D342" s="3">
        <v>0.74099999999999999</v>
      </c>
      <c r="E342" s="3">
        <v>1E-3</v>
      </c>
      <c r="F342" s="6">
        <v>0.84499999999999997</v>
      </c>
      <c r="G342" s="1" t="s">
        <v>339</v>
      </c>
    </row>
    <row r="343" spans="1:7" x14ac:dyDescent="0.25">
      <c r="A343" s="90" t="s">
        <v>138</v>
      </c>
      <c r="C343" s="5">
        <v>-1.897</v>
      </c>
      <c r="D343" s="3">
        <v>0.879</v>
      </c>
      <c r="E343" s="3">
        <v>1E-3</v>
      </c>
      <c r="F343" s="6">
        <v>0.54500000000000004</v>
      </c>
      <c r="G343" s="1" t="s">
        <v>340</v>
      </c>
    </row>
    <row r="344" spans="1:7" x14ac:dyDescent="0.25">
      <c r="A344" s="90" t="s">
        <v>140</v>
      </c>
      <c r="C344" s="5">
        <f>C341</f>
        <v>-1.8959999999999999</v>
      </c>
      <c r="D344" s="3">
        <v>0.79700000000000004</v>
      </c>
      <c r="E344" s="3">
        <v>1E-3</v>
      </c>
      <c r="F344" s="6">
        <v>0.38400000000000001</v>
      </c>
      <c r="G344" s="1" t="s">
        <v>338</v>
      </c>
    </row>
    <row r="345" spans="1:7" x14ac:dyDescent="0.25">
      <c r="A345" s="90" t="s">
        <v>139</v>
      </c>
      <c r="C345" s="5">
        <f>C342</f>
        <v>-2.58</v>
      </c>
      <c r="D345" s="3">
        <v>0.74099999999999999</v>
      </c>
      <c r="E345" s="3">
        <v>1E-3</v>
      </c>
      <c r="F345" s="6">
        <v>0.84499999999999997</v>
      </c>
      <c r="G345" s="1" t="s">
        <v>339</v>
      </c>
    </row>
    <row r="346" spans="1:7" x14ac:dyDescent="0.25">
      <c r="A346" s="90" t="s">
        <v>141</v>
      </c>
      <c r="C346" s="5">
        <v>-1.1859999999999999</v>
      </c>
      <c r="D346" s="3">
        <v>0.59199999999999997</v>
      </c>
      <c r="E346" s="3">
        <v>1E-3</v>
      </c>
      <c r="F346" s="6">
        <v>0.51600000000000001</v>
      </c>
      <c r="G346" s="170" t="s">
        <v>341</v>
      </c>
    </row>
    <row r="347" spans="1:7" ht="15.75" thickBot="1" x14ac:dyDescent="0.3">
      <c r="A347" s="90" t="s">
        <v>142</v>
      </c>
      <c r="C347" s="7">
        <v>-1.1859999999999999</v>
      </c>
      <c r="D347" s="8">
        <v>0.59199999999999997</v>
      </c>
      <c r="E347" s="8">
        <v>1E-3</v>
      </c>
      <c r="F347" s="9">
        <v>0.51600000000000001</v>
      </c>
      <c r="G347" s="170" t="s">
        <v>341</v>
      </c>
    </row>
    <row r="348" spans="1:7" x14ac:dyDescent="0.25">
      <c r="G348" s="1"/>
    </row>
    <row r="349" spans="1:7" ht="15.75" thickBot="1" x14ac:dyDescent="0.3">
      <c r="A349" s="2" t="s">
        <v>153</v>
      </c>
      <c r="G349" s="1"/>
    </row>
    <row r="350" spans="1:7" x14ac:dyDescent="0.25">
      <c r="A350" s="90" t="s">
        <v>136</v>
      </c>
      <c r="C350" s="144">
        <v>-2.899</v>
      </c>
      <c r="D350" s="4">
        <v>0.58199999999999996</v>
      </c>
      <c r="E350" s="4">
        <v>1E-3</v>
      </c>
      <c r="F350" s="145">
        <v>0.89900000000000002</v>
      </c>
      <c r="G350" s="1" t="s">
        <v>158</v>
      </c>
    </row>
    <row r="351" spans="1:7" x14ac:dyDescent="0.25">
      <c r="A351" s="90" t="s">
        <v>137</v>
      </c>
      <c r="C351" s="5">
        <v>-2.8170000000000002</v>
      </c>
      <c r="D351" s="3">
        <v>0.70899999999999996</v>
      </c>
      <c r="E351" s="3">
        <v>1E-3</v>
      </c>
      <c r="F351" s="6">
        <v>0.73</v>
      </c>
      <c r="G351" s="1" t="s">
        <v>159</v>
      </c>
    </row>
    <row r="352" spans="1:7" x14ac:dyDescent="0.25">
      <c r="A352" s="90" t="s">
        <v>138</v>
      </c>
      <c r="C352" s="5">
        <v>-2.74</v>
      </c>
      <c r="D352" s="3">
        <v>1.008</v>
      </c>
      <c r="E352" s="3">
        <v>1E-3</v>
      </c>
      <c r="F352" s="6">
        <v>0.17699999999999999</v>
      </c>
      <c r="G352" s="1" t="s">
        <v>160</v>
      </c>
    </row>
    <row r="353" spans="1:7" x14ac:dyDescent="0.25">
      <c r="A353" s="90" t="s">
        <v>140</v>
      </c>
      <c r="C353" s="5">
        <v>-2.899</v>
      </c>
      <c r="D353" s="3">
        <v>0.58199999999999996</v>
      </c>
      <c r="E353" s="3">
        <v>1E-3</v>
      </c>
      <c r="F353" s="6">
        <v>0.89900000000000002</v>
      </c>
      <c r="G353" s="1" t="s">
        <v>158</v>
      </c>
    </row>
    <row r="354" spans="1:7" x14ac:dyDescent="0.25">
      <c r="A354" s="90" t="s">
        <v>139</v>
      </c>
      <c r="C354" s="5">
        <v>-2.8170000000000002</v>
      </c>
      <c r="D354" s="3">
        <v>0.70899999999999996</v>
      </c>
      <c r="E354" s="3">
        <v>1E-3</v>
      </c>
      <c r="F354" s="6">
        <v>0.73</v>
      </c>
      <c r="G354" s="1" t="s">
        <v>159</v>
      </c>
    </row>
    <row r="355" spans="1:7" x14ac:dyDescent="0.25">
      <c r="A355" s="90" t="s">
        <v>141</v>
      </c>
      <c r="C355" s="5">
        <v>-2.363</v>
      </c>
      <c r="D355" s="3">
        <v>0.26</v>
      </c>
      <c r="E355" s="3">
        <v>1E-3</v>
      </c>
      <c r="F355" s="6">
        <v>0.94699999999999995</v>
      </c>
      <c r="G355" s="1" t="s">
        <v>157</v>
      </c>
    </row>
    <row r="356" spans="1:7" ht="15.75" thickBot="1" x14ac:dyDescent="0.3">
      <c r="A356" s="90" t="s">
        <v>142</v>
      </c>
      <c r="C356" s="7">
        <v>-2.363</v>
      </c>
      <c r="D356" s="8">
        <v>0.26</v>
      </c>
      <c r="E356" s="8">
        <v>1E-3</v>
      </c>
      <c r="F356" s="9">
        <v>0.94699999999999995</v>
      </c>
      <c r="G356" s="1" t="s">
        <v>157</v>
      </c>
    </row>
    <row r="357" spans="1:7" ht="15.75" thickBot="1" x14ac:dyDescent="0.3">
      <c r="A357" s="2" t="s">
        <v>154</v>
      </c>
      <c r="G357" s="1"/>
    </row>
    <row r="358" spans="1:7" x14ac:dyDescent="0.25">
      <c r="A358" s="90" t="s">
        <v>136</v>
      </c>
      <c r="C358" s="144">
        <v>-2.67</v>
      </c>
      <c r="D358" s="4">
        <v>0.59499999999999997</v>
      </c>
      <c r="E358" s="4">
        <v>1E-3</v>
      </c>
      <c r="F358" s="145">
        <v>0.93700000000000006</v>
      </c>
      <c r="G358" s="1" t="s">
        <v>158</v>
      </c>
    </row>
    <row r="359" spans="1:7" x14ac:dyDescent="0.25">
      <c r="A359" s="90" t="s">
        <v>137</v>
      </c>
      <c r="C359" s="5">
        <v>-2.3580000000000001</v>
      </c>
      <c r="D359" s="3">
        <v>0.88500000000000001</v>
      </c>
      <c r="E359" s="3">
        <v>1E-3</v>
      </c>
      <c r="F359" s="6">
        <v>0.35</v>
      </c>
      <c r="G359" s="1" t="s">
        <v>159</v>
      </c>
    </row>
    <row r="360" spans="1:7" x14ac:dyDescent="0.25">
      <c r="A360" s="90" t="s">
        <v>138</v>
      </c>
      <c r="C360" s="5">
        <v>-2.4319999999999999</v>
      </c>
      <c r="D360" s="3">
        <v>0.84499999999999997</v>
      </c>
      <c r="E360" s="3">
        <v>1E-3</v>
      </c>
      <c r="F360" s="6">
        <v>0.47599999999999998</v>
      </c>
      <c r="G360" s="1" t="s">
        <v>160</v>
      </c>
    </row>
    <row r="361" spans="1:7" x14ac:dyDescent="0.25">
      <c r="A361" s="90" t="s">
        <v>140</v>
      </c>
      <c r="C361" s="5">
        <v>-2.67</v>
      </c>
      <c r="D361" s="3">
        <v>0.59499999999999997</v>
      </c>
      <c r="E361" s="3">
        <v>1E-3</v>
      </c>
      <c r="F361" s="6">
        <v>0.93700000000000006</v>
      </c>
      <c r="G361" s="1" t="s">
        <v>158</v>
      </c>
    </row>
    <row r="362" spans="1:7" x14ac:dyDescent="0.25">
      <c r="A362" s="90" t="s">
        <v>139</v>
      </c>
      <c r="C362" s="5">
        <v>-2.3580000000000001</v>
      </c>
      <c r="D362" s="3">
        <v>0.88500000000000001</v>
      </c>
      <c r="E362" s="3">
        <v>1E-3</v>
      </c>
      <c r="F362" s="6">
        <v>0.35</v>
      </c>
      <c r="G362" s="1" t="s">
        <v>159</v>
      </c>
    </row>
    <row r="363" spans="1:7" x14ac:dyDescent="0.25">
      <c r="A363" s="90" t="s">
        <v>141</v>
      </c>
      <c r="C363" s="5">
        <v>-3.0550000000000002</v>
      </c>
      <c r="D363" s="3">
        <v>0.77300000000000002</v>
      </c>
      <c r="E363" s="3">
        <v>1E-3</v>
      </c>
      <c r="F363" s="6">
        <v>0.878</v>
      </c>
      <c r="G363" s="1" t="s">
        <v>157</v>
      </c>
    </row>
    <row r="364" spans="1:7" ht="15.75" thickBot="1" x14ac:dyDescent="0.3">
      <c r="A364" s="90" t="s">
        <v>142</v>
      </c>
      <c r="C364" s="7">
        <v>-3.0550000000000002</v>
      </c>
      <c r="D364" s="8">
        <v>0.77300000000000002</v>
      </c>
      <c r="E364" s="8">
        <v>1E-3</v>
      </c>
      <c r="F364" s="9">
        <v>0.878</v>
      </c>
      <c r="G364" s="1" t="s">
        <v>157</v>
      </c>
    </row>
    <row r="365" spans="1:7" ht="15.75" thickBot="1" x14ac:dyDescent="0.3">
      <c r="A365" s="2" t="s">
        <v>155</v>
      </c>
      <c r="G365" s="1"/>
    </row>
    <row r="366" spans="1:7" x14ac:dyDescent="0.25">
      <c r="A366" s="90" t="s">
        <v>136</v>
      </c>
      <c r="C366" s="144">
        <v>-3.2229999999999999</v>
      </c>
      <c r="D366" s="4">
        <v>0.58199999999999996</v>
      </c>
      <c r="E366" s="4">
        <v>1E-3</v>
      </c>
      <c r="F366" s="145">
        <v>0.89900000000000002</v>
      </c>
      <c r="G366" s="1" t="s">
        <v>158</v>
      </c>
    </row>
    <row r="367" spans="1:7" x14ac:dyDescent="0.25">
      <c r="A367" s="90" t="s">
        <v>137</v>
      </c>
      <c r="C367" s="5">
        <v>-2.3580000000000001</v>
      </c>
      <c r="D367" s="3">
        <v>0.88500000000000001</v>
      </c>
      <c r="E367" s="3">
        <v>1E-3</v>
      </c>
      <c r="F367" s="6">
        <v>0.35</v>
      </c>
      <c r="G367" s="1" t="s">
        <v>159</v>
      </c>
    </row>
    <row r="368" spans="1:7" x14ac:dyDescent="0.25">
      <c r="A368" s="90" t="s">
        <v>138</v>
      </c>
      <c r="C368" s="5">
        <v>-3.0640000000000001</v>
      </c>
      <c r="D368" s="3">
        <v>1.008</v>
      </c>
      <c r="E368" s="3">
        <v>1E-3</v>
      </c>
      <c r="F368" s="6">
        <v>0.17699999999999999</v>
      </c>
      <c r="G368" s="1" t="s">
        <v>160</v>
      </c>
    </row>
    <row r="369" spans="1:7" x14ac:dyDescent="0.25">
      <c r="A369" s="90" t="s">
        <v>140</v>
      </c>
      <c r="C369" s="5">
        <v>-3.2229999999999999</v>
      </c>
      <c r="D369" s="3">
        <v>0.58199999999999996</v>
      </c>
      <c r="E369" s="3">
        <v>1E-3</v>
      </c>
      <c r="F369" s="6">
        <v>0.89900000000000002</v>
      </c>
      <c r="G369" s="1" t="s">
        <v>158</v>
      </c>
    </row>
    <row r="370" spans="1:7" x14ac:dyDescent="0.25">
      <c r="A370" s="90" t="s">
        <v>139</v>
      </c>
      <c r="C370" s="5">
        <v>-3.141</v>
      </c>
      <c r="D370" s="3">
        <v>0.70899999999999996</v>
      </c>
      <c r="E370" s="3">
        <v>1E-3</v>
      </c>
      <c r="F370" s="6">
        <v>0.73</v>
      </c>
      <c r="G370" s="1" t="s">
        <v>159</v>
      </c>
    </row>
    <row r="371" spans="1:7" x14ac:dyDescent="0.25">
      <c r="A371" s="90" t="s">
        <v>141</v>
      </c>
      <c r="C371" s="5">
        <v>-2.6869999999999998</v>
      </c>
      <c r="D371" s="3">
        <v>0.26</v>
      </c>
      <c r="E371" s="3">
        <v>1E-3</v>
      </c>
      <c r="F371" s="6">
        <v>0.94699999999999995</v>
      </c>
      <c r="G371" s="1" t="s">
        <v>157</v>
      </c>
    </row>
    <row r="372" spans="1:7" ht="15.75" thickBot="1" x14ac:dyDescent="0.3">
      <c r="A372" s="90" t="s">
        <v>142</v>
      </c>
      <c r="C372" s="7">
        <v>-2.6869999999999998</v>
      </c>
      <c r="D372" s="8">
        <v>0.26</v>
      </c>
      <c r="E372" s="8">
        <v>1E-3</v>
      </c>
      <c r="F372" s="9">
        <v>0.94699999999999995</v>
      </c>
      <c r="G372" s="1" t="s">
        <v>157</v>
      </c>
    </row>
    <row r="373" spans="1:7" ht="15.75" thickBot="1" x14ac:dyDescent="0.3">
      <c r="A373" s="2" t="s">
        <v>156</v>
      </c>
      <c r="G373" s="1"/>
    </row>
    <row r="374" spans="1:7" x14ac:dyDescent="0.25">
      <c r="A374" s="90" t="s">
        <v>136</v>
      </c>
      <c r="C374" s="144">
        <v>-2.67</v>
      </c>
      <c r="D374" s="4">
        <v>0.59499999999999997</v>
      </c>
      <c r="E374" s="4">
        <v>1E-3</v>
      </c>
      <c r="F374" s="145">
        <v>0.93700000000000006</v>
      </c>
      <c r="G374" s="1" t="s">
        <v>158</v>
      </c>
    </row>
    <row r="375" spans="1:7" x14ac:dyDescent="0.25">
      <c r="A375" s="90" t="s">
        <v>137</v>
      </c>
      <c r="C375" s="5">
        <v>-2.3580000000000001</v>
      </c>
      <c r="D375" s="3">
        <v>0.88500000000000001</v>
      </c>
      <c r="E375" s="3">
        <v>1E-3</v>
      </c>
      <c r="F375" s="6">
        <v>0.35</v>
      </c>
      <c r="G375" s="1" t="s">
        <v>159</v>
      </c>
    </row>
    <row r="376" spans="1:7" x14ac:dyDescent="0.25">
      <c r="A376" s="90" t="s">
        <v>138</v>
      </c>
      <c r="C376" s="5">
        <v>-2.4319999999999999</v>
      </c>
      <c r="D376" s="3">
        <v>0.84499999999999997</v>
      </c>
      <c r="E376" s="3">
        <v>1E-3</v>
      </c>
      <c r="F376" s="6">
        <v>0.47599999999999998</v>
      </c>
      <c r="G376" s="1" t="s">
        <v>160</v>
      </c>
    </row>
    <row r="377" spans="1:7" x14ac:dyDescent="0.25">
      <c r="A377" s="90" t="s">
        <v>140</v>
      </c>
      <c r="C377" s="5">
        <v>-2.67</v>
      </c>
      <c r="D377" s="3">
        <v>0.59499999999999997</v>
      </c>
      <c r="E377" s="3">
        <v>1E-3</v>
      </c>
      <c r="F377" s="6">
        <v>0.93700000000000006</v>
      </c>
      <c r="G377" s="1" t="s">
        <v>158</v>
      </c>
    </row>
    <row r="378" spans="1:7" x14ac:dyDescent="0.25">
      <c r="A378" s="90" t="s">
        <v>139</v>
      </c>
      <c r="C378" s="5">
        <v>-2.3580000000000001</v>
      </c>
      <c r="D378" s="3">
        <v>0.88500000000000001</v>
      </c>
      <c r="E378" s="3">
        <v>1E-3</v>
      </c>
      <c r="F378" s="6">
        <v>0.35</v>
      </c>
      <c r="G378" s="1" t="s">
        <v>159</v>
      </c>
    </row>
    <row r="379" spans="1:7" x14ac:dyDescent="0.25">
      <c r="A379" s="90" t="s">
        <v>141</v>
      </c>
      <c r="C379" s="5">
        <v>-3.0550000000000002</v>
      </c>
      <c r="D379" s="3">
        <v>0.77300000000000002</v>
      </c>
      <c r="E379" s="3">
        <v>1E-3</v>
      </c>
      <c r="F379" s="6">
        <v>0.878</v>
      </c>
      <c r="G379" s="1" t="s">
        <v>157</v>
      </c>
    </row>
    <row r="380" spans="1:7" ht="15.75" thickBot="1" x14ac:dyDescent="0.3">
      <c r="A380" s="90" t="s">
        <v>142</v>
      </c>
      <c r="C380" s="7">
        <v>-3.0550000000000002</v>
      </c>
      <c r="D380" s="8">
        <v>0.77300000000000002</v>
      </c>
      <c r="E380" s="8">
        <v>1E-3</v>
      </c>
      <c r="F380" s="9">
        <v>0.878</v>
      </c>
      <c r="G380" s="1" t="s">
        <v>157</v>
      </c>
    </row>
    <row r="383" spans="1:7" x14ac:dyDescent="0.25">
      <c r="A383" s="74"/>
    </row>
    <row r="384" spans="1:7" x14ac:dyDescent="0.25">
      <c r="A384" s="74"/>
    </row>
    <row r="385" spans="1:10" ht="20.25" thickBot="1" x14ac:dyDescent="0.35">
      <c r="A385" s="131" t="s">
        <v>349</v>
      </c>
    </row>
    <row r="386" spans="1:10" ht="15.75" thickTop="1" x14ac:dyDescent="0.25">
      <c r="A386" s="2" t="s">
        <v>19</v>
      </c>
      <c r="C386" s="146" t="s">
        <v>12</v>
      </c>
      <c r="D386" s="146" t="s">
        <v>13</v>
      </c>
      <c r="E386" s="146" t="s">
        <v>14</v>
      </c>
      <c r="F386" s="146" t="s">
        <v>32</v>
      </c>
      <c r="G386" s="146" t="s">
        <v>15</v>
      </c>
      <c r="H386" s="146" t="s">
        <v>16</v>
      </c>
      <c r="I386" s="146" t="s">
        <v>17</v>
      </c>
      <c r="J386" s="146" t="s">
        <v>33</v>
      </c>
    </row>
    <row r="387" spans="1:10" x14ac:dyDescent="0.25">
      <c r="A387" s="90" t="s">
        <v>350</v>
      </c>
      <c r="C387" s="90">
        <v>-4.718</v>
      </c>
      <c r="D387" s="90">
        <v>0.52400000000000002</v>
      </c>
      <c r="E387" s="90">
        <v>1E-3</v>
      </c>
      <c r="F387" s="90">
        <v>6.9900000000000004E-2</v>
      </c>
      <c r="G387" s="90">
        <v>-3.0019999999999998</v>
      </c>
      <c r="H387" s="90">
        <v>0.71799999999999997</v>
      </c>
      <c r="I387" s="90">
        <v>1E-3</v>
      </c>
    </row>
    <row r="388" spans="1:10" x14ac:dyDescent="0.25">
      <c r="A388" s="90" t="s">
        <v>351</v>
      </c>
      <c r="C388" s="90">
        <v>-2.9969999999999999</v>
      </c>
      <c r="D388" s="90">
        <v>0.52400000000000002</v>
      </c>
      <c r="E388" s="90">
        <v>1E-3</v>
      </c>
      <c r="F388" s="90">
        <v>6.9900000000000004E-2</v>
      </c>
      <c r="G388" s="90">
        <v>-2.8479999999999999</v>
      </c>
      <c r="H388" s="90">
        <v>0.71799999999999997</v>
      </c>
      <c r="I388" s="90">
        <v>1E-3</v>
      </c>
    </row>
    <row r="389" spans="1:10" x14ac:dyDescent="0.25">
      <c r="A389" s="90" t="s">
        <v>352</v>
      </c>
      <c r="C389" s="90">
        <v>-2.5150000000000001</v>
      </c>
      <c r="D389" s="90">
        <v>0.52400000000000002</v>
      </c>
      <c r="E389" s="90">
        <v>1E-3</v>
      </c>
      <c r="F389" s="90">
        <v>6.9900000000000004E-2</v>
      </c>
      <c r="G389" s="90">
        <v>-2.8809999999999998</v>
      </c>
      <c r="H389" s="90">
        <v>0.71799999999999997</v>
      </c>
      <c r="I389" s="90">
        <v>1E-3</v>
      </c>
    </row>
    <row r="390" spans="1:10" x14ac:dyDescent="0.25">
      <c r="A390" s="2" t="s">
        <v>20</v>
      </c>
    </row>
    <row r="391" spans="1:10" x14ac:dyDescent="0.25">
      <c r="A391" s="90" t="s">
        <v>350</v>
      </c>
      <c r="C391" s="90">
        <v>-3.3109999999999999</v>
      </c>
      <c r="D391" s="90">
        <v>1.256</v>
      </c>
      <c r="E391" s="90">
        <v>1E-3</v>
      </c>
      <c r="F391" s="90">
        <v>0</v>
      </c>
      <c r="G391" s="90">
        <v>-2.89</v>
      </c>
      <c r="H391" s="90">
        <v>0.68899999999999995</v>
      </c>
      <c r="I391" s="90">
        <v>1E-3</v>
      </c>
    </row>
    <row r="392" spans="1:10" x14ac:dyDescent="0.25">
      <c r="A392" s="90" t="s">
        <v>351</v>
      </c>
      <c r="C392" s="90">
        <v>-3.3109999999999999</v>
      </c>
      <c r="D392" s="90">
        <v>1.256</v>
      </c>
      <c r="E392" s="90">
        <v>1E-3</v>
      </c>
      <c r="F392" s="90">
        <v>0</v>
      </c>
      <c r="G392" s="90">
        <v>-2.6589999999999998</v>
      </c>
      <c r="H392" s="90">
        <v>0.68899999999999995</v>
      </c>
      <c r="I392" s="90">
        <v>1E-3</v>
      </c>
    </row>
    <row r="393" spans="1:10" x14ac:dyDescent="0.25">
      <c r="A393" s="90" t="s">
        <v>352</v>
      </c>
      <c r="C393" s="90">
        <v>-2.4750000000000001</v>
      </c>
      <c r="D393" s="90">
        <v>1.256</v>
      </c>
      <c r="E393" s="90">
        <v>1E-3</v>
      </c>
      <c r="F393" s="90">
        <v>0</v>
      </c>
      <c r="G393" s="90">
        <v>-2.3439999999999999</v>
      </c>
      <c r="H393" s="90">
        <v>0.68899999999999995</v>
      </c>
      <c r="I393" s="90">
        <v>1E-3</v>
      </c>
    </row>
  </sheetData>
  <mergeCells count="19">
    <mergeCell ref="C254:E254"/>
    <mergeCell ref="C206:E206"/>
    <mergeCell ref="C177:F177"/>
    <mergeCell ref="C226:F226"/>
    <mergeCell ref="G177:J177"/>
    <mergeCell ref="C9:E9"/>
    <mergeCell ref="F9:H9"/>
    <mergeCell ref="C26:G26"/>
    <mergeCell ref="E79:F79"/>
    <mergeCell ref="C79:D79"/>
    <mergeCell ref="C45:D45"/>
    <mergeCell ref="C57:D57"/>
    <mergeCell ref="B156:E156"/>
    <mergeCell ref="C99:K99"/>
    <mergeCell ref="C107:D107"/>
    <mergeCell ref="E107:F107"/>
    <mergeCell ref="B115:C115"/>
    <mergeCell ref="D115:E115"/>
    <mergeCell ref="B114:E1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L61"/>
  <sheetViews>
    <sheetView zoomScale="70" zoomScaleNormal="70" workbookViewId="0">
      <selection activeCell="F32" sqref="F32"/>
    </sheetView>
  </sheetViews>
  <sheetFormatPr defaultColWidth="15.28515625" defaultRowHeight="15" x14ac:dyDescent="0.25"/>
  <cols>
    <col min="1" max="12" width="15.28515625" style="90"/>
    <col min="13" max="13" width="16.85546875" style="90" bestFit="1" customWidth="1"/>
    <col min="14" max="14" width="21.42578125" style="90" bestFit="1" customWidth="1"/>
    <col min="15" max="27" width="15.28515625" style="90"/>
    <col min="28" max="28" width="16.85546875" style="90" bestFit="1" customWidth="1"/>
    <col min="29" max="29" width="20.7109375" style="90" bestFit="1" customWidth="1"/>
    <col min="30" max="30" width="24" style="90" bestFit="1" customWidth="1"/>
    <col min="31" max="32" width="15.28515625" style="90" customWidth="1"/>
    <col min="33" max="44" width="15.28515625" style="90"/>
    <col min="45" max="45" width="17.42578125" style="90" bestFit="1" customWidth="1"/>
    <col min="46" max="46" width="16.42578125" style="90" bestFit="1" customWidth="1"/>
    <col min="47" max="47" width="15.28515625" style="90" customWidth="1"/>
    <col min="48" max="16384" width="15.28515625" style="90"/>
  </cols>
  <sheetData>
    <row r="1" spans="1:64" s="22" customFormat="1" ht="15" customHeight="1" x14ac:dyDescent="0.25">
      <c r="A1" s="206"/>
      <c r="B1" s="207"/>
      <c r="C1" s="207"/>
      <c r="D1" s="207"/>
      <c r="E1" s="207"/>
      <c r="F1" s="207"/>
      <c r="G1" s="207"/>
      <c r="H1" s="207"/>
      <c r="I1" s="206"/>
      <c r="J1" s="207"/>
      <c r="K1" s="207"/>
      <c r="L1" s="207"/>
      <c r="M1" s="207"/>
      <c r="N1" s="207"/>
      <c r="O1" s="207"/>
      <c r="P1" s="208"/>
      <c r="Q1" s="206"/>
      <c r="R1" s="207"/>
      <c r="S1" s="207"/>
      <c r="T1" s="207"/>
      <c r="U1" s="207"/>
      <c r="V1" s="207"/>
      <c r="W1" s="207"/>
      <c r="X1" s="208"/>
      <c r="Y1" s="207"/>
      <c r="Z1" s="207"/>
      <c r="AA1" s="207"/>
      <c r="AB1" s="207"/>
      <c r="AC1" s="207"/>
      <c r="AD1" s="207"/>
      <c r="AE1" s="207"/>
      <c r="AF1" s="208"/>
      <c r="AG1" s="206"/>
      <c r="AH1" s="207"/>
      <c r="AI1" s="207"/>
      <c r="AJ1" s="207"/>
      <c r="AK1" s="207"/>
      <c r="AL1" s="207"/>
      <c r="AM1" s="207"/>
      <c r="AN1" s="207"/>
      <c r="AO1" s="206"/>
      <c r="AP1" s="207"/>
      <c r="AQ1" s="207"/>
      <c r="AR1" s="207"/>
      <c r="AS1" s="207"/>
      <c r="AT1" s="207"/>
      <c r="AU1" s="207"/>
      <c r="AV1" s="208"/>
      <c r="AW1" s="206"/>
      <c r="AX1" s="207"/>
      <c r="AY1" s="207"/>
      <c r="AZ1" s="207"/>
      <c r="BA1" s="207"/>
      <c r="BB1" s="207"/>
      <c r="BC1" s="207"/>
      <c r="BD1" s="208"/>
      <c r="BE1" s="206"/>
      <c r="BF1" s="207"/>
      <c r="BG1" s="207"/>
      <c r="BH1" s="207"/>
      <c r="BI1" s="207"/>
      <c r="BJ1" s="207"/>
      <c r="BK1" s="207"/>
      <c r="BL1" s="208"/>
    </row>
    <row r="2" spans="1:64" s="22" customFormat="1" ht="15" customHeight="1" x14ac:dyDescent="0.25">
      <c r="A2" s="209" t="s">
        <v>305</v>
      </c>
      <c r="B2" s="210"/>
      <c r="C2" s="210"/>
      <c r="D2" s="210"/>
      <c r="E2" s="210"/>
      <c r="F2" s="210"/>
      <c r="G2" s="210"/>
      <c r="H2" s="210"/>
      <c r="I2" s="209" t="s">
        <v>359</v>
      </c>
      <c r="J2" s="210"/>
      <c r="K2" s="210"/>
      <c r="L2" s="210"/>
      <c r="M2" s="210"/>
      <c r="N2" s="210"/>
      <c r="O2" s="210"/>
      <c r="P2" s="211"/>
      <c r="Q2" s="209" t="s">
        <v>360</v>
      </c>
      <c r="R2" s="210"/>
      <c r="S2" s="210"/>
      <c r="T2" s="210"/>
      <c r="U2" s="210"/>
      <c r="V2" s="210"/>
      <c r="W2" s="210"/>
      <c r="X2" s="211"/>
      <c r="Y2" s="210" t="s">
        <v>361</v>
      </c>
      <c r="Z2" s="210"/>
      <c r="AA2" s="210"/>
      <c r="AB2" s="210"/>
      <c r="AC2" s="210"/>
      <c r="AD2" s="210"/>
      <c r="AE2" s="210"/>
      <c r="AF2" s="211"/>
      <c r="AG2" s="209" t="s">
        <v>363</v>
      </c>
      <c r="AH2" s="210"/>
      <c r="AI2" s="210"/>
      <c r="AJ2" s="210"/>
      <c r="AK2" s="210"/>
      <c r="AL2" s="210"/>
      <c r="AM2" s="210"/>
      <c r="AN2" s="210"/>
      <c r="AO2" s="209" t="s">
        <v>134</v>
      </c>
      <c r="AP2" s="210"/>
      <c r="AQ2" s="210"/>
      <c r="AR2" s="210"/>
      <c r="AS2" s="210"/>
      <c r="AT2" s="210"/>
      <c r="AU2" s="210"/>
      <c r="AV2" s="211"/>
      <c r="AW2" s="209" t="s">
        <v>216</v>
      </c>
      <c r="AX2" s="210"/>
      <c r="AY2" s="210"/>
      <c r="AZ2" s="210"/>
      <c r="BA2" s="210"/>
      <c r="BB2" s="210"/>
      <c r="BC2" s="210"/>
      <c r="BD2" s="211"/>
      <c r="BE2" s="209" t="s">
        <v>362</v>
      </c>
      <c r="BF2" s="210"/>
      <c r="BG2" s="210"/>
      <c r="BH2" s="210"/>
      <c r="BI2" s="210"/>
      <c r="BJ2" s="210"/>
      <c r="BK2" s="210"/>
      <c r="BL2" s="211"/>
    </row>
    <row r="3" spans="1:64" ht="15" customHeight="1" x14ac:dyDescent="0.25">
      <c r="A3" s="195" t="s">
        <v>90</v>
      </c>
      <c r="B3" s="194"/>
      <c r="C3" s="190" t="s">
        <v>28</v>
      </c>
      <c r="D3" s="190"/>
      <c r="E3" s="190"/>
      <c r="F3" s="190"/>
      <c r="G3" s="190" t="s">
        <v>58</v>
      </c>
      <c r="H3" s="190"/>
      <c r="I3" s="23" t="s">
        <v>0</v>
      </c>
      <c r="J3" s="190" t="s">
        <v>40</v>
      </c>
      <c r="K3" s="190"/>
      <c r="L3" s="190"/>
      <c r="M3" s="190"/>
      <c r="N3" s="190"/>
      <c r="O3" s="190" t="s">
        <v>57</v>
      </c>
      <c r="P3" s="205"/>
      <c r="Q3" s="23" t="s">
        <v>0</v>
      </c>
      <c r="R3" s="190" t="s">
        <v>46</v>
      </c>
      <c r="S3" s="190"/>
      <c r="T3" s="190"/>
      <c r="U3" s="190"/>
      <c r="V3" s="190"/>
      <c r="W3" s="190" t="s">
        <v>56</v>
      </c>
      <c r="X3" s="205"/>
      <c r="Y3" s="42" t="s">
        <v>0</v>
      </c>
      <c r="Z3" s="190" t="s">
        <v>64</v>
      </c>
      <c r="AA3" s="190"/>
      <c r="AB3" s="190"/>
      <c r="AC3" s="190"/>
      <c r="AD3" s="190"/>
      <c r="AE3" s="190" t="s">
        <v>415</v>
      </c>
      <c r="AF3" s="205"/>
      <c r="AG3" s="23" t="s">
        <v>0</v>
      </c>
      <c r="AH3" s="190" t="s">
        <v>65</v>
      </c>
      <c r="AI3" s="190"/>
      <c r="AJ3" s="190"/>
      <c r="AK3" s="190"/>
      <c r="AL3" s="190"/>
      <c r="AM3" s="190" t="s">
        <v>66</v>
      </c>
      <c r="AN3" s="190"/>
      <c r="AO3" s="195" t="s">
        <v>0</v>
      </c>
      <c r="AP3" s="194"/>
      <c r="AQ3" s="190" t="s">
        <v>135</v>
      </c>
      <c r="AR3" s="190"/>
      <c r="AS3" s="190"/>
      <c r="AT3" s="190"/>
      <c r="AU3" s="190" t="s">
        <v>357</v>
      </c>
      <c r="AV3" s="205"/>
      <c r="AW3" s="195" t="s">
        <v>90</v>
      </c>
      <c r="AX3" s="194"/>
      <c r="AY3" s="190" t="s">
        <v>248</v>
      </c>
      <c r="AZ3" s="190"/>
      <c r="BA3" s="190"/>
      <c r="BB3" s="190"/>
      <c r="BC3" s="190" t="s">
        <v>358</v>
      </c>
      <c r="BD3" s="205"/>
      <c r="BE3" s="23" t="s">
        <v>0</v>
      </c>
      <c r="BF3" s="190" t="s">
        <v>40</v>
      </c>
      <c r="BG3" s="190"/>
      <c r="BH3" s="190"/>
      <c r="BI3" s="190"/>
      <c r="BJ3" s="190"/>
      <c r="BK3" s="190" t="s">
        <v>57</v>
      </c>
      <c r="BL3" s="205"/>
    </row>
    <row r="4" spans="1:64" x14ac:dyDescent="0.25">
      <c r="A4" s="24"/>
      <c r="B4" s="14"/>
      <c r="C4" s="14"/>
      <c r="D4" s="14"/>
      <c r="E4" s="14"/>
      <c r="F4" s="14"/>
      <c r="G4" s="14"/>
      <c r="H4" s="14"/>
      <c r="I4" s="24"/>
      <c r="J4" s="13"/>
      <c r="K4" s="13"/>
      <c r="L4" s="13"/>
      <c r="M4" s="13"/>
      <c r="N4" s="13"/>
      <c r="O4" s="13"/>
      <c r="P4" s="29"/>
      <c r="Q4" s="24"/>
      <c r="R4" s="13"/>
      <c r="S4" s="13"/>
      <c r="T4" s="13"/>
      <c r="U4" s="13"/>
      <c r="V4" s="13"/>
      <c r="W4" s="13"/>
      <c r="X4" s="29"/>
      <c r="Y4" s="14"/>
      <c r="Z4" s="13"/>
      <c r="AA4" s="13"/>
      <c r="AB4" s="13"/>
      <c r="AC4" s="13"/>
      <c r="AD4" s="13"/>
      <c r="AE4" s="13"/>
      <c r="AF4" s="29"/>
      <c r="AG4" s="24"/>
      <c r="AH4" s="14"/>
      <c r="AI4" s="14"/>
      <c r="AJ4" s="14"/>
      <c r="AK4" s="14"/>
      <c r="AL4" s="14"/>
      <c r="AM4" s="14"/>
      <c r="AN4" s="14"/>
      <c r="AO4" s="24"/>
      <c r="AP4" s="14"/>
      <c r="AQ4" s="14"/>
      <c r="AR4" s="14"/>
      <c r="AS4" s="14"/>
      <c r="AT4" s="14"/>
      <c r="AU4" s="14"/>
      <c r="AV4" s="25"/>
      <c r="AW4" s="24"/>
      <c r="AX4" s="14"/>
      <c r="AY4" s="14"/>
      <c r="AZ4" s="14"/>
      <c r="BA4" s="14"/>
      <c r="BB4" s="14"/>
      <c r="BC4" s="14"/>
      <c r="BD4" s="25"/>
      <c r="BE4" s="24"/>
      <c r="BF4" s="13"/>
      <c r="BG4" s="13"/>
      <c r="BH4" s="13"/>
      <c r="BI4" s="13"/>
      <c r="BJ4" s="13"/>
      <c r="BK4" s="13"/>
      <c r="BL4" s="29"/>
    </row>
    <row r="5" spans="1:64" ht="18" x14ac:dyDescent="0.35">
      <c r="A5" s="177" t="s">
        <v>36</v>
      </c>
      <c r="B5" s="178">
        <v>14000</v>
      </c>
      <c r="C5" s="174" t="s">
        <v>37</v>
      </c>
      <c r="D5" s="178">
        <v>4000</v>
      </c>
      <c r="E5" s="212" t="s">
        <v>9</v>
      </c>
      <c r="F5" s="197"/>
      <c r="G5" s="213" t="s">
        <v>25</v>
      </c>
      <c r="H5" s="225"/>
      <c r="I5" s="177" t="s">
        <v>29</v>
      </c>
      <c r="J5" s="178">
        <v>6750</v>
      </c>
      <c r="K5" s="174" t="s">
        <v>39</v>
      </c>
      <c r="L5" s="178">
        <v>0.15</v>
      </c>
      <c r="M5" s="194" t="s">
        <v>30</v>
      </c>
      <c r="N5" s="194"/>
      <c r="O5" s="213" t="s">
        <v>31</v>
      </c>
      <c r="P5" s="214"/>
      <c r="Q5" s="177" t="s">
        <v>48</v>
      </c>
      <c r="R5" s="178">
        <v>120000</v>
      </c>
      <c r="S5" s="174" t="s">
        <v>47</v>
      </c>
      <c r="T5" s="178">
        <v>0.1</v>
      </c>
      <c r="U5" s="194" t="s">
        <v>30</v>
      </c>
      <c r="V5" s="194"/>
      <c r="W5" s="213" t="s">
        <v>61</v>
      </c>
      <c r="X5" s="214"/>
      <c r="Y5" s="174" t="s">
        <v>48</v>
      </c>
      <c r="Z5" s="178">
        <v>120000</v>
      </c>
      <c r="AA5" s="174" t="s">
        <v>62</v>
      </c>
      <c r="AB5" s="178">
        <v>0.1</v>
      </c>
      <c r="AC5" s="221" t="s">
        <v>63</v>
      </c>
      <c r="AD5" s="190"/>
      <c r="AE5" s="213" t="s">
        <v>282</v>
      </c>
      <c r="AF5" s="214"/>
      <c r="AG5" s="182" t="s">
        <v>67</v>
      </c>
      <c r="AH5" s="34">
        <v>0</v>
      </c>
      <c r="AI5" s="183" t="s">
        <v>68</v>
      </c>
      <c r="AJ5" s="34">
        <v>1.05</v>
      </c>
      <c r="AK5" s="183" t="s">
        <v>69</v>
      </c>
      <c r="AL5" s="34">
        <v>0</v>
      </c>
      <c r="AM5" s="183" t="s">
        <v>70</v>
      </c>
      <c r="AN5" s="68">
        <v>0</v>
      </c>
      <c r="AO5" s="182" t="s">
        <v>161</v>
      </c>
      <c r="AP5" s="51">
        <f>0.5*(AP8+AP9)</f>
        <v>1700</v>
      </c>
      <c r="AQ5" s="14"/>
      <c r="AR5" s="183" t="s">
        <v>166</v>
      </c>
      <c r="AS5" s="34" t="s">
        <v>213</v>
      </c>
      <c r="AT5" s="183" t="s">
        <v>168</v>
      </c>
      <c r="AU5" s="236" t="s">
        <v>141</v>
      </c>
      <c r="AV5" s="237"/>
      <c r="AW5" s="177" t="s">
        <v>247</v>
      </c>
      <c r="AX5" s="178">
        <v>14000</v>
      </c>
      <c r="AY5" s="174" t="s">
        <v>249</v>
      </c>
      <c r="AZ5" s="178">
        <v>1</v>
      </c>
      <c r="BA5" s="212" t="s">
        <v>246</v>
      </c>
      <c r="BB5" s="197"/>
      <c r="BC5" s="213" t="s">
        <v>225</v>
      </c>
      <c r="BD5" s="214"/>
      <c r="BE5" s="177" t="s">
        <v>29</v>
      </c>
      <c r="BF5" s="178">
        <v>6750</v>
      </c>
      <c r="BG5" s="174" t="s">
        <v>39</v>
      </c>
      <c r="BH5" s="178">
        <v>0.15</v>
      </c>
      <c r="BI5" s="194" t="s">
        <v>30</v>
      </c>
      <c r="BJ5" s="194"/>
      <c r="BK5" s="213" t="s">
        <v>352</v>
      </c>
      <c r="BL5" s="214"/>
    </row>
    <row r="6" spans="1:64" ht="18" x14ac:dyDescent="0.35">
      <c r="A6" s="24"/>
      <c r="B6" s="14"/>
      <c r="C6" s="14"/>
      <c r="D6" s="14"/>
      <c r="E6" s="14"/>
      <c r="F6" s="14"/>
      <c r="G6" s="14"/>
      <c r="H6" s="14"/>
      <c r="I6" s="24"/>
      <c r="J6" s="14"/>
      <c r="K6" s="14"/>
      <c r="L6" s="14"/>
      <c r="M6" s="14"/>
      <c r="N6" s="14"/>
      <c r="O6" s="14"/>
      <c r="P6" s="25"/>
      <c r="Q6" s="177" t="s">
        <v>281</v>
      </c>
      <c r="R6" s="178">
        <v>200</v>
      </c>
      <c r="S6" s="174" t="s">
        <v>277</v>
      </c>
      <c r="T6" s="178" t="s">
        <v>280</v>
      </c>
      <c r="U6" s="14"/>
      <c r="V6" s="14"/>
      <c r="W6" s="14"/>
      <c r="X6" s="25"/>
      <c r="Y6" s="14"/>
      <c r="Z6" s="14"/>
      <c r="AA6" s="14"/>
      <c r="AB6" s="14"/>
      <c r="AC6" s="14"/>
      <c r="AD6" s="14"/>
      <c r="AE6" s="14"/>
      <c r="AF6" s="25"/>
      <c r="AG6" s="182" t="s">
        <v>71</v>
      </c>
      <c r="AH6" s="34">
        <v>0</v>
      </c>
      <c r="AI6" s="183" t="s">
        <v>72</v>
      </c>
      <c r="AJ6" s="34">
        <v>1.1000000000000001</v>
      </c>
      <c r="AK6" s="183" t="s">
        <v>73</v>
      </c>
      <c r="AL6" s="34">
        <v>0.05</v>
      </c>
      <c r="AM6" s="183" t="s">
        <v>74</v>
      </c>
      <c r="AN6" s="68">
        <v>0.1</v>
      </c>
      <c r="AO6" s="182" t="s">
        <v>162</v>
      </c>
      <c r="AP6" s="35">
        <v>1600</v>
      </c>
      <c r="AQ6" s="14"/>
      <c r="AR6" s="14"/>
      <c r="AS6" s="14"/>
      <c r="AT6" s="14"/>
      <c r="AU6" s="14"/>
      <c r="AV6" s="25"/>
      <c r="AW6" s="24"/>
      <c r="AX6" s="14"/>
      <c r="AY6" s="14"/>
      <c r="AZ6" s="14"/>
      <c r="BA6" s="212" t="s">
        <v>250</v>
      </c>
      <c r="BB6" s="197"/>
      <c r="BC6" s="213" t="s">
        <v>251</v>
      </c>
      <c r="BD6" s="214"/>
      <c r="BE6" s="24"/>
      <c r="BF6" s="14"/>
      <c r="BG6" s="14"/>
      <c r="BH6" s="14"/>
      <c r="BI6" s="14"/>
      <c r="BJ6" s="14"/>
      <c r="BK6" s="14"/>
      <c r="BL6" s="25"/>
    </row>
    <row r="7" spans="1:64" ht="18" x14ac:dyDescent="0.35">
      <c r="A7" s="24"/>
      <c r="B7" s="14"/>
      <c r="C7" s="174" t="s">
        <v>7</v>
      </c>
      <c r="D7" s="174" t="s">
        <v>6</v>
      </c>
      <c r="E7" s="174" t="s">
        <v>8</v>
      </c>
      <c r="F7" s="14"/>
      <c r="G7" s="13"/>
      <c r="H7" s="13"/>
      <c r="I7" s="24"/>
      <c r="J7" s="14"/>
      <c r="K7" s="174" t="s">
        <v>7</v>
      </c>
      <c r="L7" s="174" t="s">
        <v>6</v>
      </c>
      <c r="M7" s="174" t="s">
        <v>8</v>
      </c>
      <c r="N7" s="174" t="s">
        <v>38</v>
      </c>
      <c r="O7" s="13"/>
      <c r="P7" s="29"/>
      <c r="Q7" s="24"/>
      <c r="R7" s="14"/>
      <c r="S7" s="174" t="s">
        <v>7</v>
      </c>
      <c r="T7" s="174" t="s">
        <v>6</v>
      </c>
      <c r="U7" s="174" t="s">
        <v>8</v>
      </c>
      <c r="V7" s="14"/>
      <c r="W7" s="13"/>
      <c r="X7" s="29"/>
      <c r="Y7" s="14"/>
      <c r="Z7" s="14"/>
      <c r="AA7" s="174" t="s">
        <v>7</v>
      </c>
      <c r="AB7" s="174" t="s">
        <v>6</v>
      </c>
      <c r="AC7" s="174" t="s">
        <v>8</v>
      </c>
      <c r="AD7" s="14"/>
      <c r="AE7" s="13"/>
      <c r="AF7" s="29"/>
      <c r="AG7" s="36" t="s">
        <v>75</v>
      </c>
      <c r="AH7" s="34">
        <v>3900</v>
      </c>
      <c r="AI7" s="183" t="s">
        <v>76</v>
      </c>
      <c r="AJ7" s="34">
        <v>6800</v>
      </c>
      <c r="AK7" s="183" t="s">
        <v>77</v>
      </c>
      <c r="AL7" s="34">
        <v>10200</v>
      </c>
      <c r="AM7" s="183" t="s">
        <v>78</v>
      </c>
      <c r="AN7" s="68">
        <v>3750</v>
      </c>
      <c r="AO7" s="182" t="s">
        <v>163</v>
      </c>
      <c r="AP7" s="35">
        <v>1500</v>
      </c>
      <c r="AQ7" s="227" t="s">
        <v>167</v>
      </c>
      <c r="AR7" s="228"/>
      <c r="AS7" s="34">
        <v>4</v>
      </c>
      <c r="AT7" s="14"/>
      <c r="AU7" s="14"/>
      <c r="AV7" s="25"/>
      <c r="AW7" s="24"/>
      <c r="AX7" s="14"/>
      <c r="AY7" s="174" t="s">
        <v>7</v>
      </c>
      <c r="AZ7" s="174" t="s">
        <v>6</v>
      </c>
      <c r="BA7" s="14"/>
      <c r="BB7" s="14"/>
      <c r="BC7" s="13"/>
      <c r="BD7" s="29"/>
      <c r="BE7" s="24"/>
      <c r="BF7" s="14"/>
      <c r="BG7" s="174" t="s">
        <v>7</v>
      </c>
      <c r="BH7" s="174" t="s">
        <v>6</v>
      </c>
      <c r="BI7" s="174" t="s">
        <v>8</v>
      </c>
      <c r="BJ7" s="174" t="s">
        <v>38</v>
      </c>
      <c r="BK7" s="13"/>
      <c r="BL7" s="29"/>
    </row>
    <row r="8" spans="1:64" ht="18" x14ac:dyDescent="0.35">
      <c r="A8" s="195" t="s">
        <v>21</v>
      </c>
      <c r="B8" s="194"/>
      <c r="C8" s="15">
        <f>LOOKUP(G5,Reference!$A$11:$A$14,Reference!$C$11:$C$14)</f>
        <v>-10.99</v>
      </c>
      <c r="D8" s="15">
        <f>LOOKUP(G5,Reference!$A$11:$A$14,Reference!$D$11:$D$14)</f>
        <v>1.07</v>
      </c>
      <c r="E8" s="15">
        <f>LOOKUP(G5,Reference!$A$11:$A$14,Reference!$E$11:$E$14)</f>
        <v>0.23</v>
      </c>
      <c r="F8" s="14"/>
      <c r="G8" s="14"/>
      <c r="H8" s="89">
        <f>EXP(C8+D8*LN(B5)+E8*LN(D5))</f>
        <v>3.1040909674726449</v>
      </c>
      <c r="I8" s="195" t="s">
        <v>1</v>
      </c>
      <c r="J8" s="194"/>
      <c r="K8" s="17">
        <f ca="1">LOOKUP(O5,Reference!$A$180:$A$184,Reference!$C$179:$C$184)</f>
        <v>-5.226</v>
      </c>
      <c r="L8" s="17">
        <f ca="1">LOOKUP(O5,Reference!$A$180:$A$184,Reference!$D$179:$D$184)</f>
        <v>0.52400000000000002</v>
      </c>
      <c r="M8" s="17">
        <f ca="1">LOOKUP(O5,Reference!$A$180:$A$184,Reference!$E$179:$E$184)</f>
        <v>1E-3</v>
      </c>
      <c r="N8" s="17">
        <f ca="1">LOOKUP(O5,Reference!$A$180:$A$184,Reference!$F$179:$F$184)</f>
        <v>6.9900000000000004E-2</v>
      </c>
      <c r="O8" s="14"/>
      <c r="P8" s="30">
        <f ca="1">L5*EXP(K8+L8*LN(M8*J5)+N8*(M8*J5))</f>
        <v>3.5150739612747734E-3</v>
      </c>
      <c r="Q8" s="195" t="s">
        <v>19</v>
      </c>
      <c r="R8" s="194"/>
      <c r="S8" s="17">
        <f>LOOKUP(W5,Reference!$A$208:$A$215,Reference!$C$208:$C$215)</f>
        <v>-3.9740000000000002</v>
      </c>
      <c r="T8" s="17">
        <f>LOOKUP(W5,Reference!$A$208:$A$215,Reference!$D$208:$D$215)</f>
        <v>1.173</v>
      </c>
      <c r="U8" s="21">
        <f>LOOKUP(W5,Reference!$A$208:$A$215,Reference!$E$208:$E$215)</f>
        <v>5.0000000000000001E-4</v>
      </c>
      <c r="V8" s="14"/>
      <c r="W8" s="14"/>
      <c r="X8" s="30">
        <f>T5*EXP(S8+T8*LN(U8*R5))</f>
        <v>0.22902618854511886</v>
      </c>
      <c r="Y8" s="194" t="s">
        <v>1</v>
      </c>
      <c r="Z8" s="194"/>
      <c r="AA8" s="17">
        <f>LOOKUP(AE5,Reference!$A$256:$A$259,Reference!$C$256:$C$259)</f>
        <v>-5.8419999999999996</v>
      </c>
      <c r="AB8" s="17">
        <f>LOOKUP(AE5,Reference!$A$256:$A$259,Reference!$D$256:$D$259)</f>
        <v>1.492</v>
      </c>
      <c r="AC8" s="17">
        <f>LOOKUP(AE5,Reference!$A$256:$A$259,Reference!$E$256:$E$259)</f>
        <v>1E-3</v>
      </c>
      <c r="AD8" s="14"/>
      <c r="AE8" s="14"/>
      <c r="AF8" s="30">
        <f>AB5*EXP(AA8+AB8*LN(AC8*Z5))</f>
        <v>0.36727389081737011</v>
      </c>
      <c r="AG8" s="36" t="s">
        <v>79</v>
      </c>
      <c r="AH8" s="34">
        <v>1</v>
      </c>
      <c r="AI8" s="14"/>
      <c r="AJ8" s="14"/>
      <c r="AK8" s="14"/>
      <c r="AL8" s="14"/>
      <c r="AM8" s="14"/>
      <c r="AN8" s="14"/>
      <c r="AO8" s="182" t="s">
        <v>164</v>
      </c>
      <c r="AP8" s="35">
        <v>1500</v>
      </c>
      <c r="AQ8" s="14"/>
      <c r="AR8" s="14"/>
      <c r="AS8" s="14"/>
      <c r="AT8" s="14"/>
      <c r="AU8" s="14"/>
      <c r="AV8" s="25"/>
      <c r="AW8" s="195" t="s">
        <v>342</v>
      </c>
      <c r="AX8" s="194"/>
      <c r="AY8" s="15">
        <f>LOOKUP(BC5,Reference!$A$81:$A$85,Reference!$C$81:$C$85)</f>
        <v>-15.22</v>
      </c>
      <c r="AZ8" s="15">
        <f>LOOKUP(BC5,Reference!$A$81:$A$85,Reference!$D$81:$D$85)</f>
        <v>1.68</v>
      </c>
      <c r="BA8" s="14"/>
      <c r="BB8" s="14"/>
      <c r="BC8" s="14"/>
      <c r="BD8" s="30">
        <f>EXP(AY8+AZ8*LN(AX5)+LN(AZ5))</f>
        <v>2.2674258073360116</v>
      </c>
      <c r="BE8" s="195" t="s">
        <v>1</v>
      </c>
      <c r="BF8" s="194"/>
      <c r="BG8" s="17">
        <f>LOOKUP(BK5,Reference!$A$387:$A$389,Reference!$C$387:$C$389)</f>
        <v>-2.5150000000000001</v>
      </c>
      <c r="BH8" s="17">
        <f>LOOKUP(BK5,Reference!$A$387:$A$389,Reference!$D$387:$D$389)</f>
        <v>0.52400000000000002</v>
      </c>
      <c r="BI8" s="17">
        <f>LOOKUP(BK5,Reference!$A$387:$A$389,Reference!$E$387:$E$389)</f>
        <v>1E-3</v>
      </c>
      <c r="BJ8" s="17">
        <f>LOOKUP(BK5,Reference!$A$387:$A$389,Reference!$F$387:$F$389)</f>
        <v>6.9900000000000004E-2</v>
      </c>
      <c r="BK8" s="14"/>
      <c r="BL8" s="30">
        <f>BH5*EXP(BG8+BH8*LN(BI8*BF5)+BJ8*(BI8*BF5))</f>
        <v>5.2881870457496767E-2</v>
      </c>
    </row>
    <row r="9" spans="1:64" ht="18" x14ac:dyDescent="0.35">
      <c r="A9" s="195" t="s">
        <v>1</v>
      </c>
      <c r="B9" s="194"/>
      <c r="C9" s="15">
        <f>LOOKUP(G5,Reference!$A$16:$A$19,Reference!$C$16:$C$19)</f>
        <v>-13.14</v>
      </c>
      <c r="D9" s="15">
        <f>LOOKUP(G5,Reference!$A$16:$A$19,Reference!$D$16:$D$19)</f>
        <v>1.18</v>
      </c>
      <c r="E9" s="15">
        <f>LOOKUP(G5,Reference!$A$16:$A$19,Reference!$E$16:$E$19)</f>
        <v>0.22</v>
      </c>
      <c r="F9" s="14"/>
      <c r="G9" s="14"/>
      <c r="H9" s="89">
        <f>EXP(C9+D9*LN(B5)+E9*LN(D5))</f>
        <v>0.95116264955670959</v>
      </c>
      <c r="I9" s="195" t="s">
        <v>2</v>
      </c>
      <c r="J9" s="194"/>
      <c r="K9" s="17">
        <f>LOOKUP(O5,Reference!$A$186:$A$191,Reference!$C$186:$C$191)</f>
        <v>-4.851</v>
      </c>
      <c r="L9" s="17">
        <f>LOOKUP(O5,Reference!$A$186:$A$191,Reference!$D$186:$D$191)</f>
        <v>1.256</v>
      </c>
      <c r="M9" s="17">
        <f>LOOKUP(O5,Reference!$A$186:$A$191,Reference!$E$186:$E$191)</f>
        <v>1E-3</v>
      </c>
      <c r="N9" s="17">
        <f>LOOKUP(O5,Reference!$A$186:$A$191,Reference!$F$186:$F$191)</f>
        <v>0</v>
      </c>
      <c r="O9" s="14"/>
      <c r="P9" s="30">
        <f>L5*EXP(K9+L9*LN(M9*J5)+N9*(M9*J5))</f>
        <v>1.2910238519263102E-2</v>
      </c>
      <c r="Q9" s="195" t="s">
        <v>20</v>
      </c>
      <c r="R9" s="194"/>
      <c r="S9" s="17">
        <f>LOOKUP(W5,Reference!$A$217:$A$224,Reference!$C$217:$C$224)</f>
        <v>-2.9980000000000002</v>
      </c>
      <c r="T9" s="17">
        <f>LOOKUP(W5,Reference!$A$217:$A$224,Reference!$D$217:$D$224)</f>
        <v>1.2150000000000001</v>
      </c>
      <c r="U9" s="21">
        <f>LOOKUP(W5,Reference!$A$217:$A$224,Reference!$E$217:$E$224)</f>
        <v>5.0000000000000001E-4</v>
      </c>
      <c r="V9" s="14"/>
      <c r="W9" s="14"/>
      <c r="X9" s="30">
        <f>T5*EXP(S9+T9*LN(U9*R5))</f>
        <v>0.72183662280850225</v>
      </c>
      <c r="Y9" s="194" t="s">
        <v>2</v>
      </c>
      <c r="Z9" s="194"/>
      <c r="AA9" s="17">
        <f>LOOKUP(AE5,Reference!$A$261:$A$264,Reference!$C$261:$C$264)</f>
        <v>-7.26</v>
      </c>
      <c r="AB9" s="17">
        <f>LOOKUP(AE5,Reference!$A$261:$A$264,Reference!$D$261:$D$264)</f>
        <v>1.9359999999999999</v>
      </c>
      <c r="AC9" s="17">
        <f>LOOKUP(AE5,Reference!$A$261:$A$264,Reference!$E$261:$E$264)</f>
        <v>1E-3</v>
      </c>
      <c r="AD9" s="14"/>
      <c r="AE9" s="14"/>
      <c r="AF9" s="30">
        <f>AB5*EXP(AA9+AB9*LN(AC9*Z5))</f>
        <v>0.74527568731423266</v>
      </c>
      <c r="AG9" s="24"/>
      <c r="AH9" s="14"/>
      <c r="AI9" s="14"/>
      <c r="AJ9" s="14"/>
      <c r="AK9" s="14"/>
      <c r="AL9" s="14"/>
      <c r="AM9" s="14"/>
      <c r="AN9" s="14"/>
      <c r="AO9" s="182" t="s">
        <v>165</v>
      </c>
      <c r="AP9" s="35">
        <v>1900</v>
      </c>
      <c r="AQ9" s="31"/>
      <c r="AR9" s="183" t="s">
        <v>169</v>
      </c>
      <c r="AS9" s="34" t="s">
        <v>170</v>
      </c>
      <c r="AT9" s="14"/>
      <c r="AU9" s="14"/>
      <c r="AV9" s="25"/>
      <c r="AW9" s="195" t="s">
        <v>217</v>
      </c>
      <c r="AX9" s="194"/>
      <c r="AY9" s="15">
        <f>LOOKUP(BC5,Reference!$A$87:$A$91,Reference!$C$87:$C$91)</f>
        <v>-16.22</v>
      </c>
      <c r="AZ9" s="15">
        <f>LOOKUP(BC5,Reference!$A$87:$A$91,Reference!$D$87:$D$91)</f>
        <v>1.66</v>
      </c>
      <c r="BA9" s="14"/>
      <c r="BB9" s="14"/>
      <c r="BC9" s="14"/>
      <c r="BD9" s="30">
        <f>EXP(AY9+AZ9*LN(AX5)+LN(AZ5))</f>
        <v>0.68915362157089199</v>
      </c>
      <c r="BE9" s="195" t="s">
        <v>2</v>
      </c>
      <c r="BF9" s="194"/>
      <c r="BG9" s="17">
        <f>LOOKUP(BK5,Reference!$A$391:$A$393,Reference!$C$391:$C$393)</f>
        <v>-2.4750000000000001</v>
      </c>
      <c r="BH9" s="17">
        <f>LOOKUP(BK5,Reference!$A$391:$A$393,Reference!$D$391:$D$393)</f>
        <v>1.256</v>
      </c>
      <c r="BI9" s="17">
        <f>LOOKUP(BK5,Reference!$A$391:$A$393,Reference!$E$391:$E$393)</f>
        <v>1E-3</v>
      </c>
      <c r="BJ9" s="17">
        <f>LOOKUP(BK5,Reference!$A$391:$A$393,Reference!$F$391:$F$393)</f>
        <v>0</v>
      </c>
      <c r="BK9" s="14"/>
      <c r="BL9" s="30">
        <f>BH5*EXP(BG9+BH9*LN(BI9*BF5)+BJ9*(BI9*BF5))</f>
        <v>0.13893701212275555</v>
      </c>
    </row>
    <row r="10" spans="1:64" x14ac:dyDescent="0.25">
      <c r="A10" s="195" t="s">
        <v>2</v>
      </c>
      <c r="B10" s="194"/>
      <c r="C10" s="15">
        <f>LOOKUP(G5,Reference!$A$21:$A$24,Reference!$C$21:$C$24)</f>
        <v>-11.02</v>
      </c>
      <c r="D10" s="15">
        <f>LOOKUP(G5,Reference!$A$21:$A$24,Reference!$D$21:$D$24)</f>
        <v>1.02</v>
      </c>
      <c r="E10" s="15">
        <f>LOOKUP(G5,Reference!$A$21:$A$24,Reference!$E$21:$E$24)</f>
        <v>0.24</v>
      </c>
      <c r="F10" s="14"/>
      <c r="G10" s="14"/>
      <c r="H10" s="89">
        <f>EXP(C10+D10*LN(B5)+E10*LN(D5))</f>
        <v>2.0305785945608843</v>
      </c>
      <c r="I10" s="195" t="s">
        <v>4</v>
      </c>
      <c r="J10" s="194"/>
      <c r="K10" s="17">
        <f ca="1">LOOKUP(O5,Reference!$A$180:$A$184,Reference!$G$179:$G$184)</f>
        <v>-2.12</v>
      </c>
      <c r="L10" s="17">
        <f ca="1">LOOKUP(O5,Reference!$A$180:$A$184,Reference!$H$179:$H$184)</f>
        <v>0.71799999999999997</v>
      </c>
      <c r="M10" s="17">
        <f ca="1">LOOKUP(O5,Reference!$A$180:$A$184,Reference!$I$179:$I$184)</f>
        <v>1E-3</v>
      </c>
      <c r="N10" s="17">
        <f ca="1">LOOKUP(O5,Reference!$A$180:$A$184,Reference!$J$179:$J$184)</f>
        <v>0</v>
      </c>
      <c r="O10" s="14"/>
      <c r="P10" s="30">
        <f ca="1">L5*EXP(K10+L10*LN(M10*J5)+N10*(M10*J5))</f>
        <v>7.0929527422596436E-2</v>
      </c>
      <c r="Q10" s="24"/>
      <c r="R10" s="14"/>
      <c r="S10" s="14"/>
      <c r="T10" s="14"/>
      <c r="U10" s="14"/>
      <c r="V10" s="14"/>
      <c r="W10" s="14"/>
      <c r="X10" s="25"/>
      <c r="Y10" s="194" t="s">
        <v>4</v>
      </c>
      <c r="Z10" s="194"/>
      <c r="AA10" s="17">
        <f>LOOKUP(AE5,Reference!$A$256:$A$259,Reference!$F$256:$F$259)</f>
        <v>-1.915</v>
      </c>
      <c r="AB10" s="17">
        <f>LOOKUP(AE5,Reference!$A$256:$A$259,Reference!$G$256:$G$259)</f>
        <v>0.64600000000000002</v>
      </c>
      <c r="AC10" s="17">
        <f>LOOKUP(AE5,Reference!$A$256:$A$259,Reference!$H$256:$H$259)</f>
        <v>1E-3</v>
      </c>
      <c r="AD10" s="14"/>
      <c r="AE10" s="14"/>
      <c r="AF10" s="30">
        <f>AB5*EXP(AA10+AB10*LN(AC10*Z5))</f>
        <v>0.32469615970375537</v>
      </c>
      <c r="AG10" s="24"/>
      <c r="AH10" s="14"/>
      <c r="AI10" s="174" t="s">
        <v>7</v>
      </c>
      <c r="AJ10" s="174" t="s">
        <v>6</v>
      </c>
      <c r="AK10" s="174" t="s">
        <v>8</v>
      </c>
      <c r="AL10" s="174" t="s">
        <v>38</v>
      </c>
      <c r="AM10" s="14"/>
      <c r="AN10" s="14"/>
      <c r="AO10" s="182"/>
      <c r="AP10" s="14"/>
      <c r="AQ10" s="14"/>
      <c r="AR10" s="14"/>
      <c r="AS10" s="14"/>
      <c r="AT10" s="14"/>
      <c r="AU10" s="14"/>
      <c r="AV10" s="25"/>
      <c r="AW10" s="195" t="s">
        <v>218</v>
      </c>
      <c r="AX10" s="194"/>
      <c r="AY10" s="15">
        <f>LOOKUP(BC5,Reference!$A$93:$A$97,Reference!$C$93:$C$97)</f>
        <v>-15.62</v>
      </c>
      <c r="AZ10" s="15">
        <f>LOOKUP(BC5,Reference!$A$93:$A$97,Reference!$D$93:$D$97)</f>
        <v>1.69</v>
      </c>
      <c r="BA10" s="14"/>
      <c r="BB10" s="14"/>
      <c r="BC10" s="14"/>
      <c r="BD10" s="30">
        <f>EXP(AY10+AZ10*LN(AX5)+LN(AZ5))</f>
        <v>1.6721551585445442</v>
      </c>
      <c r="BE10" s="195" t="s">
        <v>4</v>
      </c>
      <c r="BF10" s="194"/>
      <c r="BG10" s="17">
        <f>LOOKUP(BK5,Reference!$A$387:$A$389,Reference!$G$387:$G$389)</f>
        <v>-2.8809999999999998</v>
      </c>
      <c r="BH10" s="17">
        <f>LOOKUP(BK5,Reference!$A$387:$A$389,Reference!$H$387:$H$389)</f>
        <v>0.71799999999999997</v>
      </c>
      <c r="BI10" s="17">
        <f>LOOKUP(BK5,Reference!$A$387:$A$389,Reference!$I$387:$I$389)</f>
        <v>1E-3</v>
      </c>
      <c r="BJ10" s="17">
        <f>LOOKUP(BK5,Reference!$A$387:$A$389,Reference!$J$387:$J$389)</f>
        <v>0</v>
      </c>
      <c r="BK10" s="14"/>
      <c r="BL10" s="30">
        <f>BH5*EXP(BG10+BH10*LN(BI10*BF5)+BJ10*(BI10*BF5))</f>
        <v>3.3138203880719988E-2</v>
      </c>
    </row>
    <row r="11" spans="1:64" x14ac:dyDescent="0.25">
      <c r="A11" s="195" t="s">
        <v>3</v>
      </c>
      <c r="B11" s="194"/>
      <c r="C11" s="15">
        <f>LOOKUP(G5,Reference!$A$11:$A$14,Reference!$F$11:$F$14)</f>
        <v>-10.210000000000001</v>
      </c>
      <c r="D11" s="15">
        <f>LOOKUP(G5,Reference!$A$11:$A$14,Reference!$G$11:$G$14)</f>
        <v>0.68</v>
      </c>
      <c r="E11" s="15">
        <f>LOOKUP(G5,Reference!$A$11:$A$14,Reference!$H$11:$H$14)</f>
        <v>0.27</v>
      </c>
      <c r="F11" s="14"/>
      <c r="G11" s="14"/>
      <c r="H11" s="89">
        <f>EXP(C11+D11*LN(B5)+E11*LN(D5))</f>
        <v>0.22791693802163829</v>
      </c>
      <c r="I11" s="195" t="s">
        <v>5</v>
      </c>
      <c r="J11" s="194"/>
      <c r="K11" s="17">
        <f>LOOKUP(O5,Reference!$A$186:$A$191,Reference!$G$186:$G$191)</f>
        <v>-1.7390000000000001</v>
      </c>
      <c r="L11" s="17">
        <f>LOOKUP(O5,Reference!$A$186:$A$191,Reference!$H$186:$H$191)</f>
        <v>0.68899999999999995</v>
      </c>
      <c r="M11" s="17">
        <f>LOOKUP(O5,Reference!$A$186:$A$191,Reference!$I$186:$I$191)</f>
        <v>1E-3</v>
      </c>
      <c r="N11" s="17">
        <f>LOOKUP(O5,Reference!$A$186:$A$191,Reference!$J$186:$J$191)</f>
        <v>0</v>
      </c>
      <c r="O11" s="14"/>
      <c r="P11" s="30">
        <f>L5*EXP(K11+L11*LN(M11*J5)+N11*(M11*J5))</f>
        <v>9.822984403788286E-2</v>
      </c>
      <c r="Q11" s="24"/>
      <c r="R11" s="14"/>
      <c r="S11" s="14"/>
      <c r="T11" s="14"/>
      <c r="U11" s="14"/>
      <c r="V11" s="14"/>
      <c r="W11" s="14"/>
      <c r="X11" s="25"/>
      <c r="Y11" s="194" t="s">
        <v>5</v>
      </c>
      <c r="Z11" s="194"/>
      <c r="AA11" s="17">
        <f>LOOKUP(AE5,Reference!$A$261:$A$264,Reference!$F$261:$F$264)</f>
        <v>-2.351</v>
      </c>
      <c r="AB11" s="17">
        <f>LOOKUP(AE5,Reference!$A$261:$A$264,Reference!$G$261:$G$264)</f>
        <v>0.876</v>
      </c>
      <c r="AC11" s="17">
        <f>LOOKUP(AE5,Reference!$A$261:$A$264,Reference!$H$261:$H$264)</f>
        <v>1E-3</v>
      </c>
      <c r="AD11" s="14"/>
      <c r="AE11" s="14"/>
      <c r="AF11" s="30">
        <f>AB5*EXP(AA11+AB11*LN(AC11*Z5))</f>
        <v>0.6314463316479666</v>
      </c>
      <c r="AG11" s="195" t="s">
        <v>19</v>
      </c>
      <c r="AH11" s="194"/>
      <c r="AI11" s="21">
        <v>0.17499999999999999</v>
      </c>
      <c r="AJ11" s="21">
        <v>12.56</v>
      </c>
      <c r="AK11" s="21">
        <v>1E-3</v>
      </c>
      <c r="AL11" s="21">
        <v>-0.27200000000000002</v>
      </c>
      <c r="AM11" s="14"/>
      <c r="AN11" s="14"/>
      <c r="AO11" s="24"/>
      <c r="AP11" s="14"/>
      <c r="AQ11" s="14"/>
      <c r="AR11" s="14"/>
      <c r="AS11" s="14"/>
      <c r="AT11" s="14"/>
      <c r="AU11" s="14"/>
      <c r="AV11" s="25"/>
      <c r="AW11" s="195" t="s">
        <v>3</v>
      </c>
      <c r="AX11" s="194"/>
      <c r="AY11" s="15">
        <f>LOOKUP(BC5,Reference!$A$81:$A$85,Reference!$E$81:$E$85)</f>
        <v>-5.47</v>
      </c>
      <c r="AZ11" s="15">
        <f>LOOKUP(BC5,Reference!$A$81:$A$85,Reference!$F$81:$F$85)</f>
        <v>0.56000000000000005</v>
      </c>
      <c r="BA11" s="14"/>
      <c r="BB11" s="14"/>
      <c r="BC11" s="14"/>
      <c r="BD11" s="30">
        <f>EXP(AY11+AZ11*LN(AX5)+LN(AZ5))</f>
        <v>0.88356984170101416</v>
      </c>
      <c r="BE11" s="195" t="s">
        <v>5</v>
      </c>
      <c r="BF11" s="194"/>
      <c r="BG11" s="17">
        <f>LOOKUP(BK5,Reference!$A$391:$A$393,Reference!$G$391:$G$393)</f>
        <v>-2.3439999999999999</v>
      </c>
      <c r="BH11" s="17">
        <f>LOOKUP(BK5,Reference!$A$391:$A$393,Reference!$H$391:$H$393)</f>
        <v>0.68899999999999995</v>
      </c>
      <c r="BI11" s="17">
        <f>LOOKUP(BK5,Reference!$A$391:$A$393,Reference!$I$391:$I$393)</f>
        <v>1E-3</v>
      </c>
      <c r="BJ11" s="17">
        <f>LOOKUP(BK5,Reference!$A$391:$A$393,Reference!$J$391:$J$393)</f>
        <v>0</v>
      </c>
      <c r="BK11" s="14"/>
      <c r="BL11" s="30">
        <f>BH5*EXP(BG11+BH11*LN(BI11*BF5)+BJ11*(BI11*BF5))</f>
        <v>5.3640805761894977E-2</v>
      </c>
    </row>
    <row r="12" spans="1:64" x14ac:dyDescent="0.25">
      <c r="A12" s="195" t="s">
        <v>4</v>
      </c>
      <c r="B12" s="194"/>
      <c r="C12" s="15">
        <f>LOOKUP(G5,Reference!$A$16:$A$19,Reference!$F$16:$F$19)</f>
        <v>-9.25</v>
      </c>
      <c r="D12" s="15">
        <f>LOOKUP(G5,Reference!$A$16:$A$19,Reference!$G$16:$G$19)</f>
        <v>0.43</v>
      </c>
      <c r="E12" s="15">
        <f>LOOKUP(G5,Reference!$A$16:$A$19,Reference!$H$16:$H$19)</f>
        <v>0.28999999999999998</v>
      </c>
      <c r="F12" s="14"/>
      <c r="G12" s="14"/>
      <c r="H12" s="89">
        <f>IF(C12=0,LOOKUP(G5,Reference!$A$16:$A$19,Reference!$J$16:$J$19)*H11,EXP(C12+D12*LN(B5)+E12*LN(D5)))</f>
        <v>6.4596426783421354E-2</v>
      </c>
      <c r="I12" s="24"/>
      <c r="J12" s="14"/>
      <c r="K12" s="14"/>
      <c r="L12" s="14"/>
      <c r="M12" s="14"/>
      <c r="N12" s="14"/>
      <c r="O12" s="14"/>
      <c r="P12" s="25"/>
      <c r="Q12" s="24"/>
      <c r="R12" s="14"/>
      <c r="S12" s="14"/>
      <c r="T12" s="14"/>
      <c r="U12" s="14"/>
      <c r="V12" s="14"/>
      <c r="W12" s="14"/>
      <c r="X12" s="25"/>
      <c r="Y12" s="14"/>
      <c r="Z12" s="14"/>
      <c r="AA12" s="14"/>
      <c r="AB12" s="14"/>
      <c r="AC12" s="14"/>
      <c r="AD12" s="14"/>
      <c r="AE12" s="14"/>
      <c r="AF12" s="25"/>
      <c r="AG12" s="195" t="s">
        <v>20</v>
      </c>
      <c r="AH12" s="197"/>
      <c r="AI12" s="21">
        <v>0.123</v>
      </c>
      <c r="AJ12" s="21">
        <v>13.46</v>
      </c>
      <c r="AK12" s="21">
        <v>1E-3</v>
      </c>
      <c r="AL12" s="21">
        <v>-0.28299999999999997</v>
      </c>
      <c r="AM12" s="14"/>
      <c r="AN12" s="14"/>
      <c r="AO12" s="24"/>
      <c r="AP12" s="14"/>
      <c r="AQ12" s="174" t="s">
        <v>7</v>
      </c>
      <c r="AR12" s="174" t="s">
        <v>6</v>
      </c>
      <c r="AS12" s="174" t="s">
        <v>8</v>
      </c>
      <c r="AT12" s="174" t="s">
        <v>38</v>
      </c>
      <c r="AU12" s="14"/>
      <c r="AV12" s="25"/>
      <c r="AW12" s="195" t="s">
        <v>4</v>
      </c>
      <c r="AX12" s="194"/>
      <c r="AY12" s="15">
        <f>LOOKUP(BC5,Reference!$A$87:$A$91,Reference!$E$87:$E$91)</f>
        <v>-3.96</v>
      </c>
      <c r="AZ12" s="15">
        <f>LOOKUP(BC5,Reference!$A$87:$A$91,Reference!$F$87:$F$91)</f>
        <v>0.23</v>
      </c>
      <c r="BA12" s="14"/>
      <c r="BB12" s="14"/>
      <c r="BC12" s="14"/>
      <c r="BD12" s="30">
        <f>EXP(AY12+AZ12*LN(AX5)+LN(AZ5))</f>
        <v>0.17131811998101834</v>
      </c>
      <c r="BE12" s="24"/>
      <c r="BF12" s="14"/>
      <c r="BG12" s="14"/>
      <c r="BH12" s="14"/>
      <c r="BI12" s="14"/>
      <c r="BJ12" s="14"/>
      <c r="BK12" s="14"/>
      <c r="BL12" s="25"/>
    </row>
    <row r="13" spans="1:64" x14ac:dyDescent="0.25">
      <c r="A13" s="195" t="s">
        <v>5</v>
      </c>
      <c r="B13" s="194"/>
      <c r="C13" s="15">
        <f>LOOKUP(G5,Reference!$A$21:$A$24,Reference!$F$21:$F$24)</f>
        <v>-11.34</v>
      </c>
      <c r="D13" s="15">
        <f>LOOKUP(G5,Reference!$A$21:$A$24,Reference!$G$21:$G$24)</f>
        <v>0.78</v>
      </c>
      <c r="E13" s="15">
        <f>LOOKUP(G5,Reference!$A$21:$A$24,Reference!$H$21:$H$24)</f>
        <v>0.25</v>
      </c>
      <c r="F13" s="14"/>
      <c r="G13" s="14"/>
      <c r="H13" s="89">
        <f>EXP(C13+D13*LN(B5)+E13*LN(D5))</f>
        <v>0.1620300033120072</v>
      </c>
      <c r="I13" s="24"/>
      <c r="J13" s="14"/>
      <c r="K13" s="14"/>
      <c r="L13" s="14"/>
      <c r="M13" s="14"/>
      <c r="N13" s="14"/>
      <c r="O13" s="14"/>
      <c r="P13" s="25"/>
      <c r="Q13" s="24"/>
      <c r="R13" s="14"/>
      <c r="S13" s="174" t="s">
        <v>7</v>
      </c>
      <c r="T13" s="174" t="s">
        <v>6</v>
      </c>
      <c r="U13" s="174" t="s">
        <v>8</v>
      </c>
      <c r="V13" s="41" t="s">
        <v>38</v>
      </c>
      <c r="W13" s="14"/>
      <c r="X13" s="25"/>
      <c r="Y13" s="14"/>
      <c r="Z13" s="14"/>
      <c r="AA13" s="14"/>
      <c r="AB13" s="14"/>
      <c r="AC13" s="14"/>
      <c r="AD13" s="14"/>
      <c r="AE13" s="14"/>
      <c r="AF13" s="25"/>
      <c r="AG13" s="24"/>
      <c r="AH13" s="14"/>
      <c r="AI13" s="14"/>
      <c r="AJ13" s="14"/>
      <c r="AK13" s="14"/>
      <c r="AL13" s="14"/>
      <c r="AM13" s="14"/>
      <c r="AN13" s="14"/>
      <c r="AO13" s="195" t="s">
        <v>19</v>
      </c>
      <c r="AP13" s="194"/>
      <c r="AQ13" s="17">
        <f>IF(AS9="Signalized",IF(AS7=2,LOOKUP(AU5,Reference!$A$269:$A$275,Reference!$C$269:$C$275),IF(AS7=3,LOOKUP(AU5,Reference!$A$285:$A$291,Reference!$C$285:$C$291),IF(AS7=4,LOOKUP(AU5,Reference!$A$301:$A$307,Reference!$C$301:$C$307),IF(AS7=5,LOOKUP(AU5,Reference!$A$317:$A$323,Reference!$C$317:$C$323),LOOKUP(AU5,Reference!$A$333:$A$339,Reference!$C$333:$C$339))))),IF(AS5="Rural",LOOKUP(AU5,Reference!$A$350:$A$356,Reference!$C$350:$C$356),LOOKUP(AU5,Reference!$A$366:$A$372,Reference!$C$366:$C$372)))</f>
        <v>-2.6869999999999998</v>
      </c>
      <c r="AR13" s="17">
        <f>IF(AS9="Signalized",IF(AS7=2,LOOKUP(AU5,Reference!$A$269:$A$275,Reference!$D$269:$D$275),IF(AS7=3,LOOKUP(AU5,Reference!$A$285:$A$291,Reference!$D$285:$D$291),IF(AS7=4,LOOKUP(AU5,Reference!$A$301:$A$307,Reference!$D$301:$D$307),IF(AS7=5,LOOKUP(AU5,Reference!$A$317:$A$323,Reference!$D$317:$D$323),LOOKUP(AU5,Reference!$A$333:$A$339,Reference!$D$333:$D$339))))),IF(AS5="Rural",LOOKUP(AU5,Reference!$A$350:$A$356,Reference!$D$350:$D$356),LOOKUP(AU5,Reference!$A$366:$A$372,Reference!$D$366:$D$372)))</f>
        <v>0.26</v>
      </c>
      <c r="AS13" s="17">
        <f>IF(AS9="Signalized",IF(AS7=2,LOOKUP(AU5,Reference!$A$269:$A$275,Reference!$E$269:$E$275),IF(AS7=3,LOOKUP(AU5,Reference!$A$285:$A$291,Reference!$E$285:$E$291),IF(AS7=4,LOOKUP(AU5,Reference!$A$301:$A$307,Reference!$E$301:$E$307),IF(AS7=5,LOOKUP(AU5,Reference!$A$317:$A$323,Reference!$E$317:$E$323),LOOKUP(AU5,Reference!$A$333:$A$339,Reference!$E$333:$E$339))))),IF(AS5="Rural",LOOKUP(AU5,Reference!$A$350:$A$356,Reference!$E$350:$E$356),LOOKUP(AU5,Reference!$A$366:$A$372,Reference!$E$366:$E$372)))</f>
        <v>1E-3</v>
      </c>
      <c r="AT13" s="17">
        <f>IF(AS9="Signalized",IF(AS7=2,LOOKUP(AU5,Reference!$A$269:$A$275,Reference!$F$269:$F$275),IF(AS7=3,LOOKUP(AU5,Reference!$A$285:$A$291,Reference!$F$285:$F$291),IF(AS7=4,LOOKUP(AU5,Reference!$A$301:$A$307,Reference!$F$301:$F$307),IF(AS7=5,LOOKUP(AU5,Reference!$A$317:$A$323,Reference!$F$317:$F$323),LOOKUP(AU5,Reference!$A$333:$A$339,Reference!$F$333:$F$339))))),IF(AS5="Rural",LOOKUP(AU5,Reference!$A$350:$A$356,Reference!$F$350:$F$356),LOOKUP(AU5,Reference!$A$366:$A$372,Reference!$F$366:$F$372)))</f>
        <v>0.94699999999999995</v>
      </c>
      <c r="AU13" s="14"/>
      <c r="AV13" s="25"/>
      <c r="AW13" s="195" t="s">
        <v>5</v>
      </c>
      <c r="AX13" s="194"/>
      <c r="AY13" s="15">
        <f>LOOKUP(BC5,Reference!$A$93:$A$97,Reference!$E$93:$E$97)</f>
        <v>-6.51</v>
      </c>
      <c r="AZ13" s="15">
        <f>LOOKUP(BC5,Reference!$A$93:$A$97,Reference!$F$93:$F$97)</f>
        <v>0.64</v>
      </c>
      <c r="BA13" s="14"/>
      <c r="BB13" s="14"/>
      <c r="BC13" s="14"/>
      <c r="BD13" s="30">
        <f>EXP(AY13+AZ13*LN(AX5)+LN(AZ5))</f>
        <v>0.67029328035699254</v>
      </c>
      <c r="BE13" s="24"/>
      <c r="BF13" s="14"/>
      <c r="BG13" s="14"/>
      <c r="BH13" s="14"/>
      <c r="BI13" s="14"/>
      <c r="BJ13" s="14"/>
      <c r="BK13" s="14"/>
      <c r="BL13" s="25"/>
    </row>
    <row r="14" spans="1:64" ht="21" x14ac:dyDescent="0.35">
      <c r="A14" s="24"/>
      <c r="B14" s="14"/>
      <c r="C14" s="14"/>
      <c r="D14" s="14"/>
      <c r="E14" s="14"/>
      <c r="F14" s="14"/>
      <c r="G14" s="14"/>
      <c r="H14" s="14"/>
      <c r="I14" s="24"/>
      <c r="J14" s="14"/>
      <c r="K14" s="14"/>
      <c r="L14" s="14"/>
      <c r="M14" s="14"/>
      <c r="N14" s="14"/>
      <c r="O14" s="14"/>
      <c r="P14" s="25"/>
      <c r="Q14" s="195" t="s">
        <v>19</v>
      </c>
      <c r="R14" s="194"/>
      <c r="S14" s="17">
        <f>LOOKUP(W5,Reference!$A$228:$A$235,Reference!$C$228:$C$235)</f>
        <v>0.59399999999999997</v>
      </c>
      <c r="T14" s="17">
        <f>LOOKUP(W5,Reference!$A$228:$A$235,Reference!$D$228:$D$235)</f>
        <v>3.1800000000000002E-2</v>
      </c>
      <c r="U14" s="21">
        <f>LOOKUP(W5,Reference!$A$228:$A$235,Reference!$E$228:$E$235)</f>
        <v>1E-3</v>
      </c>
      <c r="V14" s="21">
        <f>LOOKUP(W5,Reference!$A$228:$A$235,Reference!$F$228:$F$235)</f>
        <v>0.19800000000000001</v>
      </c>
      <c r="W14" s="14"/>
      <c r="X14" s="25"/>
      <c r="Y14" s="194" t="s">
        <v>21</v>
      </c>
      <c r="Z14" s="194"/>
      <c r="AA14" s="44">
        <f>AA15+AA16</f>
        <v>1.1125495781316028</v>
      </c>
      <c r="AB14" s="14"/>
      <c r="AC14" s="14"/>
      <c r="AD14" s="14"/>
      <c r="AE14" s="14"/>
      <c r="AF14" s="25"/>
      <c r="AG14" s="24"/>
      <c r="AH14" s="14"/>
      <c r="AI14" s="14"/>
      <c r="AJ14" s="14"/>
      <c r="AK14" s="14"/>
      <c r="AL14" s="14"/>
      <c r="AO14" s="195" t="s">
        <v>20</v>
      </c>
      <c r="AP14" s="197"/>
      <c r="AQ14" s="17">
        <f>IF(AS9="Signalized",IF(AS7=2,LOOKUP(AU5,Reference!$A$277:$A$283,Reference!$C$277:$C$283),IF(AS7=3,LOOKUP(AU5,Reference!$A$293:$A$299,Reference!$C$293:$C$299),IF(AS7=4,LOOKUP(AU5,Reference!$A$309:$A$315,Reference!$C$309:$C$315),IF(AS7=5,LOOKUP(AU5,Reference!$A$325:$A$331,Reference!$C$325:$C$331),LOOKUP(AU5,Reference!$A$341:$A$347,Reference!$C$341:$C$347))))),IF(AS5="Rural",LOOKUP(AU5,Reference!$A$358:$A$364,Reference!$C$358:$C$364),LOOKUP(AU5,Reference!$A$374:$A$380,Reference!$C$374:$C$380)))</f>
        <v>-3.0550000000000002</v>
      </c>
      <c r="AR14" s="17">
        <f>IF(AS9="Signalized",IF(AS7=2,LOOKUP(AU5,Reference!$A$277:$A$283,Reference!$D$277:$D$283),IF(AS7=3,LOOKUP(AU5,Reference!$A$293:$A$299,Reference!$D$293:$D$299),IF(AS7=4,LOOKUP(AU5,Reference!$A$309:$A$315,Reference!$D$309:$D$315),IF(AS7=5,LOOKUP(AU5,Reference!$A$325:$A$331,Reference!$D$325:$D$331),LOOKUP(AU5,Reference!$A$341:$A$347,Reference!$D$341:$D$347))))),IF(AS5="Rural",LOOKUP(AU5,Reference!$A$358:$A$364,Reference!$D$358:$D$364),LOOKUP(AU5,Reference!$A$374:$A$380,Reference!$D$374:$D$380)))</f>
        <v>0.77300000000000002</v>
      </c>
      <c r="AS14" s="17">
        <f>IF(AS9="Signalized",IF(AS7=2,LOOKUP(AU5,Reference!$A$277:$A$283,Reference!$E$277:$E$283),IF(AS7=3,LOOKUP(AU5,Reference!$A$293:$A$299,Reference!$E$293:$E$299),IF(AS7=4,LOOKUP(AU5,Reference!$A$309:$A$315,Reference!$E$309:$E$315),IF(AS7=5,LOOKUP(AU5,Reference!$A$325:$A$331,Reference!$E$325:$E$331),LOOKUP(AU5,Reference!$A$341:$A$347,Reference!$E$341:$E$347))))),IF(AS5="Rural",LOOKUP(AU5,Reference!$A$358:$A$364,Reference!$E$358:$E$364),LOOKUP(AU5,Reference!$A$374:$A$380,Reference!$E$374:$E$380)))</f>
        <v>1E-3</v>
      </c>
      <c r="AT14" s="17">
        <f>IF(AS9="Signalized",IF(AS7=2,LOOKUP(AU5,Reference!$A$277:$A$283,Reference!$F$277:$F$283),IF(AS7=3,LOOKUP(AU5,Reference!$A$293:$A$299,Reference!$F$293:$F$299),IF(AS7=4,LOOKUP(AU5,Reference!$A$309:$A$315,Reference!$F$309:$F$315),IF(AS7=5,LOOKUP(AU5,Reference!$A$325:$A$331,Reference!$F$325:$F$331),LOOKUP(AU5,Reference!$A$341:$A$347,Reference!$F$341:$F$347))))),IF(AS5="Rural",LOOKUP(AU5,Reference!$A$358:$A$364,Reference!$F$358:$F$364),LOOKUP(AU5,Reference!$A$374:$A$380,Reference!$F$374:$F$380)))</f>
        <v>0.878</v>
      </c>
      <c r="AU14" s="14"/>
      <c r="AV14" s="25"/>
      <c r="AW14" s="195" t="s">
        <v>238</v>
      </c>
      <c r="AX14" s="194"/>
      <c r="AY14" s="196" t="s">
        <v>239</v>
      </c>
      <c r="AZ14" s="190"/>
      <c r="BA14" s="190"/>
      <c r="BB14" s="190"/>
      <c r="BC14" s="190" t="s">
        <v>240</v>
      </c>
      <c r="BD14" s="205"/>
      <c r="BE14" s="24"/>
      <c r="BF14" s="14"/>
      <c r="BG14" s="14"/>
      <c r="BH14" s="14"/>
      <c r="BI14" s="14"/>
      <c r="BJ14" s="14"/>
      <c r="BK14" s="14"/>
      <c r="BL14" s="25"/>
    </row>
    <row r="15" spans="1:64" ht="18.75" customHeight="1" x14ac:dyDescent="0.35">
      <c r="A15" s="195" t="s">
        <v>91</v>
      </c>
      <c r="B15" s="194"/>
      <c r="C15" s="224" t="s">
        <v>116</v>
      </c>
      <c r="D15" s="224"/>
      <c r="E15" s="224"/>
      <c r="F15" s="224"/>
      <c r="G15" s="190" t="s">
        <v>92</v>
      </c>
      <c r="H15" s="190"/>
      <c r="I15" s="24"/>
      <c r="J15" s="14"/>
      <c r="K15" s="14"/>
      <c r="L15" s="14"/>
      <c r="M15" s="14"/>
      <c r="N15" s="14"/>
      <c r="O15" s="14"/>
      <c r="P15" s="25"/>
      <c r="Q15" s="195" t="s">
        <v>20</v>
      </c>
      <c r="R15" s="194"/>
      <c r="S15" s="17">
        <f>LOOKUP(W5,Reference!$A$237:$A$244,Reference!$C$237:$C$244)</f>
        <v>0.82399999999999995</v>
      </c>
      <c r="T15" s="17">
        <f>LOOKUP(W5,Reference!$A$237:$A$244,Reference!$D$237:$D$244)</f>
        <v>2.52E-2</v>
      </c>
      <c r="U15" s="21">
        <f>LOOKUP(W5,Reference!$A$237:$A$244,Reference!$E$237:$E$244)</f>
        <v>1E-3</v>
      </c>
      <c r="V15" s="21">
        <f>LOOKUP(W5,Reference!$A$237:$A$244,Reference!$F$237:$F$244)</f>
        <v>0</v>
      </c>
      <c r="W15" s="14"/>
      <c r="X15" s="25"/>
      <c r="Y15" s="194" t="s">
        <v>1</v>
      </c>
      <c r="Z15" s="194"/>
      <c r="AA15" s="44">
        <f>AF8</f>
        <v>0.36727389081737011</v>
      </c>
      <c r="AB15" s="14"/>
      <c r="AC15" s="14"/>
      <c r="AD15" s="14"/>
      <c r="AE15" s="14"/>
      <c r="AF15" s="25"/>
      <c r="AG15" s="24"/>
      <c r="AH15" s="14"/>
      <c r="AI15" s="14"/>
      <c r="AJ15" s="14"/>
      <c r="AK15" s="14"/>
      <c r="AL15" s="14"/>
      <c r="AM15" s="174"/>
      <c r="AN15" s="174"/>
      <c r="AO15" s="24"/>
      <c r="AP15" s="14"/>
      <c r="AQ15" s="14"/>
      <c r="AR15" s="14"/>
      <c r="AS15" s="14"/>
      <c r="AT15" s="14"/>
      <c r="AU15" s="14"/>
      <c r="AV15" s="25"/>
      <c r="AW15" s="24"/>
      <c r="AX15" s="14"/>
      <c r="AY15" s="174" t="s">
        <v>242</v>
      </c>
      <c r="AZ15" s="174" t="s">
        <v>243</v>
      </c>
      <c r="BA15" s="14"/>
      <c r="BB15" s="14"/>
      <c r="BC15" s="174" t="s">
        <v>242</v>
      </c>
      <c r="BD15" s="32" t="s">
        <v>243</v>
      </c>
      <c r="BE15" s="24"/>
      <c r="BF15" s="14"/>
      <c r="BG15" s="14"/>
      <c r="BH15" s="14"/>
      <c r="BI15" s="14"/>
      <c r="BJ15" s="14"/>
      <c r="BK15" s="14"/>
      <c r="BL15" s="25"/>
    </row>
    <row r="16" spans="1:64" x14ac:dyDescent="0.25">
      <c r="A16" s="24"/>
      <c r="B16" s="14"/>
      <c r="C16" s="14"/>
      <c r="D16" s="14"/>
      <c r="E16" s="14"/>
      <c r="F16" s="14"/>
      <c r="G16" s="14"/>
      <c r="H16" s="14"/>
      <c r="I16" s="24"/>
      <c r="J16" s="14"/>
      <c r="K16" s="14"/>
      <c r="L16" s="14"/>
      <c r="M16" s="14"/>
      <c r="N16" s="14"/>
      <c r="O16" s="14"/>
      <c r="P16" s="25"/>
      <c r="Q16" s="24"/>
      <c r="R16" s="14"/>
      <c r="S16" s="14"/>
      <c r="T16" s="14"/>
      <c r="U16" s="14"/>
      <c r="V16" s="14"/>
      <c r="W16" s="14"/>
      <c r="X16" s="25"/>
      <c r="Y16" s="194" t="s">
        <v>2</v>
      </c>
      <c r="Z16" s="194"/>
      <c r="AA16" s="44">
        <f>AF9</f>
        <v>0.74527568731423266</v>
      </c>
      <c r="AB16" s="14"/>
      <c r="AC16" s="14"/>
      <c r="AD16" s="14"/>
      <c r="AE16" s="14"/>
      <c r="AF16" s="25"/>
      <c r="AG16" s="24"/>
      <c r="AH16" s="14"/>
      <c r="AI16" s="14"/>
      <c r="AJ16" s="14"/>
      <c r="AK16" s="14"/>
      <c r="AL16" s="14"/>
      <c r="AM16" s="174"/>
      <c r="AN16" s="174"/>
      <c r="AO16" s="24"/>
      <c r="AP16" s="14"/>
      <c r="AQ16" s="14"/>
      <c r="AR16" s="14"/>
      <c r="AS16" s="14"/>
      <c r="AT16" s="14"/>
      <c r="AU16" s="14"/>
      <c r="AV16" s="25"/>
      <c r="AW16" s="195" t="s">
        <v>226</v>
      </c>
      <c r="AX16" s="194"/>
      <c r="AY16" s="178"/>
      <c r="AZ16" s="17">
        <f>LOOKUP(BC5,Reference!$A$101:$A$105,Reference!$C$101:$C$105)</f>
        <v>0.158</v>
      </c>
      <c r="BA16" s="194" t="s">
        <v>227</v>
      </c>
      <c r="BB16" s="194"/>
      <c r="BC16" s="178"/>
      <c r="BD16" s="80">
        <f>LOOKUP(BC5,Reference!$A$101:$A$105,Reference!$G$101:$G$105)</f>
        <v>8.3000000000000004E-2</v>
      </c>
      <c r="BE16" s="24"/>
      <c r="BF16" s="14"/>
      <c r="BG16" s="14"/>
      <c r="BH16" s="14"/>
      <c r="BI16" s="14"/>
      <c r="BJ16" s="14"/>
      <c r="BK16" s="14"/>
      <c r="BL16" s="25"/>
    </row>
    <row r="17" spans="1:64" ht="18" x14ac:dyDescent="0.35">
      <c r="A17" s="177" t="s">
        <v>93</v>
      </c>
      <c r="B17" s="178">
        <v>100</v>
      </c>
      <c r="C17" s="174" t="s">
        <v>94</v>
      </c>
      <c r="D17" s="178">
        <v>3</v>
      </c>
      <c r="E17" s="14"/>
      <c r="F17" s="14"/>
      <c r="G17" s="14"/>
      <c r="H17" s="14"/>
      <c r="I17" s="24"/>
      <c r="J17" s="14"/>
      <c r="K17" s="14"/>
      <c r="L17" s="14"/>
      <c r="M17" s="14"/>
      <c r="N17" s="14"/>
      <c r="O17" s="14"/>
      <c r="P17" s="25"/>
      <c r="Q17" s="24"/>
      <c r="R17" s="14"/>
      <c r="S17" s="14"/>
      <c r="T17" s="14"/>
      <c r="U17" s="14"/>
      <c r="V17" s="14"/>
      <c r="W17" s="14"/>
      <c r="X17" s="25"/>
      <c r="Y17" s="194" t="s">
        <v>3</v>
      </c>
      <c r="Z17" s="194"/>
      <c r="AA17" s="44">
        <f>AA18+AA19</f>
        <v>0.95614249135172202</v>
      </c>
      <c r="AB17" s="14"/>
      <c r="AC17" s="14"/>
      <c r="AD17" s="14"/>
      <c r="AE17" s="14"/>
      <c r="AF17" s="25"/>
      <c r="AG17" s="24"/>
      <c r="AH17" s="14"/>
      <c r="AI17" s="14"/>
      <c r="AJ17" s="14"/>
      <c r="AK17" s="14"/>
      <c r="AL17" s="14"/>
      <c r="AM17" s="174"/>
      <c r="AN17" s="174"/>
      <c r="AO17" s="195" t="s">
        <v>108</v>
      </c>
      <c r="AP17" s="198"/>
      <c r="AQ17" s="44">
        <f>SUM(AQ18:AQ19)</f>
        <v>0.41995593985754354</v>
      </c>
      <c r="AR17" s="14"/>
      <c r="AS17" s="14"/>
      <c r="AT17" s="14"/>
      <c r="AU17" s="14"/>
      <c r="AV17" s="25"/>
      <c r="AW17" s="195" t="s">
        <v>228</v>
      </c>
      <c r="AX17" s="194"/>
      <c r="AY17" s="178"/>
      <c r="AZ17" s="17">
        <f>LOOKUP(BC5,Reference!$A$101:$A$105,Reference!$D$101:$D$105)</f>
        <v>0.05</v>
      </c>
      <c r="BA17" s="194" t="s">
        <v>229</v>
      </c>
      <c r="BB17" s="194"/>
      <c r="BC17" s="178"/>
      <c r="BD17" s="80">
        <f>LOOKUP(BC5,Reference!$A$101:$A$105,Reference!$H$101:$H$105)</f>
        <v>1.6E-2</v>
      </c>
      <c r="BE17" s="24"/>
      <c r="BF17" s="14"/>
      <c r="BG17" s="14"/>
      <c r="BH17" s="14"/>
      <c r="BI17" s="14"/>
      <c r="BJ17" s="14"/>
      <c r="BK17" s="14"/>
      <c r="BL17" s="25"/>
    </row>
    <row r="18" spans="1:64" x14ac:dyDescent="0.25">
      <c r="A18" s="177"/>
      <c r="B18" s="40"/>
      <c r="C18" s="41"/>
      <c r="D18" s="40"/>
      <c r="E18" s="14"/>
      <c r="F18" s="14"/>
      <c r="G18" s="14"/>
      <c r="H18" s="14"/>
      <c r="I18" s="24"/>
      <c r="J18" s="14"/>
      <c r="K18" s="14"/>
      <c r="L18" s="14"/>
      <c r="M18" s="14"/>
      <c r="N18" s="14"/>
      <c r="O18" s="14"/>
      <c r="P18" s="25"/>
      <c r="Q18" s="24"/>
      <c r="R18" s="14"/>
      <c r="S18" s="14"/>
      <c r="T18" s="14"/>
      <c r="U18" s="14"/>
      <c r="V18" s="14"/>
      <c r="W18" s="14"/>
      <c r="X18" s="25"/>
      <c r="Y18" s="194" t="s">
        <v>4</v>
      </c>
      <c r="Z18" s="194"/>
      <c r="AA18" s="44">
        <f>AF10</f>
        <v>0.32469615970375537</v>
      </c>
      <c r="AB18" s="14"/>
      <c r="AC18" s="14"/>
      <c r="AD18" s="14"/>
      <c r="AE18" s="14"/>
      <c r="AF18" s="25"/>
      <c r="AG18" s="24"/>
      <c r="AH18" s="14"/>
      <c r="AI18" s="14"/>
      <c r="AJ18" s="14"/>
      <c r="AK18" s="14"/>
      <c r="AL18" s="14"/>
      <c r="AM18" s="174"/>
      <c r="AN18" s="174"/>
      <c r="AO18" s="195" t="s">
        <v>109</v>
      </c>
      <c r="AP18" s="198"/>
      <c r="AQ18" s="44">
        <f>EXP(AQ13+AR13*LN(AS13*AP5)+AT13*LN(AS13*SUM(AP6:AP7)))</f>
        <v>0.22818493619652264</v>
      </c>
      <c r="AR18" s="14"/>
      <c r="AS18" s="14"/>
      <c r="AT18" s="14"/>
      <c r="AU18" s="14"/>
      <c r="AV18" s="25"/>
      <c r="AW18" s="195" t="s">
        <v>343</v>
      </c>
      <c r="AX18" s="194"/>
      <c r="AY18" s="178"/>
      <c r="AZ18" s="17">
        <f>LOOKUP(BC5,Reference!$A$101:$A$105,Reference!$E$101:$E$105)</f>
        <v>0.17199999999999999</v>
      </c>
      <c r="BA18" s="194" t="s">
        <v>237</v>
      </c>
      <c r="BB18" s="194"/>
      <c r="BC18" s="178"/>
      <c r="BD18" s="80">
        <f>LOOKUP(BC5,Reference!$A$101:$A$105,Reference!$I$101:$I$105)</f>
        <v>2.5000000000000001E-2</v>
      </c>
      <c r="BE18" s="24"/>
      <c r="BF18" s="14"/>
      <c r="BG18" s="14"/>
      <c r="BH18" s="14"/>
      <c r="BI18" s="14"/>
      <c r="BJ18" s="14"/>
      <c r="BK18" s="14"/>
      <c r="BL18" s="25"/>
    </row>
    <row r="19" spans="1:64" x14ac:dyDescent="0.25">
      <c r="A19" s="24"/>
      <c r="B19" s="14"/>
      <c r="C19" s="174" t="s">
        <v>7</v>
      </c>
      <c r="D19" s="174" t="s">
        <v>6</v>
      </c>
      <c r="E19" s="174" t="s">
        <v>8</v>
      </c>
      <c r="F19" s="174" t="s">
        <v>38</v>
      </c>
      <c r="G19" s="174" t="s">
        <v>98</v>
      </c>
      <c r="H19" s="14"/>
      <c r="I19" s="24"/>
      <c r="J19" s="14"/>
      <c r="K19" s="14"/>
      <c r="L19" s="14"/>
      <c r="M19" s="14"/>
      <c r="N19" s="14"/>
      <c r="O19" s="14"/>
      <c r="P19" s="25"/>
      <c r="Q19" s="24"/>
      <c r="R19" s="14"/>
      <c r="S19" s="14"/>
      <c r="T19" s="14"/>
      <c r="U19" s="14"/>
      <c r="V19" s="14"/>
      <c r="W19" s="14"/>
      <c r="X19" s="25"/>
      <c r="Y19" s="194" t="s">
        <v>5</v>
      </c>
      <c r="Z19" s="194"/>
      <c r="AA19" s="44">
        <f>AF11</f>
        <v>0.6314463316479666</v>
      </c>
      <c r="AB19" s="14"/>
      <c r="AC19" s="14"/>
      <c r="AD19" s="14"/>
      <c r="AE19" s="14"/>
      <c r="AF19" s="25"/>
      <c r="AG19" s="24"/>
      <c r="AH19" s="14"/>
      <c r="AI19" s="14"/>
      <c r="AJ19" s="14"/>
      <c r="AK19" s="14"/>
      <c r="AL19" s="14"/>
      <c r="AM19" s="174"/>
      <c r="AN19" s="174"/>
      <c r="AO19" s="195" t="s">
        <v>110</v>
      </c>
      <c r="AP19" s="198"/>
      <c r="AQ19" s="44">
        <f>EXP(AQ14+AR14*LN(AS14*AP5)+AT14*LN(AS14*SUM(AP6:AP7)))</f>
        <v>0.19177100366102093</v>
      </c>
      <c r="AR19" s="14"/>
      <c r="AS19" s="14"/>
      <c r="AT19" s="14"/>
      <c r="AU19" s="14"/>
      <c r="AV19" s="25"/>
      <c r="AW19" s="195" t="s">
        <v>344</v>
      </c>
      <c r="AX19" s="194"/>
      <c r="AY19" s="178"/>
      <c r="AZ19" s="17">
        <f>LOOKUP(BC5,Reference!$A$101:$A$105,Reference!$F$101:$F$105)</f>
        <v>2.3E-2</v>
      </c>
      <c r="BA19" s="194" t="s">
        <v>241</v>
      </c>
      <c r="BB19" s="194"/>
      <c r="BC19" s="14"/>
      <c r="BD19" s="80">
        <f>LOOKUP(BC5,Reference!$A$101:$A$105,Reference!$J$101:$J$105)</f>
        <v>1</v>
      </c>
      <c r="BE19" s="24"/>
      <c r="BF19" s="14"/>
      <c r="BG19" s="14"/>
      <c r="BH19" s="14"/>
      <c r="BI19" s="14"/>
      <c r="BJ19" s="14"/>
      <c r="BK19" s="14"/>
      <c r="BL19" s="25"/>
    </row>
    <row r="20" spans="1:64" x14ac:dyDescent="0.25">
      <c r="A20" s="195" t="s">
        <v>99</v>
      </c>
      <c r="B20" s="194"/>
      <c r="C20" s="15">
        <f>LOOKUP(G5,Reference!$A$28:$A$31,Reference!$C$28:$C$31)</f>
        <v>-9.5299999999999994</v>
      </c>
      <c r="D20" s="15">
        <f>LOOKUP(G5,Reference!$A$28:$A$31,Reference!$D$28:$D$31)</f>
        <v>0.4</v>
      </c>
      <c r="E20" s="15">
        <f>LOOKUP(G5,Reference!$A$28:$A$31,Reference!$E$28:$E$31)</f>
        <v>0.26</v>
      </c>
      <c r="F20" s="15">
        <f>LOOKUP(G5,Reference!$A$28:$A$31,Reference!$F$28:$F$31)</f>
        <v>0.45</v>
      </c>
      <c r="G20" s="15">
        <f>LOOKUP(G5,Reference!$A$28:$A$31,Reference!$G$28:$G$31)</f>
        <v>0.04</v>
      </c>
      <c r="H20" s="14"/>
      <c r="I20" s="195" t="s">
        <v>21</v>
      </c>
      <c r="J20" s="194"/>
      <c r="K20" s="44">
        <f ca="1">K21+K22</f>
        <v>1.6425312480537874E-2</v>
      </c>
      <c r="L20" s="14"/>
      <c r="M20" s="14"/>
      <c r="N20" s="14"/>
      <c r="O20" s="14"/>
      <c r="P20" s="25"/>
      <c r="Q20" s="24"/>
      <c r="R20" s="14"/>
      <c r="S20" s="14"/>
      <c r="T20" s="14"/>
      <c r="U20" s="14"/>
      <c r="V20" s="14"/>
      <c r="W20" s="14"/>
      <c r="X20" s="25"/>
      <c r="Y20" s="14"/>
      <c r="Z20" s="14"/>
      <c r="AA20" s="14"/>
      <c r="AB20" s="14"/>
      <c r="AC20" s="14"/>
      <c r="AD20" s="14"/>
      <c r="AE20" s="14"/>
      <c r="AF20" s="25"/>
      <c r="AG20" s="24"/>
      <c r="AH20" s="14"/>
      <c r="AI20" s="14"/>
      <c r="AJ20" s="14"/>
      <c r="AK20" s="14"/>
      <c r="AL20" s="14"/>
      <c r="AM20" s="174"/>
      <c r="AN20" s="174"/>
      <c r="AO20" s="24"/>
      <c r="AP20" s="14"/>
      <c r="AQ20" s="14"/>
      <c r="AR20" s="14"/>
      <c r="AS20" s="14"/>
      <c r="AT20" s="14"/>
      <c r="AU20" s="14"/>
      <c r="AV20" s="25"/>
      <c r="AW20" s="81"/>
      <c r="AX20" s="13"/>
      <c r="AY20" s="14"/>
      <c r="AZ20" s="14"/>
      <c r="BA20" s="14"/>
      <c r="BB20" s="14"/>
      <c r="BC20" s="14"/>
      <c r="BD20" s="25"/>
      <c r="BE20" s="195" t="s">
        <v>353</v>
      </c>
      <c r="BF20" s="194"/>
      <c r="BG20" s="44">
        <f>BG21+BG22</f>
        <v>0.19181888258025231</v>
      </c>
      <c r="BH20" s="14"/>
      <c r="BI20" s="14"/>
      <c r="BJ20" s="14"/>
      <c r="BK20" s="14"/>
      <c r="BL20" s="25"/>
    </row>
    <row r="21" spans="1:64" ht="18" x14ac:dyDescent="0.35">
      <c r="A21" s="177"/>
      <c r="B21" s="174"/>
      <c r="C21" s="174" t="s">
        <v>101</v>
      </c>
      <c r="D21" s="14"/>
      <c r="E21" s="14"/>
      <c r="F21" s="14"/>
      <c r="G21" s="174" t="s">
        <v>104</v>
      </c>
      <c r="H21" s="14"/>
      <c r="I21" s="195" t="s">
        <v>1</v>
      </c>
      <c r="J21" s="194"/>
      <c r="K21" s="44">
        <f ca="1">P8</f>
        <v>3.5150739612747734E-3</v>
      </c>
      <c r="L21" s="14"/>
      <c r="M21" s="14"/>
      <c r="N21" s="14"/>
      <c r="O21" s="14"/>
      <c r="P21" s="25"/>
      <c r="Q21" s="24"/>
      <c r="R21" s="14"/>
      <c r="S21" s="14"/>
      <c r="T21" s="14"/>
      <c r="U21" s="14"/>
      <c r="V21" s="14"/>
      <c r="W21" s="14"/>
      <c r="X21" s="25"/>
      <c r="Y21" s="194" t="s">
        <v>18</v>
      </c>
      <c r="Z21" s="194"/>
      <c r="AA21" s="44">
        <f>AA22+AA23</f>
        <v>2.0686920694833248</v>
      </c>
      <c r="AB21" s="14"/>
      <c r="AC21" s="14"/>
      <c r="AD21" s="14"/>
      <c r="AE21" s="14"/>
      <c r="AF21" s="25"/>
      <c r="AG21" s="24"/>
      <c r="AH21" s="14"/>
      <c r="AI21" s="14"/>
      <c r="AJ21" s="14"/>
      <c r="AK21" s="14"/>
      <c r="AL21" s="14"/>
      <c r="AM21" s="174"/>
      <c r="AN21" s="174"/>
      <c r="AO21" s="24"/>
      <c r="AP21" s="14"/>
      <c r="AQ21" s="14"/>
      <c r="AR21" s="14"/>
      <c r="AS21" s="14"/>
      <c r="AT21" s="14"/>
      <c r="AU21" s="14"/>
      <c r="AV21" s="25"/>
      <c r="AW21" s="177"/>
      <c r="AX21" s="174"/>
      <c r="AY21" s="174" t="s">
        <v>101</v>
      </c>
      <c r="AZ21" s="14"/>
      <c r="BA21" s="14"/>
      <c r="BB21" s="14"/>
      <c r="BC21" s="174" t="s">
        <v>104</v>
      </c>
      <c r="BD21" s="25"/>
      <c r="BE21" s="195" t="s">
        <v>1</v>
      </c>
      <c r="BF21" s="194"/>
      <c r="BG21" s="44">
        <f>BL8</f>
        <v>5.2881870457496767E-2</v>
      </c>
      <c r="BH21" s="14"/>
      <c r="BI21" s="14"/>
      <c r="BJ21" s="14"/>
      <c r="BK21" s="14"/>
      <c r="BL21" s="25"/>
    </row>
    <row r="22" spans="1:64" x14ac:dyDescent="0.25">
      <c r="A22" s="195" t="s">
        <v>100</v>
      </c>
      <c r="B22" s="194"/>
      <c r="C22" s="17">
        <f ca="1">LOOKUP(G5,Reference!$A$34:$A$36,Reference!$C$34:$C$37)</f>
        <v>2.1999999999999999E-2</v>
      </c>
      <c r="D22" s="14"/>
      <c r="E22" s="194" t="s">
        <v>103</v>
      </c>
      <c r="F22" s="197"/>
      <c r="G22" s="17">
        <f>LOOKUP(G5,Reference!$A$40:$A$43,Reference!$C$40:$C$43)</f>
        <v>1.4999999999999999E-2</v>
      </c>
      <c r="H22" s="14"/>
      <c r="I22" s="195" t="s">
        <v>2</v>
      </c>
      <c r="J22" s="194"/>
      <c r="K22" s="44">
        <f>P9</f>
        <v>1.2910238519263102E-2</v>
      </c>
      <c r="L22" s="14"/>
      <c r="M22" s="14"/>
      <c r="N22" s="14"/>
      <c r="O22" s="14"/>
      <c r="P22" s="25"/>
      <c r="Q22" s="24"/>
      <c r="R22" s="14"/>
      <c r="S22" s="14"/>
      <c r="T22" s="14"/>
      <c r="U22" s="14"/>
      <c r="V22" s="14"/>
      <c r="W22" s="14"/>
      <c r="X22" s="25"/>
      <c r="Y22" s="194" t="s">
        <v>19</v>
      </c>
      <c r="Z22" s="194"/>
      <c r="AA22" s="44">
        <f>AF8+AF10</f>
        <v>0.69197005052112548</v>
      </c>
      <c r="AB22" s="14"/>
      <c r="AC22" s="14"/>
      <c r="AD22" s="14"/>
      <c r="AE22" s="14"/>
      <c r="AF22" s="25"/>
      <c r="AG22" s="24"/>
      <c r="AH22" s="14"/>
      <c r="AI22" s="14"/>
      <c r="AJ22" s="14"/>
      <c r="AK22" s="14"/>
      <c r="AL22" s="14"/>
      <c r="AM22" s="174"/>
      <c r="AN22" s="174"/>
      <c r="AO22" s="24"/>
      <c r="AP22" s="14"/>
      <c r="AQ22" s="14"/>
      <c r="AR22" s="14"/>
      <c r="AS22" s="14"/>
      <c r="AT22" s="72"/>
      <c r="AU22" s="14"/>
      <c r="AV22" s="25"/>
      <c r="AW22" s="195" t="s">
        <v>356</v>
      </c>
      <c r="AX22" s="194"/>
      <c r="AY22" s="17">
        <f>LOOKUP(BC5,Reference!$A$109:$A$113,IF(BC6="Greater Than 30 MPH",Reference!$D$109:$D$113,Reference!$C$109:$C$113))</f>
        <v>3.5999999999999997E-2</v>
      </c>
      <c r="AZ22" s="14"/>
      <c r="BA22" s="194" t="s">
        <v>103</v>
      </c>
      <c r="BB22" s="197"/>
      <c r="BC22" s="17">
        <f>LOOKUP(BC5,Reference!$A$109:$A$113,IF(BC6="Greater Than 30 MPH",Reference!$F$109:$F$113,Reference!$E$109:$E$113))</f>
        <v>1.7999999999999999E-2</v>
      </c>
      <c r="BD22" s="25"/>
      <c r="BE22" s="195" t="s">
        <v>2</v>
      </c>
      <c r="BF22" s="194"/>
      <c r="BG22" s="44">
        <f>BL9</f>
        <v>0.13893701212275555</v>
      </c>
      <c r="BH22" s="14"/>
      <c r="BI22" s="14"/>
      <c r="BJ22" s="14"/>
      <c r="BK22" s="14"/>
      <c r="BL22" s="25"/>
    </row>
    <row r="23" spans="1:64" x14ac:dyDescent="0.25">
      <c r="A23" s="24"/>
      <c r="B23" s="14"/>
      <c r="C23" s="14"/>
      <c r="D23" s="14"/>
      <c r="E23" s="14"/>
      <c r="F23" s="14"/>
      <c r="G23" s="14"/>
      <c r="H23" s="14"/>
      <c r="I23" s="195" t="s">
        <v>3</v>
      </c>
      <c r="J23" s="194"/>
      <c r="K23" s="44">
        <f ca="1">K24+K25</f>
        <v>0.1691593714604793</v>
      </c>
      <c r="L23" s="14"/>
      <c r="M23" s="14"/>
      <c r="N23" s="14"/>
      <c r="O23" s="14"/>
      <c r="P23" s="25"/>
      <c r="Q23" s="24"/>
      <c r="R23" s="14"/>
      <c r="S23" s="14"/>
      <c r="T23" s="14"/>
      <c r="U23" s="14"/>
      <c r="V23" s="14"/>
      <c r="W23" s="14"/>
      <c r="X23" s="25"/>
      <c r="Y23" s="194" t="s">
        <v>20</v>
      </c>
      <c r="Z23" s="198"/>
      <c r="AA23" s="44">
        <f>AF9+AF11</f>
        <v>1.3767220189621994</v>
      </c>
      <c r="AB23" s="14"/>
      <c r="AC23" s="14"/>
      <c r="AD23" s="14"/>
      <c r="AE23" s="14"/>
      <c r="AF23" s="25"/>
      <c r="AG23" s="24"/>
      <c r="AH23" s="14"/>
      <c r="AI23" s="14"/>
      <c r="AJ23" s="14"/>
      <c r="AK23" s="14"/>
      <c r="AL23" s="14"/>
      <c r="AM23" s="174" t="s">
        <v>19</v>
      </c>
      <c r="AN23" s="174" t="s">
        <v>20</v>
      </c>
      <c r="AO23" s="24"/>
      <c r="AP23" s="14"/>
      <c r="AQ23" s="14"/>
      <c r="AR23" s="14"/>
      <c r="AS23" s="14"/>
      <c r="AT23" s="14"/>
      <c r="AU23" s="14"/>
      <c r="AV23" s="25"/>
      <c r="AW23" s="24"/>
      <c r="AX23" s="14"/>
      <c r="AY23" s="14"/>
      <c r="AZ23" s="14"/>
      <c r="BA23" s="14"/>
      <c r="BB23" s="14"/>
      <c r="BC23" s="14"/>
      <c r="BD23" s="25"/>
      <c r="BE23" s="195" t="s">
        <v>3</v>
      </c>
      <c r="BF23" s="194"/>
      <c r="BG23" s="44">
        <f>BG24+BG25</f>
        <v>8.6779009642614965E-2</v>
      </c>
      <c r="BH23" s="14"/>
      <c r="BI23" s="14"/>
      <c r="BJ23" s="14"/>
      <c r="BK23" s="14"/>
      <c r="BL23" s="25"/>
    </row>
    <row r="24" spans="1:64" x14ac:dyDescent="0.25">
      <c r="A24" s="195" t="s">
        <v>21</v>
      </c>
      <c r="B24" s="194"/>
      <c r="C24" s="44">
        <f>H8</f>
        <v>3.1040909674726449</v>
      </c>
      <c r="D24" s="14"/>
      <c r="E24" s="14"/>
      <c r="F24" s="14"/>
      <c r="G24" s="14"/>
      <c r="H24" s="14"/>
      <c r="I24" s="195" t="s">
        <v>4</v>
      </c>
      <c r="J24" s="194"/>
      <c r="K24" s="44">
        <f ca="1">P10</f>
        <v>7.0929527422596436E-2</v>
      </c>
      <c r="L24" s="14"/>
      <c r="M24" s="14"/>
      <c r="N24" s="14"/>
      <c r="O24" s="14"/>
      <c r="P24" s="25"/>
      <c r="Q24" s="195" t="s">
        <v>18</v>
      </c>
      <c r="R24" s="194"/>
      <c r="S24" s="16">
        <f>S25+S26</f>
        <v>0.95086281135362105</v>
      </c>
      <c r="T24" s="14"/>
      <c r="U24" s="14"/>
      <c r="V24" s="14"/>
      <c r="W24" s="14"/>
      <c r="X24" s="25"/>
      <c r="Y24" s="14"/>
      <c r="Z24" s="14"/>
      <c r="AA24" s="14"/>
      <c r="AB24" s="14"/>
      <c r="AC24" s="14"/>
      <c r="AD24" s="14"/>
      <c r="AE24" s="14"/>
      <c r="AF24" s="25"/>
      <c r="AG24" s="24" t="s">
        <v>80</v>
      </c>
      <c r="AH24" s="14" t="s">
        <v>81</v>
      </c>
      <c r="AI24" s="14"/>
      <c r="AJ24" s="14"/>
      <c r="AK24" s="14"/>
      <c r="AL24" s="14"/>
      <c r="AM24" s="39">
        <f>(1-AH5)+AH5*EXP(AI11/AJ5)</f>
        <v>1</v>
      </c>
      <c r="AN24" s="69">
        <f>(1-AH5)+AH5*EXP(AI12/AJ5)</f>
        <v>1</v>
      </c>
      <c r="AO24" s="24"/>
      <c r="AP24" s="14"/>
      <c r="AQ24" s="14"/>
      <c r="AR24" s="14"/>
      <c r="AS24" s="14"/>
      <c r="AT24" s="14"/>
      <c r="AU24" s="14"/>
      <c r="AV24" s="25"/>
      <c r="AW24" s="195" t="s">
        <v>342</v>
      </c>
      <c r="AX24" s="194"/>
      <c r="AY24" s="44">
        <f>BD8</f>
        <v>2.2674258073360116</v>
      </c>
      <c r="AZ24" s="14"/>
      <c r="BA24" s="194" t="s">
        <v>345</v>
      </c>
      <c r="BB24" s="198"/>
      <c r="BC24" s="44">
        <f>(SUMPRODUCT(AY16:AY19,AZ16:AZ19)+SUMPRODUCT(BC16:BC18,BD16:BD18))*(AX5/15000)^BD19</f>
        <v>0</v>
      </c>
      <c r="BD24" s="25"/>
      <c r="BE24" s="195" t="s">
        <v>4</v>
      </c>
      <c r="BF24" s="194"/>
      <c r="BG24" s="44">
        <f>BL10</f>
        <v>3.3138203880719988E-2</v>
      </c>
      <c r="BH24" s="14"/>
      <c r="BI24" s="14"/>
      <c r="BJ24" s="14"/>
      <c r="BK24" s="14"/>
      <c r="BL24" s="25"/>
    </row>
    <row r="25" spans="1:64" x14ac:dyDescent="0.25">
      <c r="A25" s="195" t="s">
        <v>1</v>
      </c>
      <c r="B25" s="194"/>
      <c r="C25" s="44">
        <f>H8*(H9/(H9+H10))</f>
        <v>0.99019168578462013</v>
      </c>
      <c r="D25" s="14"/>
      <c r="E25" s="194" t="s">
        <v>111</v>
      </c>
      <c r="F25" s="198"/>
      <c r="G25" s="44">
        <f ca="1">IF(C22="-",EXP(C20+D20*LN(B5+D5)+E20*LN(D5/B5)+F20*LN(B17)+G20*D17),G51*C22)</f>
        <v>3.3248664834096754E-2</v>
      </c>
      <c r="H25" s="14"/>
      <c r="I25" s="195" t="s">
        <v>5</v>
      </c>
      <c r="J25" s="194"/>
      <c r="K25" s="44">
        <f>P11</f>
        <v>9.822984403788286E-2</v>
      </c>
      <c r="L25" s="14"/>
      <c r="M25" s="14"/>
      <c r="N25" s="14"/>
      <c r="O25" s="14"/>
      <c r="P25" s="25"/>
      <c r="Q25" s="195" t="s">
        <v>19</v>
      </c>
      <c r="R25" s="194"/>
      <c r="S25" s="16">
        <f>X8</f>
        <v>0.22902618854511886</v>
      </c>
      <c r="T25" s="14"/>
      <c r="U25" s="14"/>
      <c r="V25" s="14"/>
      <c r="W25" s="14"/>
      <c r="X25" s="25"/>
      <c r="Y25" s="14"/>
      <c r="Z25" s="14"/>
      <c r="AA25" s="14"/>
      <c r="AB25" s="14"/>
      <c r="AC25" s="14"/>
      <c r="AD25" s="14"/>
      <c r="AE25" s="14"/>
      <c r="AF25" s="25"/>
      <c r="AG25" s="24" t="s">
        <v>82</v>
      </c>
      <c r="AH25" s="14" t="s">
        <v>83</v>
      </c>
      <c r="AI25" s="14"/>
      <c r="AJ25" s="14"/>
      <c r="AK25" s="14"/>
      <c r="AL25" s="14"/>
      <c r="AM25" s="39">
        <f>(1-AH6)+AH6*EXP(AI11/AJ6)</f>
        <v>1</v>
      </c>
      <c r="AN25" s="69">
        <f>(1-AH6)+AH6*EXP(AI12/AJ6)</f>
        <v>1</v>
      </c>
      <c r="AO25" s="24"/>
      <c r="AP25" s="14"/>
      <c r="AQ25" s="14"/>
      <c r="AR25" s="14"/>
      <c r="AS25" s="14"/>
      <c r="AT25" s="14"/>
      <c r="AU25" s="14"/>
      <c r="AV25" s="25"/>
      <c r="AW25" s="195" t="s">
        <v>217</v>
      </c>
      <c r="AX25" s="194"/>
      <c r="AY25" s="44">
        <f>BD8*(BD9/(BD9+BD10))</f>
        <v>0.661753651164811</v>
      </c>
      <c r="AZ25" s="14"/>
      <c r="BA25" s="194" t="s">
        <v>219</v>
      </c>
      <c r="BB25" s="198"/>
      <c r="BC25" s="44">
        <f>BC24*BD25</f>
        <v>0</v>
      </c>
      <c r="BD25" s="82">
        <f>LOOKUP(BC5,Reference!$A$101:$A$105,Reference!$K$101:$K$105)</f>
        <v>0.32300000000000001</v>
      </c>
      <c r="BE25" s="195" t="s">
        <v>5</v>
      </c>
      <c r="BF25" s="194"/>
      <c r="BG25" s="44">
        <f>BL11</f>
        <v>5.3640805761894977E-2</v>
      </c>
      <c r="BH25" s="14"/>
      <c r="BI25" s="14"/>
      <c r="BJ25" s="14"/>
      <c r="BK25" s="14"/>
      <c r="BL25" s="25"/>
    </row>
    <row r="26" spans="1:64" x14ac:dyDescent="0.25">
      <c r="A26" s="195" t="s">
        <v>2</v>
      </c>
      <c r="B26" s="194"/>
      <c r="C26" s="44">
        <f>C24-C25</f>
        <v>2.1138992816880249</v>
      </c>
      <c r="D26" s="14"/>
      <c r="E26" s="14"/>
      <c r="F26" s="14"/>
      <c r="G26" s="14"/>
      <c r="H26" s="14"/>
      <c r="I26" s="24"/>
      <c r="J26" s="14"/>
      <c r="K26" s="14"/>
      <c r="L26" s="14"/>
      <c r="M26" s="14"/>
      <c r="N26" s="14"/>
      <c r="O26" s="14"/>
      <c r="P26" s="25"/>
      <c r="Q26" s="195" t="s">
        <v>20</v>
      </c>
      <c r="R26" s="198"/>
      <c r="S26" s="16">
        <f>X9</f>
        <v>0.72183662280850225</v>
      </c>
      <c r="T26" s="14"/>
      <c r="U26" s="14"/>
      <c r="V26" s="14"/>
      <c r="W26" s="14"/>
      <c r="X26" s="25"/>
      <c r="Y26" s="43"/>
      <c r="Z26" s="204" t="s">
        <v>45</v>
      </c>
      <c r="AA26" s="204"/>
      <c r="AB26" s="204"/>
      <c r="AC26" s="204"/>
      <c r="AD26" s="204"/>
      <c r="AE26" s="174" t="s">
        <v>19</v>
      </c>
      <c r="AF26" s="32" t="s">
        <v>20</v>
      </c>
      <c r="AG26" s="24"/>
      <c r="AH26" s="14"/>
      <c r="AI26" s="14"/>
      <c r="AJ26" s="14"/>
      <c r="AK26" s="14"/>
      <c r="AL26" s="14"/>
      <c r="AM26" s="14"/>
      <c r="AN26" s="14"/>
      <c r="AO26" s="24"/>
      <c r="AP26" s="14"/>
      <c r="AQ26" s="14"/>
      <c r="AR26" s="14"/>
      <c r="AS26" s="14"/>
      <c r="AT26" s="14"/>
      <c r="AU26" s="14"/>
      <c r="AV26" s="25"/>
      <c r="AW26" s="195" t="s">
        <v>218</v>
      </c>
      <c r="AX26" s="194"/>
      <c r="AY26" s="44">
        <f>AY24-AY25</f>
        <v>1.6056721561712006</v>
      </c>
      <c r="AZ26" s="14"/>
      <c r="BA26" s="194" t="s">
        <v>220</v>
      </c>
      <c r="BB26" s="198"/>
      <c r="BC26" s="44">
        <f>BD26*BC24</f>
        <v>0</v>
      </c>
      <c r="BD26" s="82">
        <f>1-BD25</f>
        <v>0.67700000000000005</v>
      </c>
      <c r="BE26" s="24"/>
      <c r="BF26" s="14"/>
      <c r="BG26" s="14"/>
      <c r="BH26" s="14"/>
      <c r="BI26" s="14"/>
      <c r="BJ26" s="14"/>
      <c r="BK26" s="14"/>
      <c r="BL26" s="25"/>
    </row>
    <row r="27" spans="1:64" ht="15" customHeight="1" x14ac:dyDescent="0.25">
      <c r="A27" s="195" t="s">
        <v>3</v>
      </c>
      <c r="B27" s="194"/>
      <c r="C27" s="44">
        <f>H11</f>
        <v>0.22791693802163829</v>
      </c>
      <c r="D27" s="14"/>
      <c r="E27" s="14"/>
      <c r="F27" s="14"/>
      <c r="G27" s="14"/>
      <c r="H27" s="14"/>
      <c r="I27" s="195" t="s">
        <v>18</v>
      </c>
      <c r="J27" s="194"/>
      <c r="K27" s="44">
        <f ca="1">K28+K29</f>
        <v>0.18558468394101718</v>
      </c>
      <c r="L27" s="14"/>
      <c r="M27" s="14"/>
      <c r="N27" s="14"/>
      <c r="O27" s="14"/>
      <c r="P27" s="25"/>
      <c r="Q27" s="24"/>
      <c r="R27" s="14"/>
      <c r="S27" s="14"/>
      <c r="T27" s="14"/>
      <c r="U27" s="14"/>
      <c r="V27" s="14"/>
      <c r="W27" s="14"/>
      <c r="X27" s="25"/>
      <c r="Y27" s="174">
        <v>1</v>
      </c>
      <c r="Z27" s="223" t="s">
        <v>346</v>
      </c>
      <c r="AA27" s="223"/>
      <c r="AB27" s="223"/>
      <c r="AC27" s="223"/>
      <c r="AD27" s="223"/>
      <c r="AE27" s="47">
        <v>1</v>
      </c>
      <c r="AF27" s="48">
        <v>1</v>
      </c>
      <c r="AG27" s="24" t="s">
        <v>84</v>
      </c>
      <c r="AH27" s="226" t="s">
        <v>85</v>
      </c>
      <c r="AI27" s="226"/>
      <c r="AJ27" s="226"/>
      <c r="AK27" s="226"/>
      <c r="AL27" s="226"/>
      <c r="AM27" s="37">
        <f>((1+(EXP(-AJ11*AL5+AL11*LN(AK11*AH7)))/(AJ11*AH8))*(1-EXP(-AJ11*AH8)))*((1+(EXP(-AJ11*AN6+AL11*LN(AK11*AN7)))/(AJ11*AH8))*(1-EXP(-AJ11*AH8)))</f>
        <v>1.0716743357448117</v>
      </c>
      <c r="AN27" s="70">
        <f>((1+(EXP(-AJ12*AL5+AL12*LN(AK12*AH7)))/(AJ12*AH8))*(1-EXP(-AJ12*AH8)))*((1+(EXP(-AJ12*AN6+AL12*LN(AK12*AN7)))/(AJ12*AH8))*(1-EXP(-AJ12*AH8)))</f>
        <v>1.0645178165967635</v>
      </c>
      <c r="AO27" s="24"/>
      <c r="AP27" s="14"/>
      <c r="AQ27" s="14"/>
      <c r="AR27" s="14"/>
      <c r="AS27" s="14"/>
      <c r="AT27" s="14"/>
      <c r="AU27" s="14"/>
      <c r="AV27" s="25"/>
      <c r="AW27" s="195" t="s">
        <v>3</v>
      </c>
      <c r="AX27" s="194"/>
      <c r="AY27" s="44">
        <f>BD11</f>
        <v>0.88356984170101416</v>
      </c>
      <c r="AZ27" s="14"/>
      <c r="BA27" s="14"/>
      <c r="BB27" s="14"/>
      <c r="BC27" s="14"/>
      <c r="BD27" s="25"/>
      <c r="BE27" s="195" t="s">
        <v>18</v>
      </c>
      <c r="BF27" s="194"/>
      <c r="BG27" s="44">
        <f>BG28+BG29</f>
        <v>0.27859789222286729</v>
      </c>
      <c r="BH27" s="14"/>
      <c r="BI27" s="14"/>
      <c r="BJ27" s="14"/>
      <c r="BK27" s="14"/>
      <c r="BL27" s="25"/>
    </row>
    <row r="28" spans="1:64" x14ac:dyDescent="0.25">
      <c r="A28" s="195" t="s">
        <v>4</v>
      </c>
      <c r="B28" s="194"/>
      <c r="C28" s="44">
        <f>IF(C12=0,H12,H11*(H12/(H12+H13)))</f>
        <v>6.4964266495381395E-2</v>
      </c>
      <c r="D28" s="14"/>
      <c r="E28" s="194" t="s">
        <v>112</v>
      </c>
      <c r="F28" s="198"/>
      <c r="G28" s="44">
        <f>G51*G22</f>
        <v>2.2669544205065967E-2</v>
      </c>
      <c r="H28" s="14"/>
      <c r="I28" s="195" t="s">
        <v>19</v>
      </c>
      <c r="J28" s="194"/>
      <c r="K28" s="44">
        <f ca="1">P8+P10</f>
        <v>7.4444601383871212E-2</v>
      </c>
      <c r="L28" s="14"/>
      <c r="M28" s="14"/>
      <c r="N28" s="14"/>
      <c r="O28" s="14"/>
      <c r="P28" s="25"/>
      <c r="Q28" s="24"/>
      <c r="R28" s="14"/>
      <c r="S28" s="14"/>
      <c r="T28" s="14"/>
      <c r="U28" s="14"/>
      <c r="V28" s="14"/>
      <c r="W28" s="14"/>
      <c r="X28" s="25"/>
      <c r="Y28" s="174">
        <v>2</v>
      </c>
      <c r="Z28" s="215" t="s">
        <v>195</v>
      </c>
      <c r="AA28" s="216"/>
      <c r="AB28" s="216"/>
      <c r="AC28" s="217"/>
      <c r="AD28" s="62">
        <v>13</v>
      </c>
      <c r="AE28" s="47">
        <f>IF(AD28&gt;=13,0.963,EXP(-0.0376*(AD28-12)))</f>
        <v>0.96299999999999997</v>
      </c>
      <c r="AF28" s="48">
        <v>1</v>
      </c>
      <c r="AG28" s="24"/>
      <c r="AH28" s="226"/>
      <c r="AI28" s="226"/>
      <c r="AJ28" s="226"/>
      <c r="AK28" s="226"/>
      <c r="AL28" s="226"/>
      <c r="AM28" s="38"/>
      <c r="AN28" s="14"/>
      <c r="AO28" s="24"/>
      <c r="AP28" s="14"/>
      <c r="AQ28" s="14"/>
      <c r="AR28" s="14"/>
      <c r="AS28" s="14"/>
      <c r="AT28" s="14"/>
      <c r="AU28" s="14"/>
      <c r="AV28" s="25"/>
      <c r="AW28" s="195" t="s">
        <v>4</v>
      </c>
      <c r="AX28" s="194"/>
      <c r="AY28" s="44">
        <f>IF(AY12=0,BD12,BD11*(BD12/(BD12+BD13)))</f>
        <v>0.17985916551433284</v>
      </c>
      <c r="AZ28" s="14"/>
      <c r="BA28" s="194" t="s">
        <v>111</v>
      </c>
      <c r="BB28" s="198"/>
      <c r="BC28" s="44">
        <f>BC51*AY22</f>
        <v>9.2802387724916044E-2</v>
      </c>
      <c r="BD28" s="25"/>
      <c r="BE28" s="195" t="s">
        <v>19</v>
      </c>
      <c r="BF28" s="194"/>
      <c r="BG28" s="44">
        <f>BL8+BL10</f>
        <v>8.6020074338216762E-2</v>
      </c>
      <c r="BH28" s="14"/>
      <c r="BI28" s="14"/>
      <c r="BJ28" s="14"/>
      <c r="BK28" s="14"/>
      <c r="BL28" s="25"/>
    </row>
    <row r="29" spans="1:64" x14ac:dyDescent="0.25">
      <c r="A29" s="195" t="s">
        <v>5</v>
      </c>
      <c r="B29" s="194"/>
      <c r="C29" s="44">
        <f>C27-C28</f>
        <v>0.16295267152625689</v>
      </c>
      <c r="D29" s="14"/>
      <c r="E29" s="14"/>
      <c r="F29" s="14"/>
      <c r="G29" s="14"/>
      <c r="H29" s="14"/>
      <c r="I29" s="195" t="s">
        <v>20</v>
      </c>
      <c r="J29" s="198"/>
      <c r="K29" s="44">
        <f>P9+P11</f>
        <v>0.11114008255714597</v>
      </c>
      <c r="L29" s="14"/>
      <c r="M29" s="14"/>
      <c r="N29" s="14"/>
      <c r="O29" s="14"/>
      <c r="P29" s="25"/>
      <c r="Q29" s="31"/>
      <c r="R29" s="204" t="s">
        <v>45</v>
      </c>
      <c r="S29" s="204"/>
      <c r="T29" s="204"/>
      <c r="U29" s="204"/>
      <c r="V29" s="204"/>
      <c r="W29" s="174" t="s">
        <v>19</v>
      </c>
      <c r="X29" s="32" t="s">
        <v>20</v>
      </c>
      <c r="Y29" s="174">
        <v>3</v>
      </c>
      <c r="Z29" s="215" t="s">
        <v>202</v>
      </c>
      <c r="AA29" s="216"/>
      <c r="AB29" s="216"/>
      <c r="AC29" s="217"/>
      <c r="AD29" s="60">
        <v>13</v>
      </c>
      <c r="AE29" s="47">
        <f>EXP(-0.0172*(AD29-6))</f>
        <v>0.88656573948664608</v>
      </c>
      <c r="AF29" s="48">
        <f>EXP(-0.0153*(AD29-6))</f>
        <v>0.89843582491548513</v>
      </c>
      <c r="AG29" s="24"/>
      <c r="AH29" s="14"/>
      <c r="AI29" s="14"/>
      <c r="AJ29" s="14"/>
      <c r="AK29" s="14"/>
      <c r="AL29" s="14"/>
      <c r="AM29" s="14"/>
      <c r="AN29" s="14"/>
      <c r="AO29" s="31"/>
      <c r="AP29" s="204" t="s">
        <v>45</v>
      </c>
      <c r="AQ29" s="204"/>
      <c r="AR29" s="204"/>
      <c r="AS29" s="204"/>
      <c r="AT29" s="204"/>
      <c r="AU29" s="174" t="s">
        <v>19</v>
      </c>
      <c r="AV29" s="32" t="s">
        <v>20</v>
      </c>
      <c r="AW29" s="195" t="s">
        <v>5</v>
      </c>
      <c r="AX29" s="194"/>
      <c r="AY29" s="44">
        <f>AY27-AY28</f>
        <v>0.70371067618668137</v>
      </c>
      <c r="AZ29" s="14"/>
      <c r="BA29" s="194" t="s">
        <v>112</v>
      </c>
      <c r="BB29" s="198"/>
      <c r="BC29" s="44">
        <f>BC51*BC22</f>
        <v>4.6401193862458022E-2</v>
      </c>
      <c r="BD29" s="25"/>
      <c r="BE29" s="195" t="s">
        <v>20</v>
      </c>
      <c r="BF29" s="198"/>
      <c r="BG29" s="44">
        <f>BL9+BL11</f>
        <v>0.19257781788465053</v>
      </c>
      <c r="BH29" s="14"/>
      <c r="BI29" s="14"/>
      <c r="BJ29" s="14"/>
      <c r="BK29" s="14"/>
      <c r="BL29" s="25"/>
    </row>
    <row r="30" spans="1:64" ht="15" customHeight="1" x14ac:dyDescent="0.25">
      <c r="A30" s="24"/>
      <c r="B30" s="14"/>
      <c r="C30" s="14"/>
      <c r="D30" s="14"/>
      <c r="E30" s="14"/>
      <c r="F30" s="14"/>
      <c r="G30" s="14"/>
      <c r="H30" s="14"/>
      <c r="I30" s="24"/>
      <c r="J30" s="14"/>
      <c r="K30" s="14"/>
      <c r="L30" s="14"/>
      <c r="M30" s="14"/>
      <c r="N30" s="14"/>
      <c r="O30" s="14"/>
      <c r="P30" s="25"/>
      <c r="Q30" s="177">
        <v>1</v>
      </c>
      <c r="R30" s="199" t="s">
        <v>279</v>
      </c>
      <c r="S30" s="199"/>
      <c r="T30" s="199"/>
      <c r="U30" s="199"/>
      <c r="V30" s="199"/>
      <c r="W30" s="47">
        <f>IF(OR(W5="1 (Merge, 4 Through Lanes)",W5="2 (Merge, 6 Through Lanes)"),EXP(S14*IF(T6="Left",1,0)+T14/T5+V14*LN(U14*R6)),EXP(S14*IF(T6="Left",1,0)+T14/T5))</f>
        <v>1.3743762612275612</v>
      </c>
      <c r="X30" s="48">
        <f>IF(OR(W5="1 (Merge, 4 Through Lanes)",W5="2 (Merge, 6 Through Lanes)"),EXP(S15*IF(T6="Left",1,0)+T15/T5+V15*LN(U15*R6)),EXP(S15*IF(T6="Left",1,0)+T15/T5))</f>
        <v>1.2865960372848406</v>
      </c>
      <c r="Y30" s="174">
        <v>5</v>
      </c>
      <c r="Z30" s="215" t="s">
        <v>204</v>
      </c>
      <c r="AA30" s="216"/>
      <c r="AB30" s="217"/>
      <c r="AC30" s="59">
        <v>0.5</v>
      </c>
      <c r="AD30" s="61">
        <v>13</v>
      </c>
      <c r="AE30" s="47">
        <f>(1-AC30)+AC30*EXP(0.131/AD30)</f>
        <v>1.0050639331196289</v>
      </c>
      <c r="AF30" s="48">
        <f>(1-AC30)+AC30*EXP(0.169/AD30)</f>
        <v>1.0065424336799045</v>
      </c>
      <c r="AG30" s="24" t="s">
        <v>86</v>
      </c>
      <c r="AH30" s="226" t="s">
        <v>87</v>
      </c>
      <c r="AI30" s="226"/>
      <c r="AJ30" s="226"/>
      <c r="AK30" s="226"/>
      <c r="AL30" s="226"/>
      <c r="AM30" s="37">
        <f>((1+(EXP(-AJ11*AN5+AL11*LN(AK11*AL7)))/(AJ11*AH8))*(1-EXP(-AJ11*AH8)))*((1+(EXP(-AJ11*AL6+AL11*LN(AK11*AJ7)))/(AJ11*AH8))*(1-EXP(-AJ11*AH8)))</f>
        <v>1.068617545755145</v>
      </c>
      <c r="AN30" s="70">
        <f>((1+(EXP(-AJ12*AN5+AL12*LN(AK12*AL7)))/(AJ12*AH8))*(1-EXP(-AJ12*AH8)))*((1+(EXP(-AJ12*AL6+AL12*LN(AK12*AJ7)))/(AJ12*AH8))*(1-EXP(-AJ12*AH8)))</f>
        <v>1.0613837686389982</v>
      </c>
      <c r="AO30" s="180">
        <v>10</v>
      </c>
      <c r="AP30" s="218" t="s">
        <v>171</v>
      </c>
      <c r="AQ30" s="219"/>
      <c r="AR30" s="220"/>
      <c r="AS30" s="91">
        <v>1</v>
      </c>
      <c r="AT30" s="178" t="s">
        <v>172</v>
      </c>
      <c r="AU30" s="47">
        <f>(1-(AP6/SUM(AP6:AP9)))+(AP6/SUM(AP6:AP9))*EXP(IF(AS9="Signalized",0.0668,0.151)*(0.001*AP6)/IF(AT30="Merge/Freeflow",0.5*(AS30-1)+1,0.5*AS30))</f>
        <v>1.1529240919172521</v>
      </c>
      <c r="AV30" s="48">
        <f>(1-(AP6/SUM(AP6:AP9)))+(AP6/SUM(AP6:AP9))*EXP(IF(AS9="Signalized",0.0668,0.151)*(0.001*AP6)/IF(AT30="Merge/Freeflow",0.5*(AS30-1)+1,0.5*AS30))</f>
        <v>1.1529240919172521</v>
      </c>
      <c r="AW30" s="24"/>
      <c r="AX30" s="14"/>
      <c r="AY30" s="14"/>
      <c r="AZ30" s="14"/>
      <c r="BA30" s="14"/>
      <c r="BB30" s="14"/>
      <c r="BC30" s="14"/>
      <c r="BD30" s="25"/>
      <c r="BE30" s="24"/>
      <c r="BF30" s="14"/>
      <c r="BG30" s="14"/>
      <c r="BH30" s="14"/>
      <c r="BI30" s="14"/>
      <c r="BJ30" s="14"/>
      <c r="BK30" s="14"/>
      <c r="BL30" s="25"/>
    </row>
    <row r="31" spans="1:64" x14ac:dyDescent="0.25">
      <c r="A31" s="195" t="s">
        <v>108</v>
      </c>
      <c r="B31" s="194"/>
      <c r="C31" s="44">
        <f>C24+C27</f>
        <v>3.3320079054942831</v>
      </c>
      <c r="D31" s="14"/>
      <c r="E31" s="14"/>
      <c r="F31" s="14"/>
      <c r="G31" s="14"/>
      <c r="H31" s="14"/>
      <c r="I31" s="24"/>
      <c r="J31" s="14"/>
      <c r="K31" s="14"/>
      <c r="L31" s="14"/>
      <c r="M31" s="14"/>
      <c r="N31" s="14"/>
      <c r="O31" s="14"/>
      <c r="P31" s="25"/>
      <c r="Q31" s="177">
        <v>2</v>
      </c>
      <c r="R31" s="199"/>
      <c r="S31" s="199"/>
      <c r="T31" s="199"/>
      <c r="U31" s="199"/>
      <c r="V31" s="199"/>
      <c r="W31" s="178"/>
      <c r="X31" s="179"/>
      <c r="Y31" s="174" t="s">
        <v>208</v>
      </c>
      <c r="Z31" s="199"/>
      <c r="AA31" s="199"/>
      <c r="AB31" s="199"/>
      <c r="AC31" s="199"/>
      <c r="AD31" s="199"/>
      <c r="AE31" s="47"/>
      <c r="AF31" s="48"/>
      <c r="AG31" s="24"/>
      <c r="AH31" s="226"/>
      <c r="AI31" s="226"/>
      <c r="AJ31" s="226"/>
      <c r="AK31" s="226"/>
      <c r="AL31" s="226"/>
      <c r="AM31" s="14"/>
      <c r="AN31" s="14"/>
      <c r="AO31" s="229">
        <v>11</v>
      </c>
      <c r="AP31" s="199" t="s">
        <v>174</v>
      </c>
      <c r="AQ31" s="199"/>
      <c r="AR31" s="199"/>
      <c r="AS31" s="199"/>
      <c r="AT31" s="178" t="s">
        <v>128</v>
      </c>
      <c r="AU31" s="47">
        <f>IF(AT31="Present",(1-(AP8/SUM(AP6:AP9)))+(AP8/SUM(AP6:AP9))*IF(AS9="Signalized",IF(AS5="Rural",0.44,0.65),IF(AS5="Rural",0.36,0.59)),1)</f>
        <v>0.90538461538461534</v>
      </c>
      <c r="AV31" s="48">
        <f>IF(AT31="Present",(1-(AP8/SUM(AP6:AP9)))+(AP8/SUM(AP6:AP9))*IF(AS9="Signalized",IF(AS5="Rural",0.66,0.68),IF(AS5="Rural",0.55,0.58)),1)</f>
        <v>0.903076923076923</v>
      </c>
      <c r="AW31" s="195" t="s">
        <v>108</v>
      </c>
      <c r="AX31" s="194"/>
      <c r="AY31" s="44">
        <f>AY24+AY27+BC24</f>
        <v>3.1509956490370259</v>
      </c>
      <c r="AZ31" s="14"/>
      <c r="BA31" s="14"/>
      <c r="BB31" s="14"/>
      <c r="BC31" s="14"/>
      <c r="BD31" s="25"/>
      <c r="BE31" s="24"/>
      <c r="BF31" s="14"/>
      <c r="BG31" s="14"/>
      <c r="BH31" s="14"/>
      <c r="BI31" s="14"/>
      <c r="BJ31" s="14"/>
      <c r="BK31" s="14"/>
      <c r="BL31" s="25"/>
    </row>
    <row r="32" spans="1:64" x14ac:dyDescent="0.25">
      <c r="A32" s="195" t="s">
        <v>109</v>
      </c>
      <c r="B32" s="194"/>
      <c r="C32" s="44">
        <f>C25+C28</f>
        <v>1.0551559522800016</v>
      </c>
      <c r="D32" s="14"/>
      <c r="E32" s="14"/>
      <c r="F32" s="14"/>
      <c r="G32" s="14"/>
      <c r="H32" s="14"/>
      <c r="I32" s="31"/>
      <c r="J32" s="204" t="s">
        <v>206</v>
      </c>
      <c r="K32" s="204"/>
      <c r="L32" s="204"/>
      <c r="M32" s="204"/>
      <c r="N32" s="204"/>
      <c r="O32" s="174" t="s">
        <v>19</v>
      </c>
      <c r="P32" s="32" t="s">
        <v>20</v>
      </c>
      <c r="Q32" s="177">
        <v>3</v>
      </c>
      <c r="R32" s="199"/>
      <c r="S32" s="199"/>
      <c r="T32" s="199"/>
      <c r="U32" s="199"/>
      <c r="V32" s="199"/>
      <c r="W32" s="178"/>
      <c r="X32" s="179"/>
      <c r="Y32" s="174"/>
      <c r="Z32" s="232"/>
      <c r="AA32" s="232"/>
      <c r="AB32" s="232"/>
      <c r="AC32" s="232"/>
      <c r="AD32" s="232"/>
      <c r="AE32" s="18">
        <f>IF(AE27=0,1,AE27)*IF(AE28=0,1,AE28)*IF(AE29=0,1,AE29)*IF(AE30=0,1,AE30)*IF(AE31=0,1,AE31)</f>
        <v>0.858086204880951</v>
      </c>
      <c r="AF32" s="33">
        <f>IF(AF27=0,1,AF27)*IF(AF28=0,1,AF28)*IF(AF29=0,1,AF29)*IF(AF30=0,1,AF30)*IF(AF31=0,1,AF31)</f>
        <v>0.90431378171564492</v>
      </c>
      <c r="AG32" s="24"/>
      <c r="AH32" s="14"/>
      <c r="AI32" s="14"/>
      <c r="AJ32" s="14"/>
      <c r="AK32" s="14"/>
      <c r="AL32" s="14"/>
      <c r="AM32" s="14"/>
      <c r="AN32" s="14"/>
      <c r="AO32" s="229"/>
      <c r="AP32" s="199" t="s">
        <v>173</v>
      </c>
      <c r="AQ32" s="199"/>
      <c r="AR32" s="199"/>
      <c r="AS32" s="199"/>
      <c r="AT32" s="178" t="s">
        <v>129</v>
      </c>
      <c r="AU32" s="47">
        <f>IF(AT32="Present",(1-(AP9/SUM(AP6:AP9)))+(AP9/SUM(AP6:AP9))*IF(AS9="Signalized",IF(AS5="Rural",0.44,0.65),IF(AS5="Rural",0.36,0.59)),1)</f>
        <v>1</v>
      </c>
      <c r="AV32" s="48">
        <f>IF(AT32="Present",(1-(AP9/SUM(AP6:AP9)))+(AP9/SUM(AP6:AP9))*IF(AS9="Signalized",IF(AS5="Rural",0.66,0.68),IF(AS5="Rural",0.55,0.58)),1)</f>
        <v>1</v>
      </c>
      <c r="AW32" s="195" t="s">
        <v>109</v>
      </c>
      <c r="AX32" s="194"/>
      <c r="AY32" s="44">
        <f>AY25+AY28+BC25</f>
        <v>0.84161281667914389</v>
      </c>
      <c r="AZ32" s="14"/>
      <c r="BA32" s="14"/>
      <c r="BB32" s="14"/>
      <c r="BC32" s="14"/>
      <c r="BD32" s="25"/>
      <c r="BE32" s="31"/>
      <c r="BF32" s="204" t="s">
        <v>206</v>
      </c>
      <c r="BG32" s="204"/>
      <c r="BH32" s="204"/>
      <c r="BI32" s="204"/>
      <c r="BJ32" s="204"/>
      <c r="BK32" s="174" t="s">
        <v>19</v>
      </c>
      <c r="BL32" s="32" t="s">
        <v>20</v>
      </c>
    </row>
    <row r="33" spans="1:64" x14ac:dyDescent="0.25">
      <c r="A33" s="195" t="s">
        <v>110</v>
      </c>
      <c r="B33" s="194"/>
      <c r="C33" s="44">
        <f>C26+C29</f>
        <v>2.2768519532142819</v>
      </c>
      <c r="D33" s="14"/>
      <c r="E33" s="14"/>
      <c r="F33" s="14"/>
      <c r="G33" s="14"/>
      <c r="H33" s="14"/>
      <c r="I33" s="177">
        <v>1</v>
      </c>
      <c r="J33" s="223" t="s">
        <v>354</v>
      </c>
      <c r="K33" s="223"/>
      <c r="L33" s="223"/>
      <c r="M33" s="223"/>
      <c r="N33" s="223"/>
      <c r="O33" s="47">
        <v>1</v>
      </c>
      <c r="P33" s="48">
        <v>1</v>
      </c>
      <c r="Q33" s="177">
        <v>4</v>
      </c>
      <c r="R33" s="199"/>
      <c r="S33" s="199"/>
      <c r="T33" s="199"/>
      <c r="U33" s="199"/>
      <c r="V33" s="199"/>
      <c r="W33" s="178"/>
      <c r="X33" s="179"/>
      <c r="Y33" s="174"/>
      <c r="Z33" s="204" t="s">
        <v>207</v>
      </c>
      <c r="AA33" s="204"/>
      <c r="AB33" s="204"/>
      <c r="AC33" s="204"/>
      <c r="AD33" s="204"/>
      <c r="AE33" s="174" t="s">
        <v>19</v>
      </c>
      <c r="AF33" s="32" t="s">
        <v>20</v>
      </c>
      <c r="AG33" s="24" t="s">
        <v>88</v>
      </c>
      <c r="AH33" s="14" t="s">
        <v>89</v>
      </c>
      <c r="AI33" s="14"/>
      <c r="AJ33" s="14"/>
      <c r="AK33" s="14"/>
      <c r="AL33" s="14"/>
      <c r="AM33" s="16">
        <f>(0.5*AM24*AM27)+(0.5*AM25*AM30)</f>
        <v>1.0701459407499785</v>
      </c>
      <c r="AN33" s="71">
        <f>(0.5*AN24*AN27)+(0.5*AN25*AN30)</f>
        <v>1.0629507926178809</v>
      </c>
      <c r="AO33" s="229">
        <v>12</v>
      </c>
      <c r="AP33" s="199" t="s">
        <v>214</v>
      </c>
      <c r="AQ33" s="199"/>
      <c r="AR33" s="199"/>
      <c r="AS33" s="199"/>
      <c r="AT33" s="178" t="s">
        <v>129</v>
      </c>
      <c r="AU33" s="47">
        <f>IF(AT33="Present",(1-(AP8/SUM(AP6:AP9)))+(AP8/SUM(AP6:AP9))*IF(AS9="Signalized",IF(AS5="Rural",0.59,0.76),IF(AS5="Rural",0.76,0.87)),1)</f>
        <v>1</v>
      </c>
      <c r="AV33" s="48">
        <f>IF(AT33="Present",(1-(AP8/SUM(AP6:AP9)))+(AP8/SUM(AP6:AP9))*IF(AS9="Signalized",IF(AS5="Rural",0.97,0.94),IF(AS5="Rural",0.63,0.69)),1)</f>
        <v>1</v>
      </c>
      <c r="AW33" s="195" t="s">
        <v>110</v>
      </c>
      <c r="AX33" s="194"/>
      <c r="AY33" s="44">
        <f>AY26+AY29+BC26</f>
        <v>2.309382832357882</v>
      </c>
      <c r="AZ33" s="14"/>
      <c r="BA33" s="14"/>
      <c r="BB33" s="14"/>
      <c r="BC33" s="14"/>
      <c r="BD33" s="25"/>
      <c r="BE33" s="177">
        <v>1</v>
      </c>
      <c r="BF33" s="223" t="s">
        <v>354</v>
      </c>
      <c r="BG33" s="223"/>
      <c r="BH33" s="223"/>
      <c r="BI33" s="223"/>
      <c r="BJ33" s="223"/>
      <c r="BK33" s="47">
        <v>1</v>
      </c>
      <c r="BL33" s="48">
        <v>1</v>
      </c>
    </row>
    <row r="34" spans="1:64" x14ac:dyDescent="0.25">
      <c r="A34" s="24"/>
      <c r="B34" s="14"/>
      <c r="C34" s="14"/>
      <c r="D34" s="14"/>
      <c r="E34" s="14"/>
      <c r="F34" s="14"/>
      <c r="G34" s="14"/>
      <c r="H34" s="14"/>
      <c r="I34" s="177">
        <v>2</v>
      </c>
      <c r="J34" s="218" t="s">
        <v>195</v>
      </c>
      <c r="K34" s="219"/>
      <c r="L34" s="219"/>
      <c r="M34" s="220"/>
      <c r="N34" s="52">
        <v>13</v>
      </c>
      <c r="O34" s="47">
        <f>EXP(-0.458*(N34-14))</f>
        <v>1.5809090030614199</v>
      </c>
      <c r="P34" s="48">
        <v>1</v>
      </c>
      <c r="Q34" s="177">
        <v>5</v>
      </c>
      <c r="R34" s="199"/>
      <c r="S34" s="199"/>
      <c r="T34" s="199"/>
      <c r="U34" s="199"/>
      <c r="V34" s="199"/>
      <c r="W34" s="178"/>
      <c r="X34" s="179"/>
      <c r="Y34" s="174">
        <v>4</v>
      </c>
      <c r="Z34" s="215" t="s">
        <v>203</v>
      </c>
      <c r="AA34" s="217"/>
      <c r="AB34" s="63">
        <v>13</v>
      </c>
      <c r="AC34" s="59">
        <v>0.5</v>
      </c>
      <c r="AD34" s="61">
        <v>13</v>
      </c>
      <c r="AE34" s="47">
        <f>(1-AC34)*EXP(-0.00302*(AB34-2*AD34-48))+AC34*EXP(-0.00302*(2*AD34-48))</f>
        <v>1.1354885680046793</v>
      </c>
      <c r="AF34" s="48">
        <f>(1-AC34)*EXP(-0.00291*(AB34-2*AD34-48))+AC34*EXP(-0.00291*(2*AD34-48))</f>
        <v>1.1301768605327251</v>
      </c>
      <c r="AG34" s="24"/>
      <c r="AH34" s="14"/>
      <c r="AI34" s="14"/>
      <c r="AJ34" s="14"/>
      <c r="AK34" s="14"/>
      <c r="AL34" s="14"/>
      <c r="AM34" s="14"/>
      <c r="AN34" s="14"/>
      <c r="AO34" s="229"/>
      <c r="AP34" s="199" t="s">
        <v>175</v>
      </c>
      <c r="AQ34" s="199"/>
      <c r="AR34" s="199"/>
      <c r="AS34" s="199"/>
      <c r="AT34" s="178" t="s">
        <v>129</v>
      </c>
      <c r="AU34" s="47">
        <f>IF(AT34="Present",(1-(AP9/SUM(AP6:AP9)))+(AP9/SUM(AP6:AP9))*IF(AS9="Signalized",IF(AS5="Rural",0.59,0.76),IF(AS5="Rural",0.76,0.87)),1)</f>
        <v>1</v>
      </c>
      <c r="AV34" s="48">
        <f>IF(AT34="Present",(1-(AP9/SUM(AP6:AP9)))+(AP9/SUM(AP6:AP9))*IF(AS9="Signalized",IF(AS5="Rural",0.97,0.94),IF(AS5="Rural",0.63,0.69)),1)</f>
        <v>1</v>
      </c>
      <c r="AW34" s="24"/>
      <c r="AX34" s="14"/>
      <c r="AY34" s="14"/>
      <c r="AZ34" s="14"/>
      <c r="BA34" s="14"/>
      <c r="BB34" s="14"/>
      <c r="BC34" s="14"/>
      <c r="BD34" s="25"/>
      <c r="BE34" s="177">
        <v>2</v>
      </c>
      <c r="BF34" s="218" t="s">
        <v>195</v>
      </c>
      <c r="BG34" s="219"/>
      <c r="BH34" s="219"/>
      <c r="BI34" s="220"/>
      <c r="BJ34" s="52">
        <v>13</v>
      </c>
      <c r="BK34" s="47">
        <f>EXP(-0.458*(BJ34-14))</f>
        <v>1.5809090030614199</v>
      </c>
      <c r="BL34" s="48">
        <v>1</v>
      </c>
    </row>
    <row r="35" spans="1:64" x14ac:dyDescent="0.25">
      <c r="A35" s="24"/>
      <c r="B35" s="14"/>
      <c r="C35" s="14"/>
      <c r="D35" s="14"/>
      <c r="E35" s="14"/>
      <c r="F35" s="14"/>
      <c r="G35" s="14"/>
      <c r="H35" s="14"/>
      <c r="I35" s="177">
        <v>3</v>
      </c>
      <c r="J35" s="218" t="s">
        <v>196</v>
      </c>
      <c r="K35" s="219"/>
      <c r="L35" s="219"/>
      <c r="M35" s="220"/>
      <c r="N35" s="53">
        <v>13</v>
      </c>
      <c r="O35" s="47">
        <f>EXP(-0.0539*(N35-8))</f>
        <v>0.76376127952236417</v>
      </c>
      <c r="P35" s="48">
        <f>EXP(-0.0259*(O35-8))</f>
        <v>1.2061320456021298</v>
      </c>
      <c r="Q35" s="177">
        <v>6</v>
      </c>
      <c r="R35" s="199"/>
      <c r="S35" s="199"/>
      <c r="T35" s="199"/>
      <c r="U35" s="199"/>
      <c r="V35" s="199"/>
      <c r="W35" s="178"/>
      <c r="X35" s="179"/>
      <c r="Y35" s="174">
        <v>6</v>
      </c>
      <c r="Z35" s="215" t="s">
        <v>205</v>
      </c>
      <c r="AA35" s="217"/>
      <c r="AB35" s="233">
        <v>0.5</v>
      </c>
      <c r="AC35" s="234"/>
      <c r="AD35" s="235"/>
      <c r="AE35" s="47">
        <f>EXP(0.35*AB35)</f>
        <v>1.1912462166123581</v>
      </c>
      <c r="AF35" s="48">
        <f>EXP(0.283*AB35)</f>
        <v>1.1520005042608086</v>
      </c>
      <c r="AG35" s="26"/>
      <c r="AH35" s="27"/>
      <c r="AI35" s="27"/>
      <c r="AJ35" s="27"/>
      <c r="AK35" s="27"/>
      <c r="AL35" s="27"/>
      <c r="AM35" s="27"/>
      <c r="AN35" s="27"/>
      <c r="AO35" s="180">
        <v>13</v>
      </c>
      <c r="AP35" s="199" t="s">
        <v>176</v>
      </c>
      <c r="AQ35" s="199"/>
      <c r="AR35" s="199"/>
      <c r="AS35" s="92">
        <v>1</v>
      </c>
      <c r="AT35" s="50">
        <v>2</v>
      </c>
      <c r="AU35" s="47">
        <f>(1-(AP9/SUM(AP6:AP9)))+(AP9/SUM(AP6:AP9))*EXP(IF(AS9="Signalized",0.158,0)*AS35+IF(AS9="Signalized",0.158,0.522)*AT35)</f>
        <v>1.5380088366264362</v>
      </c>
      <c r="AV35" s="48">
        <f>(1-(AP9/SUM(AP6:AP9)))+(AP9/SUM(AP6:AP9))*EXP(IF(AS9="Signalized",0.203,0)*AS35+IF(AS9="Signalized",0.203,0)*AT35)</f>
        <v>1</v>
      </c>
      <c r="AW35" s="24"/>
      <c r="AX35" s="14"/>
      <c r="AY35" s="14"/>
      <c r="AZ35" s="14"/>
      <c r="BA35" s="14"/>
      <c r="BB35" s="14"/>
      <c r="BC35" s="14"/>
      <c r="BD35" s="25"/>
      <c r="BE35" s="177">
        <v>3</v>
      </c>
      <c r="BF35" s="218" t="s">
        <v>196</v>
      </c>
      <c r="BG35" s="219"/>
      <c r="BH35" s="219"/>
      <c r="BI35" s="220"/>
      <c r="BJ35" s="53">
        <v>10</v>
      </c>
      <c r="BK35" s="47">
        <f>EXP(-0.0539*(BJ35-8))</f>
        <v>0.89780713990346983</v>
      </c>
      <c r="BL35" s="48">
        <f>EXP(-0.0259*(BK35-8))</f>
        <v>1.2019518716376694</v>
      </c>
    </row>
    <row r="36" spans="1:64" x14ac:dyDescent="0.25">
      <c r="A36" s="31"/>
      <c r="B36" s="204" t="s">
        <v>45</v>
      </c>
      <c r="C36" s="204"/>
      <c r="D36" s="204"/>
      <c r="E36" s="204"/>
      <c r="F36" s="204"/>
      <c r="G36" s="174" t="s">
        <v>19</v>
      </c>
      <c r="H36" s="174" t="s">
        <v>20</v>
      </c>
      <c r="I36" s="177">
        <v>4</v>
      </c>
      <c r="J36" s="218" t="s">
        <v>197</v>
      </c>
      <c r="K36" s="219"/>
      <c r="L36" s="219"/>
      <c r="M36" s="220"/>
      <c r="N36" s="53">
        <v>13</v>
      </c>
      <c r="O36" s="47">
        <f>EXP(-0.0539*(N36-4))</f>
        <v>0.61563563012299205</v>
      </c>
      <c r="P36" s="48">
        <f>EXP(-0.0259*(O36-4))</f>
        <v>1.0916114916914801</v>
      </c>
      <c r="Q36" s="177">
        <v>7</v>
      </c>
      <c r="R36" s="199"/>
      <c r="S36" s="199"/>
      <c r="T36" s="199"/>
      <c r="U36" s="199"/>
      <c r="V36" s="199"/>
      <c r="W36" s="178"/>
      <c r="X36" s="179"/>
      <c r="Y36" s="174">
        <v>7</v>
      </c>
      <c r="Z36" s="203" t="s">
        <v>347</v>
      </c>
      <c r="AA36" s="203"/>
      <c r="AB36" s="203"/>
      <c r="AC36" s="203"/>
      <c r="AD36" s="203"/>
      <c r="AE36" s="47">
        <v>1</v>
      </c>
      <c r="AF36" s="48">
        <v>1</v>
      </c>
      <c r="AO36" s="45">
        <v>14</v>
      </c>
      <c r="AP36" s="199" t="s">
        <v>177</v>
      </c>
      <c r="AQ36" s="199"/>
      <c r="AR36" s="199"/>
      <c r="AS36" s="97">
        <v>1</v>
      </c>
      <c r="AT36" s="98">
        <v>1</v>
      </c>
      <c r="AU36" s="47">
        <f>EXP(IF(AS9="Signalized",-0.0185,-0.0141)*((1/AS36)+(1/AT36)-0.333))</f>
        <v>0.97676938384195133</v>
      </c>
      <c r="AV36" s="48">
        <f>EXP(IF(AS9="Signalized",-0.0186,0)*((1/AS36)+(1/AT36)-0.33))</f>
        <v>1</v>
      </c>
      <c r="AW36" s="31"/>
      <c r="AX36" s="204" t="s">
        <v>45</v>
      </c>
      <c r="AY36" s="204"/>
      <c r="AZ36" s="204"/>
      <c r="BA36" s="204"/>
      <c r="BB36" s="204"/>
      <c r="BC36" s="174" t="s">
        <v>19</v>
      </c>
      <c r="BD36" s="32" t="s">
        <v>20</v>
      </c>
      <c r="BE36" s="177">
        <v>4</v>
      </c>
      <c r="BF36" s="218" t="s">
        <v>197</v>
      </c>
      <c r="BG36" s="219"/>
      <c r="BH36" s="219"/>
      <c r="BI36" s="220"/>
      <c r="BJ36" s="53">
        <v>10</v>
      </c>
      <c r="BK36" s="47">
        <f>EXP(-0.0539*(BJ36-4))</f>
        <v>0.72368432273635486</v>
      </c>
      <c r="BL36" s="48">
        <f>EXP(-0.0259*(BK36-4))</f>
        <v>1.0885609297837566</v>
      </c>
    </row>
    <row r="37" spans="1:64" x14ac:dyDescent="0.25">
      <c r="A37" s="229">
        <v>1</v>
      </c>
      <c r="B37" s="218" t="s">
        <v>118</v>
      </c>
      <c r="C37" s="219"/>
      <c r="D37" s="219"/>
      <c r="E37" s="220"/>
      <c r="F37" s="184">
        <v>2</v>
      </c>
      <c r="G37" s="47">
        <f>LOOKUP(G5,Reference!$A$47:$A$50,Reference!$C$47:$C$50)^F37</f>
        <v>0.81</v>
      </c>
      <c r="H37" s="58">
        <f>LOOKUP(G5,Reference!$A$47:$A$50,Reference!$C$47:$C$50)^F37</f>
        <v>0.81</v>
      </c>
      <c r="I37" s="177">
        <v>5</v>
      </c>
      <c r="J37" s="218" t="s">
        <v>198</v>
      </c>
      <c r="K37" s="219"/>
      <c r="L37" s="220"/>
      <c r="M37" s="55">
        <v>0.5</v>
      </c>
      <c r="N37" s="54">
        <v>2</v>
      </c>
      <c r="O37" s="47">
        <f>(1-M37)+M37*EXP(0.21/N37)</f>
        <v>1.0553553051778526</v>
      </c>
      <c r="P37" s="48">
        <f>(1-M37)+M37*EXP(0.193/N37)</f>
        <v>1.050654790571897</v>
      </c>
      <c r="Q37" s="177">
        <v>8</v>
      </c>
      <c r="R37" s="199"/>
      <c r="S37" s="199"/>
      <c r="T37" s="199"/>
      <c r="U37" s="199"/>
      <c r="V37" s="199"/>
      <c r="W37" s="178"/>
      <c r="X37" s="179"/>
      <c r="Y37" s="174" t="s">
        <v>208</v>
      </c>
      <c r="Z37" s="225"/>
      <c r="AA37" s="230"/>
      <c r="AB37" s="230"/>
      <c r="AC37" s="230"/>
      <c r="AD37" s="231"/>
      <c r="AE37" s="178"/>
      <c r="AF37" s="179"/>
      <c r="AO37" s="229">
        <v>15</v>
      </c>
      <c r="AP37" s="199" t="s">
        <v>179</v>
      </c>
      <c r="AQ37" s="199"/>
      <c r="AR37" s="199"/>
      <c r="AS37" s="63">
        <v>4</v>
      </c>
      <c r="AT37" s="93">
        <v>12</v>
      </c>
      <c r="AU37" s="47">
        <f>(1-(AP8/SUM(AP6:AP9)))+(AP8/SUM(AP6:AP9))*EXP(IF(AS9="Signalized",0.0287+(-0.00074)*0.001*AP8,-0.00322+(0.00354)*0.001*AP8)*MAX(0,AS37-MAX(12,AT37)))</f>
        <v>1</v>
      </c>
      <c r="AV37" s="48">
        <f>IF(AS9="Signalized",(1-(AP8/SUM(AP6:AP9)))+(AP8/SUM(AP6:AP9))*EXP((0.061+(-0.00246)*0.001*AP8)*MAX(0,AS37-MAX(12,AT37))),1)</f>
        <v>1</v>
      </c>
      <c r="AW37" s="180">
        <v>1</v>
      </c>
      <c r="AX37" s="203" t="s">
        <v>255</v>
      </c>
      <c r="AY37" s="203"/>
      <c r="AZ37" s="84">
        <v>0</v>
      </c>
      <c r="BA37" s="83" t="s">
        <v>261</v>
      </c>
      <c r="BB37" s="83" t="s">
        <v>262</v>
      </c>
      <c r="BC37" s="85">
        <f>1+AZ37*((IF(BA37="none",1,IF(BA37="Parallel",LOOKUP(BC5,Reference!$A$117:$A$121,IF(BB37="Commercial/Industrial/Institutional",Reference!$C$117:$C$121,Reference!$B$117:$B$121)),LOOKUP(BC5,Reference!$A$117:$A$121,IF(BB37="Commercial/Industrial/Institutional",Reference!$E$117:$E$121,Reference!$D$117:$D$121)))))-1)</f>
        <v>1</v>
      </c>
      <c r="BD37" s="85">
        <f>1+AZ37*((IF(BA37="none",1,IF(BA37="Parallel",LOOKUP(BC5,Reference!$A$117:$A$121,IF(BB37="Commercial/Industrial/Institutional",Reference!$C$117:$C$121,Reference!$B$117:$B$121)),LOOKUP(BC5,Reference!$A$117:$A$121,IF(BB37="Commercial/Industrial/Institutional",Reference!$E$117:$E$121,Reference!$D$117:$D$121)))))-1)</f>
        <v>1</v>
      </c>
      <c r="BE37" s="177">
        <v>5</v>
      </c>
      <c r="BF37" s="218" t="s">
        <v>198</v>
      </c>
      <c r="BG37" s="219"/>
      <c r="BH37" s="220"/>
      <c r="BI37" s="55">
        <v>1</v>
      </c>
      <c r="BJ37" s="54">
        <v>4</v>
      </c>
      <c r="BK37" s="47">
        <f>(1-BI37)+BI37*EXP(0.21/BJ37)</f>
        <v>1.0539025620785374</v>
      </c>
      <c r="BL37" s="48">
        <f>(1-BI37)+BI37*EXP(0.193/BJ37)</f>
        <v>1.049432980777617</v>
      </c>
    </row>
    <row r="38" spans="1:64" x14ac:dyDescent="0.25">
      <c r="A38" s="229"/>
      <c r="B38" s="218" t="s">
        <v>119</v>
      </c>
      <c r="C38" s="219"/>
      <c r="D38" s="219"/>
      <c r="E38" s="220"/>
      <c r="F38" s="184">
        <v>2</v>
      </c>
      <c r="G38" s="47">
        <f>LOOKUP(G5,Reference!$A$47:$A$50,Reference!$D$47:$D$50)^F38</f>
        <v>0.81</v>
      </c>
      <c r="H38" s="58">
        <f>LOOKUP(G5,Reference!$A$47:$A$50,Reference!$D$47:$D$50)^F38</f>
        <v>0.81</v>
      </c>
      <c r="I38" s="177">
        <v>6</v>
      </c>
      <c r="J38" s="218" t="s">
        <v>199</v>
      </c>
      <c r="K38" s="219"/>
      <c r="L38" s="220"/>
      <c r="M38" s="55">
        <v>0.5</v>
      </c>
      <c r="N38" s="54">
        <v>2</v>
      </c>
      <c r="O38" s="47">
        <f>(1-M38)+M38*EXP(0.21/N38)</f>
        <v>1.0553553051778526</v>
      </c>
      <c r="P38" s="48">
        <f>(1-M38)+M38*EXP(0.193/N38)</f>
        <v>1.050654790571897</v>
      </c>
      <c r="Q38" s="177">
        <v>9</v>
      </c>
      <c r="R38" s="199"/>
      <c r="S38" s="199"/>
      <c r="T38" s="199"/>
      <c r="U38" s="199"/>
      <c r="V38" s="199"/>
      <c r="W38" s="178"/>
      <c r="X38" s="179"/>
      <c r="Y38" s="174"/>
      <c r="Z38" s="232"/>
      <c r="AA38" s="232"/>
      <c r="AB38" s="232"/>
      <c r="AC38" s="232"/>
      <c r="AD38" s="232"/>
      <c r="AE38" s="18">
        <f>IF(AE37=0,1,AE37)*IF(AE34=0,1,AE34)*IF(AE36=0,1,AE36)*IF(AE35=0,1,AE35)</f>
        <v>1.3526464606421584</v>
      </c>
      <c r="AF38" s="33">
        <f>IF(AF37=0,1,AF37)*IF(AF34=0,1,AF34)*IF(AF36=0,1,AF36)*IF(AF35=0,1,AF35)</f>
        <v>1.3019643132375969</v>
      </c>
      <c r="AO38" s="229"/>
      <c r="AP38" s="199" t="s">
        <v>178</v>
      </c>
      <c r="AQ38" s="199"/>
      <c r="AR38" s="199"/>
      <c r="AS38" s="63">
        <v>4</v>
      </c>
      <c r="AT38" s="93">
        <v>12</v>
      </c>
      <c r="AU38" s="47">
        <f>(1-(AP9/SUM(AP6:AP9)))+(AP9/SUM(AP6:AP9))*EXP(IF(AS9="Signalized",0.0287+(-0.00074)*0.001*AP9,-0.00322+(0.00354)*0.001*AP9)*MAX(0,AS38-MAX(12,AT38)))</f>
        <v>1</v>
      </c>
      <c r="AV38" s="48">
        <f>IF(AS9="Signalized",(1-(AP9/SUM(AP6:AP9)))+(AP9/SUM(AP6:AP9))*EXP((0.061+(-0.00246)*0.001*AP9)*MAX(0,AS38-MAX(12,AT38))),1)</f>
        <v>1</v>
      </c>
      <c r="AW38" s="180">
        <v>2</v>
      </c>
      <c r="AX38" s="218" t="s">
        <v>256</v>
      </c>
      <c r="AY38" s="219"/>
      <c r="AZ38" s="220"/>
      <c r="BA38" s="86">
        <v>0</v>
      </c>
      <c r="BB38" s="87">
        <v>15</v>
      </c>
      <c r="BC38" s="85">
        <f>MAX((LOOKUP(BB38,Reference!$A$125:$A$131,Reference!$B$125:$B$131)*BA38*LOOKUP(BC5,Reference!$A$135:$A$139,Reference!$B$135:$B$139)+(1-LOOKUP(BC5,Reference!$A$135:$A$139,Reference!$B$135:$B$139))),1)</f>
        <v>1</v>
      </c>
      <c r="BD38" s="85">
        <f>MAX((LOOKUP(BB38,Reference!$A$125:$A$131,Reference!$B$125:$B$131)*BA38*LOOKUP(BC5,Reference!$A$135:$A$139,Reference!$B$135:$B$139)+(1-LOOKUP(BC5,Reference!$A$135:$A$139,Reference!$B$135:$B$139))),1)</f>
        <v>1</v>
      </c>
      <c r="BE38" s="177">
        <v>6</v>
      </c>
      <c r="BF38" s="218" t="s">
        <v>199</v>
      </c>
      <c r="BG38" s="219"/>
      <c r="BH38" s="220"/>
      <c r="BI38" s="55">
        <v>1</v>
      </c>
      <c r="BJ38" s="54">
        <v>4</v>
      </c>
      <c r="BK38" s="47">
        <f>(1-BI38)+BI38*EXP(0.21/BJ38)</f>
        <v>1.0539025620785374</v>
      </c>
      <c r="BL38" s="48">
        <f>(1-BI38)+BI38*EXP(0.193/BJ38)</f>
        <v>1.049432980777617</v>
      </c>
    </row>
    <row r="39" spans="1:64" x14ac:dyDescent="0.25">
      <c r="A39" s="229">
        <v>2</v>
      </c>
      <c r="B39" s="218" t="s">
        <v>348</v>
      </c>
      <c r="C39" s="219"/>
      <c r="D39" s="219"/>
      <c r="E39" s="220"/>
      <c r="F39" s="184" t="s">
        <v>126</v>
      </c>
      <c r="G39" s="47">
        <f>IF(OR(G5=Reference!$A$4,G5=Reference!$A$6),1,LOOKUP(F39,Reference!$A$53:$A$55,Reference!$C$53:$C$55))</f>
        <v>0.99</v>
      </c>
      <c r="H39" s="58">
        <f>IF(OR(G5=Reference!$A$4,G5=Reference!$A$6),1,LOOKUP(F39,Reference!$A$53:$A$55,Reference!$C$53:$C$55))</f>
        <v>0.99</v>
      </c>
      <c r="I39" s="177">
        <v>7</v>
      </c>
      <c r="J39" s="218" t="s">
        <v>200</v>
      </c>
      <c r="K39" s="219"/>
      <c r="L39" s="220"/>
      <c r="M39" s="56">
        <v>0</v>
      </c>
      <c r="N39" s="184" t="s">
        <v>201</v>
      </c>
      <c r="O39" s="47">
        <f>IF(N39="Not Present",1,(1-M39)+M39*EXP(-0.231*IF(N39="Lane Add",1,-1)))</f>
        <v>1</v>
      </c>
      <c r="P39" s="48">
        <v>1</v>
      </c>
      <c r="Q39" s="177">
        <v>10</v>
      </c>
      <c r="R39" s="199"/>
      <c r="S39" s="199"/>
      <c r="T39" s="199"/>
      <c r="U39" s="199"/>
      <c r="V39" s="199"/>
      <c r="W39" s="178"/>
      <c r="X39" s="179"/>
      <c r="Y39" s="174"/>
      <c r="Z39" s="204" t="s">
        <v>209</v>
      </c>
      <c r="AA39" s="204"/>
      <c r="AB39" s="204"/>
      <c r="AC39" s="204"/>
      <c r="AD39" s="204"/>
      <c r="AE39" s="174" t="s">
        <v>19</v>
      </c>
      <c r="AF39" s="32" t="s">
        <v>20</v>
      </c>
      <c r="AO39" s="229">
        <v>16</v>
      </c>
      <c r="AP39" s="176" t="s">
        <v>180</v>
      </c>
      <c r="AQ39" s="176"/>
      <c r="AR39" s="176"/>
      <c r="AS39" s="94">
        <v>2</v>
      </c>
      <c r="AT39" s="93" t="s">
        <v>125</v>
      </c>
      <c r="AU39" s="47">
        <f>IF(AS9="Signalized",IF(AT39="Protected Only",(1-(SUM(AP8:AP9)/SUM(AP6:AP9)))+(SUM(AP8:AP9)/SUM(AP6:AP9))*EXP(-0.363*AS39),1),1)</f>
        <v>1</v>
      </c>
      <c r="AV39" s="48">
        <f>IF(AS9="Signalized",IF(AT39="Protected Only",(1-(SUM(AP8:AP9)/SUM(AP6:AP9)))+(SUM(AP8:AP9)/SUM(AP6:AP9))*EXP(-0.223*AS39),1),1)</f>
        <v>1</v>
      </c>
      <c r="AW39" s="180">
        <v>3</v>
      </c>
      <c r="AX39" s="203" t="s">
        <v>203</v>
      </c>
      <c r="AY39" s="203"/>
      <c r="AZ39" s="203"/>
      <c r="BA39" s="203"/>
      <c r="BB39" s="88" t="s">
        <v>265</v>
      </c>
      <c r="BC39" s="85">
        <f>LOOKUP(BB39,Reference!$A$142:$A$154,Reference!$B$142:$B$154)</f>
        <v>0.92</v>
      </c>
      <c r="BD39" s="85">
        <f>LOOKUP(BB39,Reference!$A$142:$A$154,Reference!$B$142:$B$154)</f>
        <v>0.92</v>
      </c>
      <c r="BE39" s="177">
        <v>7</v>
      </c>
      <c r="BF39" s="218" t="s">
        <v>200</v>
      </c>
      <c r="BG39" s="219"/>
      <c r="BH39" s="220"/>
      <c r="BI39" s="56">
        <v>0</v>
      </c>
      <c r="BJ39" s="184" t="s">
        <v>201</v>
      </c>
      <c r="BK39" s="47">
        <f>IF(BJ39="Not Present",1,(1-BI39)+BI39*EXP(-0.231*IF(BJ39="Lane Add",1,-1)))</f>
        <v>1</v>
      </c>
      <c r="BL39" s="48">
        <v>1</v>
      </c>
    </row>
    <row r="40" spans="1:64" x14ac:dyDescent="0.25">
      <c r="A40" s="229"/>
      <c r="B40" s="218" t="s">
        <v>120</v>
      </c>
      <c r="C40" s="219"/>
      <c r="D40" s="219"/>
      <c r="E40" s="220"/>
      <c r="F40" s="184" t="s">
        <v>127</v>
      </c>
      <c r="G40" s="47">
        <f>IF(OR(G5=Reference!$A$4,G5=Reference!$A$6),1,LOOKUP(F40,Reference!$A$53:$A$55,Reference!$C$53:$C$55))</f>
        <v>0.94</v>
      </c>
      <c r="H40" s="58">
        <f>IF(OR(G5=Reference!$A$4,G5=Reference!$A$6),1,LOOKUP(F40,Reference!$A$53:$A$55,Reference!$C$53:$C$55))</f>
        <v>0.94</v>
      </c>
      <c r="I40" s="177" t="s">
        <v>208</v>
      </c>
      <c r="J40" s="225"/>
      <c r="K40" s="230"/>
      <c r="L40" s="230"/>
      <c r="M40" s="230"/>
      <c r="N40" s="231"/>
      <c r="O40" s="47"/>
      <c r="P40" s="48"/>
      <c r="Q40" s="24"/>
      <c r="R40" s="175"/>
      <c r="S40" s="175"/>
      <c r="T40" s="175"/>
      <c r="U40" s="175"/>
      <c r="V40" s="14"/>
      <c r="W40" s="18">
        <f>IF(W30=0,1,W30)*IF(W31=0,1,W31)*IF(W32=0,1,W32)*IF(W33=0,1,W33)*IF(W34=0,1,W34)*IF(W35=0,1,W35)*IF(W36=0,1,W36)*IF(W37=0,1,W37)*IF(W38=0,1,W38)*IF(W39=0,1,W39)</f>
        <v>1.3743762612275612</v>
      </c>
      <c r="X40" s="33">
        <f>IF(X30=0,1,X30)*IF(X31=0,1,X31)*IF(X32=0,1,X32)*IF(X33=0,1,X33)*IF(X34=0,1,X34)*IF(X35=0,1,X35)*IF(X36=0,1,X36)*IF(X37=0,1,X37)*IF(X38=0,1,X38)*IF(X39=0,1,X39)</f>
        <v>1.2865960372848406</v>
      </c>
      <c r="Y40" s="174">
        <v>4</v>
      </c>
      <c r="Z40" s="215" t="s">
        <v>203</v>
      </c>
      <c r="AA40" s="217"/>
      <c r="AB40" s="63">
        <v>13</v>
      </c>
      <c r="AC40" s="59">
        <v>0.5</v>
      </c>
      <c r="AD40" s="61">
        <v>13</v>
      </c>
      <c r="AE40" s="47">
        <f>(1-AC40)*EXP(0.00102*(AB40-2*AD40-48))+AC40*EXP(0.00102*(2*AD40-48))</f>
        <v>0.95874301966352415</v>
      </c>
      <c r="AF40" s="48">
        <f>(1-AC40)*EXP(-0.00289*(AB40-2*AD40-48))+AC40*EXP(-0.00289*(2*AD40-48))</f>
        <v>1.1292143249023789</v>
      </c>
      <c r="AO40" s="229"/>
      <c r="AP40" s="176" t="s">
        <v>181</v>
      </c>
      <c r="AQ40" s="176"/>
      <c r="AR40" s="176"/>
      <c r="AS40" s="94">
        <v>2</v>
      </c>
      <c r="AT40" s="93" t="s">
        <v>182</v>
      </c>
      <c r="AU40" s="47">
        <f>IF(AS9="Signalized",IF(AT40="Protected Only",(1-(SUM(AP8:AP9)/SUM(AP6:AP9)))+(SUM(AP8:AP9)/SUM(AP6:AP9))*EXP(-0.363*AS40),1),1)</f>
        <v>1</v>
      </c>
      <c r="AV40" s="48">
        <f>IF(AS9="Signalized",IF(AT40="Protected Only",(1-(SUM(AP8:AP9)/SUM(AP6:AP9)))+(SUM(AP8:AP9)/SUM(AP6:AP9))*EXP(-0.223*AS40),1),1)</f>
        <v>1</v>
      </c>
      <c r="AW40" s="180">
        <v>4</v>
      </c>
      <c r="AX40" s="203" t="s">
        <v>257</v>
      </c>
      <c r="AY40" s="203"/>
      <c r="AZ40" s="203"/>
      <c r="BA40" s="203"/>
      <c r="BB40" s="83" t="s">
        <v>128</v>
      </c>
      <c r="BC40" s="85">
        <f>IF(BB40="Present",LOOKUP(BC5,Reference!$A$158:$A$162,Reference!$E$158:$E$162),1)</f>
        <v>0.93154176</v>
      </c>
      <c r="BD40" s="85">
        <f>IF(BB40="Present",LOOKUP(BC5,Reference!$A$158:$A$162,Reference!$E$158:$E$162),1)</f>
        <v>0.93154176</v>
      </c>
      <c r="BE40" s="177" t="s">
        <v>208</v>
      </c>
      <c r="BF40" s="225"/>
      <c r="BG40" s="230"/>
      <c r="BH40" s="230"/>
      <c r="BI40" s="230"/>
      <c r="BJ40" s="231"/>
      <c r="BK40" s="47"/>
      <c r="BL40" s="48"/>
    </row>
    <row r="41" spans="1:64" x14ac:dyDescent="0.25">
      <c r="A41" s="229">
        <v>3</v>
      </c>
      <c r="B41" s="218" t="s">
        <v>121</v>
      </c>
      <c r="C41" s="219"/>
      <c r="D41" s="219"/>
      <c r="E41" s="220"/>
      <c r="F41" s="184">
        <v>2</v>
      </c>
      <c r="G41" s="47">
        <f>LOOKUP(G5,Reference!$A$59:$A$62,Reference!$C$59:$C$62)^F41</f>
        <v>0.92159999999999997</v>
      </c>
      <c r="H41" s="58">
        <f>LOOKUP(G5,Reference!$A$59:$A$62,Reference!$C$59:$C$62)^F41</f>
        <v>0.92159999999999997</v>
      </c>
      <c r="I41" s="177"/>
      <c r="J41" s="232"/>
      <c r="K41" s="232"/>
      <c r="L41" s="232"/>
      <c r="M41" s="232"/>
      <c r="N41" s="232"/>
      <c r="O41" s="18">
        <f>IF(O33=0,1,O33)*IF(O34=0,1,O34)*IF(O35=0,1,O35)*IF(O36=0,1,O36)*IF(O37=0,1,O37)*IF(O38=0,1,O38)</f>
        <v>0.82791481094463759</v>
      </c>
      <c r="P41" s="33">
        <f>IF(P33=0,1,P33)*IF(P34=0,1,P34)*IF(P35=0,1,P35)*IF(P36=0,1,P36)*IF(P37=0,1,P37)*IF(P38=0,1,P38)</f>
        <v>1.4533929373472962</v>
      </c>
      <c r="Q41" s="24"/>
      <c r="R41" s="14"/>
      <c r="S41" s="14"/>
      <c r="T41" s="14"/>
      <c r="U41" s="14"/>
      <c r="V41" s="19"/>
      <c r="W41" s="19"/>
      <c r="X41" s="25"/>
      <c r="Y41" s="174">
        <v>6</v>
      </c>
      <c r="Z41" s="215" t="s">
        <v>205</v>
      </c>
      <c r="AA41" s="217"/>
      <c r="AB41" s="233">
        <v>0.5</v>
      </c>
      <c r="AC41" s="234"/>
      <c r="AD41" s="235"/>
      <c r="AE41" s="47">
        <f>EXP(-0.0675*AB41)</f>
        <v>0.96681317772154285</v>
      </c>
      <c r="AF41" s="48">
        <f>EXP(-0.611*AB41)</f>
        <v>0.7367549048294989</v>
      </c>
      <c r="AO41" s="229">
        <v>17</v>
      </c>
      <c r="AP41" s="199" t="s">
        <v>183</v>
      </c>
      <c r="AQ41" s="199"/>
      <c r="AR41" s="199"/>
      <c r="AS41" s="199"/>
      <c r="AT41" s="93" t="s">
        <v>184</v>
      </c>
      <c r="AU41" s="47">
        <f>IF(AS9="Signalized",IF(AT41="Channelized",(1-AP8/SUM(AP6:AP9))+AP8/SUM(AP6:AP9)*EXP(0.466),1),1)</f>
        <v>1</v>
      </c>
      <c r="AV41" s="48">
        <f>IF(AS9="Signalized",IF(AT41="Channelized",(1-AP8/SUM(AP6:AP9))+AP8/SUM(AP6:AP9)*EXP(0.465),1),1)</f>
        <v>1</v>
      </c>
      <c r="AW41" s="180">
        <v>5</v>
      </c>
      <c r="AX41" s="203" t="s">
        <v>258</v>
      </c>
      <c r="AY41" s="203"/>
      <c r="AZ41" s="203"/>
      <c r="BA41" s="203"/>
      <c r="BB41" s="83" t="s">
        <v>128</v>
      </c>
      <c r="BC41" s="85">
        <f>IF(BB41="Present",0.83,1)</f>
        <v>0.83</v>
      </c>
      <c r="BD41" s="85">
        <v>1</v>
      </c>
      <c r="BE41" s="177"/>
      <c r="BF41" s="232"/>
      <c r="BG41" s="232"/>
      <c r="BH41" s="232"/>
      <c r="BI41" s="232"/>
      <c r="BJ41" s="232"/>
      <c r="BK41" s="18">
        <f>IF(BK33=0,1,BK33)*IF(BK34=0,1,BK34)*IF(BK35=0,1,BK35)*IF(BK36=0,1,BK36)*IF(BK37=0,1,BK37)*IF(BK38=0,1,BK38)</f>
        <v>1.1408801204240269</v>
      </c>
      <c r="BL41" s="33">
        <f>IF(BL33=0,1,BL33)*IF(BL34=0,1,BL34)*IF(BL35=0,1,BL35)*IF(BL36=0,1,BL36)*IF(BL37=0,1,BL37)*IF(BL38=0,1,BL38)</f>
        <v>1.4409510847886911</v>
      </c>
    </row>
    <row r="42" spans="1:64" x14ac:dyDescent="0.25">
      <c r="A42" s="229"/>
      <c r="B42" s="218" t="s">
        <v>122</v>
      </c>
      <c r="C42" s="219"/>
      <c r="D42" s="219"/>
      <c r="E42" s="220"/>
      <c r="F42" s="184">
        <v>2</v>
      </c>
      <c r="G42" s="47">
        <f>LOOKUP(G5,Reference!$A$59:$A$62,Reference!$D$59:$D$62)^F42</f>
        <v>0.92159999999999997</v>
      </c>
      <c r="H42" s="58">
        <f>LOOKUP(G5,Reference!$A$59:$A$62,Reference!$D$59:$D$62)^F42</f>
        <v>0.92159999999999997</v>
      </c>
      <c r="I42" s="177"/>
      <c r="J42" s="204" t="s">
        <v>207</v>
      </c>
      <c r="K42" s="204"/>
      <c r="L42" s="204"/>
      <c r="M42" s="204"/>
      <c r="N42" s="204"/>
      <c r="O42" s="174" t="s">
        <v>19</v>
      </c>
      <c r="P42" s="32" t="s">
        <v>20</v>
      </c>
      <c r="Q42" s="222"/>
      <c r="R42" s="190"/>
      <c r="S42" s="190"/>
      <c r="T42" s="14"/>
      <c r="U42" s="14"/>
      <c r="V42" s="19"/>
      <c r="W42" s="19"/>
      <c r="X42" s="25"/>
      <c r="Y42" s="174">
        <v>8</v>
      </c>
      <c r="Z42" s="223" t="s">
        <v>355</v>
      </c>
      <c r="AA42" s="223"/>
      <c r="AB42" s="223"/>
      <c r="AC42" s="223"/>
      <c r="AD42" s="60">
        <v>13</v>
      </c>
      <c r="AE42" s="47">
        <f>EXP(-0.0647*(AD42-10))</f>
        <v>0.82357554259630228</v>
      </c>
      <c r="AF42" s="48">
        <f>EXP(0*(AD42-10))</f>
        <v>1</v>
      </c>
      <c r="AO42" s="229"/>
      <c r="AP42" s="199" t="s">
        <v>185</v>
      </c>
      <c r="AQ42" s="199"/>
      <c r="AR42" s="199"/>
      <c r="AS42" s="199"/>
      <c r="AT42" s="93" t="s">
        <v>184</v>
      </c>
      <c r="AU42" s="47">
        <f>IF(AS9="Signalized",IF(AT42="Channelized",(1-AP9/SUM(AP6:AP9))+AP9/SUM(AP6:AP9)*EXP(0.466),1),1)</f>
        <v>1</v>
      </c>
      <c r="AV42" s="48">
        <f>IF(AS9="Signalized",IF(AT42="Channelized",(1-AP9/SUM(AP6:AP9))+AP9/SUM(AP6:AP9)*EXP(0.465),1),1)</f>
        <v>1</v>
      </c>
      <c r="AW42" s="180" t="s">
        <v>208</v>
      </c>
      <c r="AX42" s="203"/>
      <c r="AY42" s="203"/>
      <c r="AZ42" s="203"/>
      <c r="BA42" s="203"/>
      <c r="BB42" s="83"/>
      <c r="BC42" s="85"/>
      <c r="BD42" s="85"/>
      <c r="BE42" s="177"/>
      <c r="BF42" s="204" t="s">
        <v>207</v>
      </c>
      <c r="BG42" s="204"/>
      <c r="BH42" s="204"/>
      <c r="BI42" s="204"/>
      <c r="BJ42" s="204"/>
      <c r="BK42" s="174" t="s">
        <v>19</v>
      </c>
      <c r="BL42" s="32" t="s">
        <v>20</v>
      </c>
    </row>
    <row r="43" spans="1:64" x14ac:dyDescent="0.25">
      <c r="A43" s="45">
        <v>4</v>
      </c>
      <c r="B43" s="218" t="s">
        <v>131</v>
      </c>
      <c r="C43" s="219"/>
      <c r="D43" s="219"/>
      <c r="E43" s="220"/>
      <c r="F43" s="184">
        <v>2</v>
      </c>
      <c r="G43" s="47">
        <f>0.98^F43</f>
        <v>0.96039999999999992</v>
      </c>
      <c r="H43" s="58">
        <f>0.98^F43</f>
        <v>0.96039999999999992</v>
      </c>
      <c r="I43" s="177">
        <v>8</v>
      </c>
      <c r="J43" s="218" t="s">
        <v>364</v>
      </c>
      <c r="K43" s="219"/>
      <c r="L43" s="219"/>
      <c r="M43" s="220"/>
      <c r="N43" s="57">
        <v>0.1</v>
      </c>
      <c r="O43" s="47">
        <f>(1-N43)+N43*EXP(0.31)</f>
        <v>1.0363425114132179</v>
      </c>
      <c r="P43" s="48">
        <v>1</v>
      </c>
      <c r="Q43" s="24"/>
      <c r="R43" s="14"/>
      <c r="S43" s="14"/>
      <c r="T43" s="14"/>
      <c r="U43" s="14"/>
      <c r="V43" s="19"/>
      <c r="W43" s="19"/>
      <c r="X43" s="25"/>
      <c r="Y43" s="174">
        <v>9</v>
      </c>
      <c r="Z43" s="215" t="s">
        <v>210</v>
      </c>
      <c r="AA43" s="216"/>
      <c r="AB43" s="217"/>
      <c r="AC43" s="65">
        <v>0.5</v>
      </c>
      <c r="AD43" s="64">
        <v>0.5</v>
      </c>
      <c r="AE43" s="47">
        <f>0.5*((1-AC43)+AC43*0.811)+0.5*((1-AD43)+AD43*0.811)</f>
        <v>0.90549999999999997</v>
      </c>
      <c r="AF43" s="48">
        <v>1</v>
      </c>
      <c r="AO43" s="45">
        <v>18</v>
      </c>
      <c r="AP43" s="199" t="s">
        <v>186</v>
      </c>
      <c r="AQ43" s="199"/>
      <c r="AR43" s="199"/>
      <c r="AS43" s="199"/>
      <c r="AT43" s="93" t="s">
        <v>184</v>
      </c>
      <c r="AU43" s="47">
        <f>IF(AS9="Signalized",IF(AT43="Channelized",(1-AP6/SUM(AP6:AP9))+AP6/SUM(AP6:AP9)*EXP(0.992),1),1)</f>
        <v>1</v>
      </c>
      <c r="AV43" s="48">
        <f>IF(AS9="Signalized",IF(AT43="Channelized",(1-AP6/SUM(AP6:AP9))+AP6/SUM(AP6:AP9)*EXP(1.429),1),1)</f>
        <v>1</v>
      </c>
      <c r="AW43" s="45"/>
      <c r="AX43" s="14"/>
      <c r="AY43" s="14"/>
      <c r="AZ43" s="14"/>
      <c r="BA43" s="14"/>
      <c r="BB43" s="19"/>
      <c r="BC43" s="18">
        <f>IF(BC37=0,1,BC37)*IF(BC38=0,1,BC38)*IF(BC39=0,1,BC39)*IF(BC40=0,1,BC40)*IF(BC41=0,1,BC41)*IF(BC42=0,1,BC42)</f>
        <v>0.71132528793599992</v>
      </c>
      <c r="BD43" s="33">
        <f>IF(BD37=0,1,BD37)*IF(BD38=0,1,BD38)*IF(BD39=0,1,BD39)*IF(BD40=0,1,BD40)*IF(BD41=0,1,BD41)*IF(BD42=0,1,BD42)</f>
        <v>0.85701841919999999</v>
      </c>
      <c r="BE43" s="177">
        <v>8</v>
      </c>
      <c r="BF43" s="218" t="s">
        <v>364</v>
      </c>
      <c r="BG43" s="219"/>
      <c r="BH43" s="219"/>
      <c r="BI43" s="220"/>
      <c r="BJ43" s="57">
        <v>0.1</v>
      </c>
      <c r="BK43" s="47">
        <f>(1-BJ43)+BJ43*EXP(0.31)</f>
        <v>1.0363425114132179</v>
      </c>
      <c r="BL43" s="48">
        <v>1</v>
      </c>
    </row>
    <row r="44" spans="1:64" x14ac:dyDescent="0.25">
      <c r="A44" s="45">
        <v>5</v>
      </c>
      <c r="B44" s="218" t="s">
        <v>123</v>
      </c>
      <c r="C44" s="219"/>
      <c r="D44" s="219"/>
      <c r="E44" s="220"/>
      <c r="F44" s="184" t="s">
        <v>128</v>
      </c>
      <c r="G44" s="47">
        <f>IF(F44="Present",1-0.38*LOOKUP(G5,Reference!$A$69:$A$72,Reference!$C$69:$C$72),1)</f>
        <v>0.91070000000000007</v>
      </c>
      <c r="H44" s="58">
        <f>IF(F44="Present",1-0.38*LOOKUP(G5,Reference!$A$69:$A$72,Reference!$C$69:$C$72),1)</f>
        <v>0.91070000000000007</v>
      </c>
      <c r="I44" s="177" t="s">
        <v>208</v>
      </c>
      <c r="J44" s="199"/>
      <c r="K44" s="199"/>
      <c r="L44" s="199"/>
      <c r="M44" s="199"/>
      <c r="N44" s="199"/>
      <c r="O44" s="47"/>
      <c r="P44" s="48"/>
      <c r="Q44" s="177"/>
      <c r="R44" s="174"/>
      <c r="S44" s="14"/>
      <c r="T44" s="14"/>
      <c r="U44" s="14"/>
      <c r="V44" s="14"/>
      <c r="W44" s="14"/>
      <c r="X44" s="25"/>
      <c r="Y44" s="174">
        <v>10</v>
      </c>
      <c r="Z44" s="215" t="s">
        <v>211</v>
      </c>
      <c r="AA44" s="217"/>
      <c r="AB44" s="59">
        <v>0.5</v>
      </c>
      <c r="AC44" s="66">
        <v>13</v>
      </c>
      <c r="AD44" s="67">
        <v>13</v>
      </c>
      <c r="AE44" s="47">
        <f>(1-AB44)*EXP(-0.00451*(AC44-AD44-20))+AB44*EXP(-0.00451*(AD44-20))</f>
        <v>1.0632333793336479</v>
      </c>
      <c r="AF44" s="48">
        <v>1</v>
      </c>
      <c r="AO44" s="45">
        <v>19</v>
      </c>
      <c r="AP44" s="199" t="s">
        <v>187</v>
      </c>
      <c r="AQ44" s="199"/>
      <c r="AR44" s="199"/>
      <c r="AS44" s="199"/>
      <c r="AT44" s="178" t="s">
        <v>128</v>
      </c>
      <c r="AU44" s="47">
        <f>IF(AS9="signalized",IF(AT44="Present",EXP(0.592),1),1)</f>
        <v>1</v>
      </c>
      <c r="AV44" s="48">
        <f>IF(AS9="signalized",IF(AT44="Present",EXP(0.52),1),1)</f>
        <v>1</v>
      </c>
      <c r="AW44" s="24"/>
      <c r="AX44" s="14"/>
      <c r="AY44" s="14"/>
      <c r="AZ44" s="14"/>
      <c r="BA44" s="14"/>
      <c r="BB44" s="19"/>
      <c r="BC44" s="19"/>
      <c r="BD44" s="25"/>
      <c r="BE44" s="177" t="s">
        <v>208</v>
      </c>
      <c r="BF44" s="199"/>
      <c r="BG44" s="199"/>
      <c r="BH44" s="199"/>
      <c r="BI44" s="199"/>
      <c r="BJ44" s="199"/>
      <c r="BK44" s="47"/>
      <c r="BL44" s="48"/>
    </row>
    <row r="45" spans="1:64" x14ac:dyDescent="0.25">
      <c r="A45" s="45">
        <v>6</v>
      </c>
      <c r="B45" s="218" t="s">
        <v>124</v>
      </c>
      <c r="C45" s="219"/>
      <c r="D45" s="219"/>
      <c r="E45" s="220"/>
      <c r="F45" s="184" t="s">
        <v>129</v>
      </c>
      <c r="G45" s="47">
        <v>1</v>
      </c>
      <c r="H45" s="58">
        <v>1</v>
      </c>
      <c r="I45" s="24"/>
      <c r="J45" s="175"/>
      <c r="K45" s="175"/>
      <c r="L45" s="175"/>
      <c r="M45" s="175"/>
      <c r="N45" s="14"/>
      <c r="O45" s="18">
        <f>IF(O44=0,1,O44)*IF(O43=0,1,O43)</f>
        <v>1.0363425114132179</v>
      </c>
      <c r="P45" s="33">
        <f>IF(P44=0,1,P44)*IF(P43=0,1,P43)</f>
        <v>1</v>
      </c>
      <c r="Q45" s="24"/>
      <c r="R45" s="14"/>
      <c r="S45" s="14"/>
      <c r="T45" s="14"/>
      <c r="U45" s="14"/>
      <c r="V45" s="14"/>
      <c r="W45" s="14"/>
      <c r="X45" s="25"/>
      <c r="Y45" s="174">
        <v>11</v>
      </c>
      <c r="Z45" s="215" t="s">
        <v>212</v>
      </c>
      <c r="AA45" s="216"/>
      <c r="AB45" s="217"/>
      <c r="AC45" s="59">
        <v>0.5</v>
      </c>
      <c r="AD45" s="61">
        <v>13</v>
      </c>
      <c r="AE45" s="47">
        <f>(1-AC45)+AC45*EXP(0.131/AD45)</f>
        <v>1.0050639331196289</v>
      </c>
      <c r="AF45" s="48">
        <f>(1-AC45)+AC45*EXP(0.169/AD45)</f>
        <v>1.0065424336799045</v>
      </c>
      <c r="AO45" s="45">
        <v>20</v>
      </c>
      <c r="AP45" s="199" t="s">
        <v>188</v>
      </c>
      <c r="AQ45" s="199"/>
      <c r="AR45" s="199"/>
      <c r="AS45" s="199"/>
      <c r="AT45" s="95">
        <v>70</v>
      </c>
      <c r="AU45" s="47">
        <f>IF(AS9="Signalized",1,(1-AP6/SUM(AP6:AP9)+AP6/SUM(AP6:AP9)*EXP(0.341*SIN(AT45)*0.001*AP6)))</f>
        <v>1.1293210021890614</v>
      </c>
      <c r="AV45" s="48">
        <v>1</v>
      </c>
      <c r="AW45" s="24"/>
      <c r="AX45" s="14"/>
      <c r="AY45" s="14"/>
      <c r="AZ45" s="14"/>
      <c r="BA45" s="14"/>
      <c r="BB45" s="19"/>
      <c r="BC45" s="19"/>
      <c r="BD45" s="25"/>
      <c r="BE45" s="24"/>
      <c r="BF45" s="175"/>
      <c r="BG45" s="175"/>
      <c r="BH45" s="175"/>
      <c r="BI45" s="175"/>
      <c r="BJ45" s="14"/>
      <c r="BK45" s="18">
        <f>IF(BK44=0,1,BK44)*IF(BK43=0,1,BK43)</f>
        <v>1.0363425114132179</v>
      </c>
      <c r="BL45" s="33">
        <f>IF(BL44=0,1,BL44)*IF(BL43=0,1,BL43)</f>
        <v>1</v>
      </c>
    </row>
    <row r="46" spans="1:64" x14ac:dyDescent="0.25">
      <c r="A46" s="45">
        <v>7</v>
      </c>
      <c r="B46" s="218"/>
      <c r="C46" s="219"/>
      <c r="D46" s="219"/>
      <c r="E46" s="220"/>
      <c r="F46" s="184"/>
      <c r="G46" s="47"/>
      <c r="H46" s="58"/>
      <c r="I46" s="24"/>
      <c r="J46" s="14"/>
      <c r="K46" s="14"/>
      <c r="L46" s="14"/>
      <c r="M46" s="14"/>
      <c r="N46" s="19"/>
      <c r="O46" s="19"/>
      <c r="P46" s="25"/>
      <c r="Q46" s="24"/>
      <c r="R46" s="14"/>
      <c r="S46" s="14"/>
      <c r="T46" s="14"/>
      <c r="U46" s="14"/>
      <c r="V46" s="14"/>
      <c r="W46" s="14"/>
      <c r="X46" s="25"/>
      <c r="Y46" s="174" t="s">
        <v>208</v>
      </c>
      <c r="Z46" s="199"/>
      <c r="AA46" s="199"/>
      <c r="AB46" s="199"/>
      <c r="AC46" s="199"/>
      <c r="AD46" s="199"/>
      <c r="AE46" s="47"/>
      <c r="AF46" s="48"/>
      <c r="AO46" s="24"/>
      <c r="AP46" s="175"/>
      <c r="AQ46" s="175"/>
      <c r="AR46" s="175"/>
      <c r="AS46" s="175"/>
      <c r="AT46" s="14"/>
      <c r="AU46" s="18">
        <f>IF(AU30=0,1,AU30)*IF(AU31=0,1,AU31)*IF(AU32=0,1,AU32)*IF(AU33=0,1,AU33)*IF(AU34=0,1,AU34)*IF(AU35=0,1,AU35)*IF(AU36=0,1,AU36)*IF(AU37=0,1,AU37)*IF(AU38=0,1,AU38)*IF(AU39=0,1,AU39)*IF(AU40=0,1,AU40)*IF(AU41=0,1,AU41)*IF(AU42=0,1,AU42)*IF(AU43=0,1,AU43)*IF(AU44=0,1,AU44)*IF(AU45=0,1,AU45)</f>
        <v>1.7709328707138539</v>
      </c>
      <c r="AV46" s="33">
        <f>IF(AV30=0,1,AV30)*IF(AV31=0,1,AV31)*IF(AV32=0,1,AV32)*IF(AV33=0,1,AV33)*IF(AV34=0,1,AV34)*IF(AV35=0,1,AV35)*IF(AV36=0,1,AV36)*IF(AV37=0,1,AV37)*IF(AV38=0,1,AV38)*IF(AV39=0,1,AV39)*IF(AV40=0,1,AV40)*IF(AV41=0,1,AV41)*IF(AV42=0,1,AV42)*IF(AV43=0,1,AV43)*IF(AV44=0,1,AV44)*IF(AV45=0,1,AV45)</f>
        <v>1.0411791414698877</v>
      </c>
      <c r="AW46" s="24"/>
      <c r="AX46" s="14"/>
      <c r="AY46" s="14"/>
      <c r="AZ46" s="14"/>
      <c r="BA46" s="14"/>
      <c r="BB46" s="19"/>
      <c r="BC46" s="19"/>
      <c r="BD46" s="25"/>
      <c r="BE46" s="24"/>
      <c r="BF46" s="14"/>
      <c r="BG46" s="14"/>
      <c r="BH46" s="14"/>
      <c r="BI46" s="14"/>
      <c r="BJ46" s="19"/>
      <c r="BK46" s="19"/>
      <c r="BL46" s="25"/>
    </row>
    <row r="47" spans="1:64" x14ac:dyDescent="0.25">
      <c r="A47" s="24"/>
      <c r="B47" s="175"/>
      <c r="C47" s="175"/>
      <c r="D47" s="175"/>
      <c r="E47" s="175"/>
      <c r="F47" s="14"/>
      <c r="G47" s="18">
        <f>IF(G37=0,1,G37)*IF(G38=0,1,G38)*IF(G39=0,1,G39)*IF(G40=0,1,G40)*IF(G41=0,1,G41)*IF(G42=0,1,G42)*IF(G43=0,1,G43)*IF(G44=0,1,G44)*IF(G45=0,1,G45)*IF(G46=0,1,G46)</f>
        <v>0.45357123688462714</v>
      </c>
      <c r="H47" s="79">
        <f>IF(H37=0,1,H37)*IF(H38=0,1,H38)*IF(H39=0,1,H39)*IF(H40=0,1,H40)*IF(H41=0,1,H41)*IF(H42=0,1,H42)*IF(H43=0,1,H43)*IF(H44=0,1,H44)*IF(H45=0,1,H45)*IF(H46=0,1,H46)</f>
        <v>0.45357123688462714</v>
      </c>
      <c r="I47" s="222"/>
      <c r="J47" s="190"/>
      <c r="K47" s="190"/>
      <c r="L47" s="14"/>
      <c r="M47" s="14"/>
      <c r="N47" s="19"/>
      <c r="O47" s="19"/>
      <c r="P47" s="25"/>
      <c r="Q47" s="24"/>
      <c r="R47" s="14"/>
      <c r="S47" s="14"/>
      <c r="T47" s="14"/>
      <c r="U47" s="14"/>
      <c r="V47" s="14"/>
      <c r="W47" s="14"/>
      <c r="X47" s="25"/>
      <c r="Y47" s="14"/>
      <c r="Z47" s="175"/>
      <c r="AA47" s="175"/>
      <c r="AB47" s="175"/>
      <c r="AC47" s="175"/>
      <c r="AD47" s="14"/>
      <c r="AE47" s="18">
        <f>IF(AE43=0,1,AE43)*IF(AE42=0,1,AE42)*IF(AE45=0,1,AE45)*IF(AE44=0,1,AE44)*IF(AE41=0,1,AE41)*IF(AE40=0,1,AE40)*IF(AE46=0,1,AE46)</f>
        <v>0.73868446043698777</v>
      </c>
      <c r="AF47" s="33">
        <f>IF(AF43=0,1,AF43)*IF(AF42=0,1,AF42)*IF(AF45=0,1,AF45)*IF(AF44=0,1,AF44)*IF(AF41=0,1,AF41)*IF(AF40=0,1,AF40)*IF(AF46=0,1,AF46)</f>
        <v>0.83739719760454889</v>
      </c>
      <c r="AO47" s="24"/>
      <c r="AP47" s="14"/>
      <c r="AQ47" s="14"/>
      <c r="AR47" s="14"/>
      <c r="AS47" s="14"/>
      <c r="AT47" s="14"/>
      <c r="AU47" s="14"/>
      <c r="AV47" s="25"/>
      <c r="AW47" s="24"/>
      <c r="AX47" s="14"/>
      <c r="AY47" s="14"/>
      <c r="AZ47" s="14"/>
      <c r="BA47" s="14"/>
      <c r="BB47" s="19"/>
      <c r="BC47" s="19"/>
      <c r="BD47" s="25"/>
      <c r="BE47" s="222"/>
      <c r="BF47" s="190"/>
      <c r="BG47" s="190"/>
      <c r="BH47" s="14"/>
      <c r="BI47" s="14"/>
      <c r="BJ47" s="19"/>
      <c r="BK47" s="19"/>
      <c r="BL47" s="25"/>
    </row>
    <row r="48" spans="1:64" x14ac:dyDescent="0.25">
      <c r="A48" s="24"/>
      <c r="B48" s="14"/>
      <c r="C48" s="14"/>
      <c r="D48" s="14"/>
      <c r="E48" s="14"/>
      <c r="F48" s="19"/>
      <c r="G48" s="19"/>
      <c r="H48" s="14"/>
      <c r="I48" s="24"/>
      <c r="J48" s="14"/>
      <c r="K48" s="14"/>
      <c r="L48" s="14"/>
      <c r="M48" s="14"/>
      <c r="N48" s="19"/>
      <c r="O48" s="19"/>
      <c r="P48" s="25"/>
      <c r="Q48" s="24"/>
      <c r="R48" s="14"/>
      <c r="S48" s="14"/>
      <c r="T48" s="14"/>
      <c r="U48" s="14"/>
      <c r="V48" s="14"/>
      <c r="W48" s="14"/>
      <c r="X48" s="25"/>
      <c r="Y48" s="14"/>
      <c r="Z48" s="14"/>
      <c r="AA48" s="14"/>
      <c r="AB48" s="14"/>
      <c r="AC48" s="14"/>
      <c r="AD48" s="19"/>
      <c r="AE48" s="19"/>
      <c r="AF48" s="25"/>
      <c r="AO48" s="24"/>
      <c r="AP48" s="14"/>
      <c r="AQ48" s="14"/>
      <c r="AR48" s="14"/>
      <c r="AS48" s="14"/>
      <c r="AT48" s="14"/>
      <c r="AU48" s="14"/>
      <c r="AV48" s="25"/>
      <c r="AW48" s="24"/>
      <c r="AX48" s="14"/>
      <c r="AY48" s="14"/>
      <c r="AZ48" s="14"/>
      <c r="BA48" s="14"/>
      <c r="BB48" s="19"/>
      <c r="BC48" s="19"/>
      <c r="BD48" s="25"/>
      <c r="BE48" s="24"/>
      <c r="BF48" s="14"/>
      <c r="BG48" s="14"/>
      <c r="BH48" s="14"/>
      <c r="BI48" s="14"/>
      <c r="BJ48" s="19"/>
      <c r="BK48" s="19"/>
      <c r="BL48" s="25"/>
    </row>
    <row r="49" spans="1:64" ht="16.5" thickBot="1" x14ac:dyDescent="0.3">
      <c r="A49" s="200" t="s">
        <v>117</v>
      </c>
      <c r="B49" s="201"/>
      <c r="C49" s="201"/>
      <c r="D49" s="201"/>
      <c r="E49" s="201"/>
      <c r="F49" s="201"/>
      <c r="G49" s="201"/>
      <c r="H49" s="201"/>
      <c r="I49" s="200" t="s">
        <v>117</v>
      </c>
      <c r="J49" s="201"/>
      <c r="K49" s="201"/>
      <c r="L49" s="201"/>
      <c r="M49" s="201"/>
      <c r="N49" s="201"/>
      <c r="O49" s="201"/>
      <c r="P49" s="202"/>
      <c r="Q49" s="200" t="s">
        <v>117</v>
      </c>
      <c r="R49" s="201"/>
      <c r="S49" s="201"/>
      <c r="T49" s="201"/>
      <c r="U49" s="201"/>
      <c r="V49" s="201"/>
      <c r="W49" s="201"/>
      <c r="X49" s="202"/>
      <c r="Y49" s="201" t="s">
        <v>117</v>
      </c>
      <c r="Z49" s="201"/>
      <c r="AA49" s="201"/>
      <c r="AB49" s="201"/>
      <c r="AC49" s="201"/>
      <c r="AD49" s="201"/>
      <c r="AE49" s="201"/>
      <c r="AF49" s="202"/>
      <c r="AO49" s="200" t="s">
        <v>117</v>
      </c>
      <c r="AP49" s="201"/>
      <c r="AQ49" s="201"/>
      <c r="AR49" s="201"/>
      <c r="AS49" s="201"/>
      <c r="AT49" s="201"/>
      <c r="AU49" s="201"/>
      <c r="AV49" s="202"/>
      <c r="AW49" s="200" t="s">
        <v>117</v>
      </c>
      <c r="AX49" s="201"/>
      <c r="AY49" s="201"/>
      <c r="AZ49" s="201"/>
      <c r="BA49" s="201"/>
      <c r="BB49" s="201"/>
      <c r="BC49" s="201"/>
      <c r="BD49" s="202"/>
      <c r="BE49" s="200" t="s">
        <v>117</v>
      </c>
      <c r="BF49" s="201"/>
      <c r="BG49" s="201"/>
      <c r="BH49" s="201"/>
      <c r="BI49" s="201"/>
      <c r="BJ49" s="201"/>
      <c r="BK49" s="201"/>
      <c r="BL49" s="202"/>
    </row>
    <row r="50" spans="1:64" ht="15.75" thickTop="1" x14ac:dyDescent="0.25">
      <c r="A50" s="24"/>
      <c r="B50" s="14"/>
      <c r="C50" s="14"/>
      <c r="D50" s="14"/>
      <c r="E50" s="14"/>
      <c r="F50" s="19"/>
      <c r="G50" s="19"/>
      <c r="H50" s="14"/>
      <c r="I50" s="24"/>
      <c r="J50" s="14"/>
      <c r="K50" s="14"/>
      <c r="L50" s="14"/>
      <c r="M50" s="14"/>
      <c r="N50" s="14"/>
      <c r="O50" s="14"/>
      <c r="P50" s="25"/>
      <c r="Q50" s="24"/>
      <c r="R50" s="14"/>
      <c r="S50" s="14"/>
      <c r="T50" s="14"/>
      <c r="U50" s="14"/>
      <c r="V50" s="14"/>
      <c r="W50" s="14"/>
      <c r="X50" s="25"/>
      <c r="Y50" s="24"/>
      <c r="Z50" s="14"/>
      <c r="AA50" s="14"/>
      <c r="AB50" s="14"/>
      <c r="AC50" s="14"/>
      <c r="AD50" s="14"/>
      <c r="AE50" s="14"/>
      <c r="AF50" s="25"/>
      <c r="AO50" s="24"/>
      <c r="AP50" s="14"/>
      <c r="AQ50" s="14"/>
      <c r="AR50" s="14"/>
      <c r="AS50" s="14"/>
      <c r="AT50" s="14"/>
      <c r="AU50" s="14"/>
      <c r="AV50" s="25"/>
      <c r="AW50" s="24"/>
      <c r="AX50" s="14"/>
      <c r="AY50" s="14"/>
      <c r="AZ50" s="14"/>
      <c r="BA50" s="14"/>
      <c r="BB50" s="19"/>
      <c r="BC50" s="19"/>
      <c r="BD50" s="25"/>
      <c r="BE50" s="24"/>
      <c r="BF50" s="14"/>
      <c r="BG50" s="14"/>
      <c r="BH50" s="14"/>
      <c r="BI50" s="14"/>
      <c r="BJ50" s="14"/>
      <c r="BK50" s="14"/>
      <c r="BL50" s="25"/>
    </row>
    <row r="51" spans="1:64" x14ac:dyDescent="0.25">
      <c r="A51" s="195" t="s">
        <v>115</v>
      </c>
      <c r="B51" s="194"/>
      <c r="C51" s="16">
        <f ca="1">C52+C53</f>
        <v>1.5672211560435607</v>
      </c>
      <c r="D51" s="14"/>
      <c r="E51" s="194" t="s">
        <v>108</v>
      </c>
      <c r="F51" s="194"/>
      <c r="G51" s="16">
        <f>G52+G53</f>
        <v>1.5113029470043979</v>
      </c>
      <c r="H51" s="14"/>
      <c r="I51" s="195" t="s">
        <v>18</v>
      </c>
      <c r="J51" s="194"/>
      <c r="K51" s="16">
        <f ca="1">K52+K53</f>
        <v>0.22326976244039481</v>
      </c>
      <c r="L51" s="14"/>
      <c r="M51" s="14"/>
      <c r="N51" s="14"/>
      <c r="O51" s="14"/>
      <c r="P51" s="25"/>
      <c r="Q51" s="195" t="s">
        <v>18</v>
      </c>
      <c r="R51" s="194"/>
      <c r="S51" s="16">
        <f>S52+S53</f>
        <v>1.2434802952083301</v>
      </c>
      <c r="T51" s="14"/>
      <c r="U51" s="14"/>
      <c r="V51" s="14"/>
      <c r="W51" s="14"/>
      <c r="X51" s="25"/>
      <c r="Y51" s="195" t="s">
        <v>18</v>
      </c>
      <c r="Z51" s="194"/>
      <c r="AA51" s="16">
        <f>AA52+AA53</f>
        <v>1.9877515218829513</v>
      </c>
      <c r="AB51" s="14"/>
      <c r="AC51" s="14"/>
      <c r="AD51" s="14"/>
      <c r="AE51" s="14"/>
      <c r="AF51" s="25"/>
      <c r="AO51" s="195" t="s">
        <v>18</v>
      </c>
      <c r="AP51" s="194"/>
      <c r="AQ51" s="16">
        <f>AQ52+AQ53</f>
        <v>0.60376817306276587</v>
      </c>
      <c r="AR51" s="14"/>
      <c r="AS51" s="14"/>
      <c r="AT51" s="14"/>
      <c r="AU51" s="14"/>
      <c r="AV51" s="25"/>
      <c r="AW51" s="195" t="s">
        <v>115</v>
      </c>
      <c r="AX51" s="194"/>
      <c r="AY51" s="16">
        <f>AY52+AY53</f>
        <v>2.7170476850572642</v>
      </c>
      <c r="AZ51" s="14"/>
      <c r="BA51" s="194" t="s">
        <v>108</v>
      </c>
      <c r="BB51" s="198"/>
      <c r="BC51" s="16">
        <f>BC52+BC53</f>
        <v>2.5778441034698902</v>
      </c>
      <c r="BD51" s="25"/>
      <c r="BE51" s="195" t="s">
        <v>18</v>
      </c>
      <c r="BF51" s="194"/>
      <c r="BG51" s="16">
        <f>BG52+BG53</f>
        <v>0.37782642020316115</v>
      </c>
      <c r="BH51" s="14"/>
      <c r="BI51" s="14"/>
      <c r="BJ51" s="14"/>
      <c r="BK51" s="14"/>
      <c r="BL51" s="25"/>
    </row>
    <row r="52" spans="1:64" x14ac:dyDescent="0.25">
      <c r="A52" s="195" t="s">
        <v>113</v>
      </c>
      <c r="B52" s="198"/>
      <c r="C52" s="16">
        <f ca="1">G52+G54+G55</f>
        <v>0.53450659942097967</v>
      </c>
      <c r="D52" s="14"/>
      <c r="E52" s="194" t="s">
        <v>109</v>
      </c>
      <c r="F52" s="194"/>
      <c r="G52" s="16">
        <f>C32*G47</f>
        <v>0.47858839038181694</v>
      </c>
      <c r="H52" s="14"/>
      <c r="I52" s="195" t="s">
        <v>19</v>
      </c>
      <c r="J52" s="194"/>
      <c r="K52" s="16">
        <f ca="1">(O41*K24)+(O41*O45*K21)</f>
        <v>6.1739551395643445E-2</v>
      </c>
      <c r="L52" s="14"/>
      <c r="M52" s="14"/>
      <c r="N52" s="14"/>
      <c r="O52" s="14"/>
      <c r="P52" s="25"/>
      <c r="Q52" s="195" t="s">
        <v>19</v>
      </c>
      <c r="R52" s="194"/>
      <c r="S52" s="16">
        <f>S25*W40</f>
        <v>0.31476815673583897</v>
      </c>
      <c r="T52" s="14"/>
      <c r="U52" s="14"/>
      <c r="V52" s="14"/>
      <c r="W52" s="14"/>
      <c r="X52" s="25"/>
      <c r="Y52" s="195" t="s">
        <v>19</v>
      </c>
      <c r="Z52" s="194"/>
      <c r="AA52" s="16">
        <f>(AA15*AE32*AE38)+(AA18*AE32*AE47)</f>
        <v>0.63210039546059849</v>
      </c>
      <c r="AB52" s="14"/>
      <c r="AC52" s="14"/>
      <c r="AD52" s="14"/>
      <c r="AE52" s="14"/>
      <c r="AF52" s="25"/>
      <c r="AO52" s="195" t="s">
        <v>19</v>
      </c>
      <c r="AP52" s="194"/>
      <c r="AQ52" s="16">
        <f>AQ18*AU46</f>
        <v>0.40410020411216541</v>
      </c>
      <c r="AR52" s="14"/>
      <c r="AS52" s="14"/>
      <c r="AT52" s="181"/>
      <c r="AU52" s="14"/>
      <c r="AV52" s="25"/>
      <c r="AW52" s="195" t="s">
        <v>113</v>
      </c>
      <c r="AX52" s="198"/>
      <c r="AY52" s="16">
        <f>BC52+BC54+BC55</f>
        <v>0.73786406074229394</v>
      </c>
      <c r="AZ52" s="14"/>
      <c r="BA52" s="194" t="s">
        <v>109</v>
      </c>
      <c r="BB52" s="198"/>
      <c r="BC52" s="16">
        <f>AY32*BC43</f>
        <v>0.59866047915491993</v>
      </c>
      <c r="BD52" s="25"/>
      <c r="BE52" s="195" t="s">
        <v>19</v>
      </c>
      <c r="BF52" s="194"/>
      <c r="BG52" s="16">
        <f>(BK41*BG24)+(BK41*BK45*BG21)</f>
        <v>0.10033120461603501</v>
      </c>
      <c r="BH52" s="14"/>
      <c r="BI52" s="14"/>
      <c r="BJ52" s="14"/>
      <c r="BK52" s="14"/>
      <c r="BL52" s="25"/>
    </row>
    <row r="53" spans="1:64" x14ac:dyDescent="0.25">
      <c r="A53" s="195" t="s">
        <v>114</v>
      </c>
      <c r="B53" s="198"/>
      <c r="C53" s="16">
        <f>G53</f>
        <v>1.032714556622581</v>
      </c>
      <c r="D53" s="14"/>
      <c r="E53" s="194" t="s">
        <v>110</v>
      </c>
      <c r="F53" s="194"/>
      <c r="G53" s="16">
        <f>C33*H47</f>
        <v>1.032714556622581</v>
      </c>
      <c r="H53" s="14"/>
      <c r="I53" s="195" t="s">
        <v>20</v>
      </c>
      <c r="J53" s="198"/>
      <c r="K53" s="16">
        <f>(P41*K25)+(P41*P45*K22)</f>
        <v>0.16153021104475138</v>
      </c>
      <c r="L53" s="14"/>
      <c r="M53" s="14"/>
      <c r="N53" s="14"/>
      <c r="O53" s="14"/>
      <c r="P53" s="25"/>
      <c r="Q53" s="195" t="s">
        <v>20</v>
      </c>
      <c r="R53" s="194"/>
      <c r="S53" s="16">
        <f>S26*X40</f>
        <v>0.92871213847249123</v>
      </c>
      <c r="T53" s="14"/>
      <c r="U53" s="14"/>
      <c r="V53" s="14"/>
      <c r="W53" s="14"/>
      <c r="X53" s="25"/>
      <c r="Y53" s="195" t="s">
        <v>20</v>
      </c>
      <c r="Z53" s="194"/>
      <c r="AA53" s="16">
        <f>(AA16*AF32*AF38)+(AA19*AF32*AF47)</f>
        <v>1.355651126422353</v>
      </c>
      <c r="AB53" s="14"/>
      <c r="AC53" s="14"/>
      <c r="AD53" s="14"/>
      <c r="AE53" s="14"/>
      <c r="AF53" s="25"/>
      <c r="AO53" s="195" t="s">
        <v>20</v>
      </c>
      <c r="AP53" s="194"/>
      <c r="AQ53" s="75">
        <f>AQ19*AV46</f>
        <v>0.19966796895060046</v>
      </c>
      <c r="AR53" s="14"/>
      <c r="AS53" s="14"/>
      <c r="AT53" s="181"/>
      <c r="AU53" s="14"/>
      <c r="AV53" s="25"/>
      <c r="AW53" s="195" t="s">
        <v>114</v>
      </c>
      <c r="AX53" s="198"/>
      <c r="AY53" s="16">
        <f>BC53</f>
        <v>1.9791836243149705</v>
      </c>
      <c r="AZ53" s="14"/>
      <c r="BA53" s="194" t="s">
        <v>110</v>
      </c>
      <c r="BB53" s="198"/>
      <c r="BC53" s="16">
        <f>AY33*BD43</f>
        <v>1.9791836243149705</v>
      </c>
      <c r="BD53" s="25"/>
      <c r="BE53" s="195" t="s">
        <v>20</v>
      </c>
      <c r="BF53" s="198"/>
      <c r="BG53" s="16">
        <f>(BL41*BG25)+(BL41*BL45*BG22)</f>
        <v>0.27749521558712614</v>
      </c>
      <c r="BH53" s="14"/>
      <c r="BI53" s="14"/>
      <c r="BJ53" s="14"/>
      <c r="BK53" s="14"/>
      <c r="BL53" s="25"/>
    </row>
    <row r="54" spans="1:64" x14ac:dyDescent="0.25">
      <c r="D54" s="14"/>
      <c r="E54" s="194" t="s">
        <v>111</v>
      </c>
      <c r="F54" s="198"/>
      <c r="G54" s="16">
        <f ca="1">G25</f>
        <v>3.3248664834096754E-2</v>
      </c>
      <c r="H54" s="14"/>
      <c r="I54" s="24"/>
      <c r="J54" s="14"/>
      <c r="K54" s="14"/>
      <c r="L54" s="14"/>
      <c r="M54" s="14"/>
      <c r="N54" s="14"/>
      <c r="O54" s="14"/>
      <c r="P54" s="25"/>
      <c r="Q54" s="24"/>
      <c r="R54" s="14"/>
      <c r="S54" s="14"/>
      <c r="T54" s="14"/>
      <c r="U54" s="14"/>
      <c r="V54" s="14"/>
      <c r="W54" s="14"/>
      <c r="X54" s="25"/>
      <c r="Y54" s="24"/>
      <c r="Z54" s="14"/>
      <c r="AA54" s="14"/>
      <c r="AB54" s="14"/>
      <c r="AC54" s="14"/>
      <c r="AD54" s="14"/>
      <c r="AE54" s="14"/>
      <c r="AF54" s="25"/>
      <c r="AO54" s="24"/>
      <c r="AP54" s="14"/>
      <c r="AQ54" s="14"/>
      <c r="AR54" s="14"/>
      <c r="AS54" s="14"/>
      <c r="AT54" s="181"/>
      <c r="AU54" s="14"/>
      <c r="AV54" s="25"/>
      <c r="AW54" s="24"/>
      <c r="AX54" s="14"/>
      <c r="AY54" s="14"/>
      <c r="AZ54" s="14"/>
      <c r="BA54" s="194" t="s">
        <v>111</v>
      </c>
      <c r="BB54" s="198"/>
      <c r="BC54" s="16">
        <f>BC28</f>
        <v>9.2802387724916044E-2</v>
      </c>
      <c r="BD54" s="25"/>
      <c r="BE54" s="24"/>
      <c r="BF54" s="14"/>
      <c r="BG54" s="14"/>
      <c r="BH54" s="14"/>
      <c r="BI54" s="14"/>
      <c r="BJ54" s="14"/>
      <c r="BK54" s="14"/>
      <c r="BL54" s="25"/>
    </row>
    <row r="55" spans="1:64" x14ac:dyDescent="0.25">
      <c r="D55" s="14"/>
      <c r="E55" s="194" t="s">
        <v>112</v>
      </c>
      <c r="F55" s="198"/>
      <c r="G55" s="16">
        <f>G28</f>
        <v>2.2669544205065967E-2</v>
      </c>
      <c r="H55" s="14"/>
      <c r="I55" s="24"/>
      <c r="J55" s="14"/>
      <c r="K55" s="14"/>
      <c r="L55" s="14"/>
      <c r="M55" s="14"/>
      <c r="N55" s="14"/>
      <c r="O55" s="14"/>
      <c r="P55" s="25"/>
      <c r="Q55" s="24"/>
      <c r="R55" s="14"/>
      <c r="S55" s="14"/>
      <c r="T55" s="14"/>
      <c r="U55" s="14"/>
      <c r="V55" s="14"/>
      <c r="W55" s="14"/>
      <c r="X55" s="25"/>
      <c r="Y55" s="24"/>
      <c r="Z55" s="14"/>
      <c r="AA55" s="14"/>
      <c r="AB55" s="14"/>
      <c r="AC55" s="14"/>
      <c r="AD55" s="14"/>
      <c r="AE55" s="14"/>
      <c r="AF55" s="25"/>
      <c r="AO55" s="24"/>
      <c r="AP55" s="14"/>
      <c r="AQ55" s="14"/>
      <c r="AR55" s="14"/>
      <c r="AS55" s="14"/>
      <c r="AT55" s="181"/>
      <c r="AU55" s="14"/>
      <c r="AV55" s="25"/>
      <c r="AW55" s="24"/>
      <c r="AX55" s="14"/>
      <c r="AY55" s="14"/>
      <c r="AZ55" s="14"/>
      <c r="BA55" s="194" t="s">
        <v>112</v>
      </c>
      <c r="BB55" s="198"/>
      <c r="BC55" s="16">
        <f>BC29</f>
        <v>4.6401193862458022E-2</v>
      </c>
      <c r="BD55" s="25"/>
      <c r="BE55" s="24"/>
      <c r="BF55" s="14"/>
      <c r="BG55" s="14"/>
      <c r="BH55" s="14"/>
      <c r="BI55" s="14"/>
      <c r="BJ55" s="14"/>
      <c r="BK55" s="14"/>
      <c r="BL55" s="25"/>
    </row>
    <row r="56" spans="1:64" x14ac:dyDescent="0.25">
      <c r="A56" s="24"/>
      <c r="B56" s="14"/>
      <c r="C56" s="14"/>
      <c r="D56" s="14"/>
      <c r="E56" s="14"/>
      <c r="F56" s="14"/>
      <c r="G56" s="14"/>
      <c r="H56" s="14"/>
      <c r="I56" s="24"/>
      <c r="J56" s="14"/>
      <c r="K56" s="14"/>
      <c r="L56" s="14"/>
      <c r="M56" s="14"/>
      <c r="N56" s="14"/>
      <c r="O56" s="14"/>
      <c r="P56" s="25"/>
      <c r="Q56" s="24"/>
      <c r="R56" s="14"/>
      <c r="S56" s="14"/>
      <c r="T56" s="14"/>
      <c r="U56" s="14"/>
      <c r="V56" s="14"/>
      <c r="W56" s="14"/>
      <c r="X56" s="25"/>
      <c r="Y56" s="24"/>
      <c r="Z56" s="14"/>
      <c r="AA56" s="14"/>
      <c r="AB56" s="14"/>
      <c r="AC56" s="14"/>
      <c r="AD56" s="14"/>
      <c r="AE56" s="14"/>
      <c r="AF56" s="25"/>
      <c r="AO56" s="24"/>
      <c r="AP56" s="14"/>
      <c r="AQ56" s="14"/>
      <c r="AR56" s="14"/>
      <c r="AS56" s="14"/>
      <c r="AT56" s="181"/>
      <c r="AU56" s="14"/>
      <c r="AV56" s="25"/>
      <c r="AW56" s="24"/>
      <c r="AX56" s="14"/>
      <c r="AY56" s="14"/>
      <c r="AZ56" s="14"/>
      <c r="BA56" s="14"/>
      <c r="BB56" s="14"/>
      <c r="BC56" s="14"/>
      <c r="BD56" s="25"/>
      <c r="BE56" s="24"/>
      <c r="BF56" s="14"/>
      <c r="BG56" s="14"/>
      <c r="BH56" s="14"/>
      <c r="BI56" s="14"/>
      <c r="BJ56" s="14"/>
      <c r="BK56" s="14"/>
      <c r="BL56" s="25"/>
    </row>
    <row r="57" spans="1:64" x14ac:dyDescent="0.25">
      <c r="A57" s="26"/>
      <c r="B57" s="27"/>
      <c r="C57" s="27"/>
      <c r="D57" s="27"/>
      <c r="E57" s="27"/>
      <c r="F57" s="27"/>
      <c r="G57" s="27"/>
      <c r="H57" s="27"/>
      <c r="I57" s="26"/>
      <c r="J57" s="27"/>
      <c r="K57" s="27"/>
      <c r="L57" s="27"/>
      <c r="M57" s="27"/>
      <c r="N57" s="27"/>
      <c r="O57" s="27"/>
      <c r="P57" s="28"/>
      <c r="Q57" s="26"/>
      <c r="R57" s="27"/>
      <c r="S57" s="27"/>
      <c r="T57" s="27"/>
      <c r="U57" s="27"/>
      <c r="V57" s="27"/>
      <c r="W57" s="27"/>
      <c r="X57" s="28"/>
      <c r="Y57" s="26"/>
      <c r="Z57" s="27"/>
      <c r="AA57" s="27"/>
      <c r="AB57" s="27"/>
      <c r="AC57" s="27"/>
      <c r="AD57" s="27"/>
      <c r="AE57" s="27"/>
      <c r="AF57" s="28"/>
      <c r="AO57" s="26"/>
      <c r="AP57" s="27"/>
      <c r="AQ57" s="27"/>
      <c r="AR57" s="27"/>
      <c r="AS57" s="27"/>
      <c r="AT57" s="96"/>
      <c r="AU57" s="27"/>
      <c r="AV57" s="28"/>
      <c r="AW57" s="26"/>
      <c r="AX57" s="27"/>
      <c r="AY57" s="27"/>
      <c r="AZ57" s="27"/>
      <c r="BA57" s="27"/>
      <c r="BB57" s="27"/>
      <c r="BC57" s="27"/>
      <c r="BD57" s="28"/>
      <c r="BE57" s="26"/>
      <c r="BF57" s="27"/>
      <c r="BG57" s="27"/>
      <c r="BH57" s="27"/>
      <c r="BI57" s="27"/>
      <c r="BJ57" s="27"/>
      <c r="BK57" s="27"/>
      <c r="BL57" s="28"/>
    </row>
    <row r="58" spans="1:64" x14ac:dyDescent="0.25">
      <c r="AT58" s="74"/>
      <c r="AW58" s="73"/>
      <c r="AX58" s="73"/>
      <c r="AY58" s="73"/>
      <c r="AZ58" s="73"/>
      <c r="BA58" s="73"/>
      <c r="BB58" s="73"/>
      <c r="BC58" s="73"/>
      <c r="BD58" s="73"/>
    </row>
    <row r="59" spans="1:64" x14ac:dyDescent="0.25">
      <c r="AT59" s="74"/>
      <c r="AW59" s="14"/>
      <c r="AX59" s="14"/>
      <c r="AY59" s="14"/>
      <c r="AZ59" s="14"/>
      <c r="BA59" s="14"/>
      <c r="BB59" s="14"/>
      <c r="BC59" s="14"/>
      <c r="BD59" s="14"/>
    </row>
    <row r="60" spans="1:64" x14ac:dyDescent="0.25">
      <c r="AT60" s="74"/>
      <c r="AW60" s="14"/>
      <c r="AX60" s="14"/>
      <c r="AY60" s="14"/>
      <c r="AZ60" s="14"/>
      <c r="BA60" s="14"/>
      <c r="BB60" s="14"/>
      <c r="BC60" s="14"/>
      <c r="BD60" s="14"/>
    </row>
    <row r="61" spans="1:64" x14ac:dyDescent="0.25">
      <c r="AT61" s="74"/>
    </row>
  </sheetData>
  <dataConsolidate/>
  <mergeCells count="304">
    <mergeCell ref="BF44:BJ44"/>
    <mergeCell ref="BE47:BG47"/>
    <mergeCell ref="BE49:BL49"/>
    <mergeCell ref="BE51:BF51"/>
    <mergeCell ref="BE52:BF52"/>
    <mergeCell ref="BE53:BF53"/>
    <mergeCell ref="BI5:BJ5"/>
    <mergeCell ref="BK5:BL5"/>
    <mergeCell ref="BE8:BF8"/>
    <mergeCell ref="BE9:BF9"/>
    <mergeCell ref="BE10:BF10"/>
    <mergeCell ref="BE11:BF11"/>
    <mergeCell ref="BE22:BF22"/>
    <mergeCell ref="BE27:BF27"/>
    <mergeCell ref="BE28:BF28"/>
    <mergeCell ref="BF40:BJ40"/>
    <mergeCell ref="BF39:BH39"/>
    <mergeCell ref="BF41:BJ41"/>
    <mergeCell ref="BF42:BJ42"/>
    <mergeCell ref="BF43:BI43"/>
    <mergeCell ref="BF37:BH37"/>
    <mergeCell ref="BF38:BH38"/>
    <mergeCell ref="BF35:BI35"/>
    <mergeCell ref="BF36:BI36"/>
    <mergeCell ref="BF32:BJ32"/>
    <mergeCell ref="BF33:BJ33"/>
    <mergeCell ref="BF34:BI34"/>
    <mergeCell ref="BE29:BF29"/>
    <mergeCell ref="BE25:BF25"/>
    <mergeCell ref="BE23:BF23"/>
    <mergeCell ref="BE24:BF24"/>
    <mergeCell ref="BE20:BF20"/>
    <mergeCell ref="BE21:BF21"/>
    <mergeCell ref="BE1:BL1"/>
    <mergeCell ref="BE2:BL2"/>
    <mergeCell ref="BF3:BJ3"/>
    <mergeCell ref="BK3:BL3"/>
    <mergeCell ref="Z27:AD27"/>
    <mergeCell ref="Z31:AD31"/>
    <mergeCell ref="Z32:AD32"/>
    <mergeCell ref="Z33:AD33"/>
    <mergeCell ref="Y23:Z23"/>
    <mergeCell ref="Y21:Z21"/>
    <mergeCell ref="BA6:BB6"/>
    <mergeCell ref="BC6:BD6"/>
    <mergeCell ref="AU5:AV5"/>
    <mergeCell ref="AO13:AP13"/>
    <mergeCell ref="AO14:AP14"/>
    <mergeCell ref="AG1:AN1"/>
    <mergeCell ref="AG2:AN2"/>
    <mergeCell ref="AH3:AL3"/>
    <mergeCell ref="AM3:AN3"/>
    <mergeCell ref="AG11:AH11"/>
    <mergeCell ref="AG12:AH12"/>
    <mergeCell ref="AO1:AV1"/>
    <mergeCell ref="AO2:AV2"/>
    <mergeCell ref="AQ3:AT3"/>
    <mergeCell ref="Z45:AB45"/>
    <mergeCell ref="AO31:AO32"/>
    <mergeCell ref="AO33:AO34"/>
    <mergeCell ref="AH30:AL31"/>
    <mergeCell ref="AO37:AO38"/>
    <mergeCell ref="AO39:AO40"/>
    <mergeCell ref="Z34:AA34"/>
    <mergeCell ref="Z37:AD37"/>
    <mergeCell ref="Z43:AB43"/>
    <mergeCell ref="Z44:AA44"/>
    <mergeCell ref="Z38:AD38"/>
    <mergeCell ref="Z36:AD36"/>
    <mergeCell ref="AB35:AD35"/>
    <mergeCell ref="Z35:AA35"/>
    <mergeCell ref="Z40:AA40"/>
    <mergeCell ref="E54:F54"/>
    <mergeCell ref="AO41:AO42"/>
    <mergeCell ref="AP42:AS42"/>
    <mergeCell ref="AP41:AS41"/>
    <mergeCell ref="AP31:AS31"/>
    <mergeCell ref="AP32:AS32"/>
    <mergeCell ref="AP33:AS33"/>
    <mergeCell ref="AP34:AS34"/>
    <mergeCell ref="E55:F55"/>
    <mergeCell ref="Y52:Z52"/>
    <mergeCell ref="Z46:AD46"/>
    <mergeCell ref="J40:N40"/>
    <mergeCell ref="J41:N41"/>
    <mergeCell ref="J42:N42"/>
    <mergeCell ref="R39:V39"/>
    <mergeCell ref="J43:M43"/>
    <mergeCell ref="Z39:AD39"/>
    <mergeCell ref="AB41:AD41"/>
    <mergeCell ref="Z41:AA41"/>
    <mergeCell ref="Z42:AC42"/>
    <mergeCell ref="J38:L38"/>
    <mergeCell ref="Y49:AF49"/>
    <mergeCell ref="I52:J52"/>
    <mergeCell ref="Q52:R52"/>
    <mergeCell ref="A53:B53"/>
    <mergeCell ref="A51:B51"/>
    <mergeCell ref="A49:H49"/>
    <mergeCell ref="A37:A38"/>
    <mergeCell ref="A39:A40"/>
    <mergeCell ref="A41:A42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E52:F52"/>
    <mergeCell ref="E53:F53"/>
    <mergeCell ref="E51:F51"/>
    <mergeCell ref="A52:B52"/>
    <mergeCell ref="C3:F3"/>
    <mergeCell ref="A11:B11"/>
    <mergeCell ref="A12:B12"/>
    <mergeCell ref="A13:B13"/>
    <mergeCell ref="A9:B9"/>
    <mergeCell ref="A10:B10"/>
    <mergeCell ref="G5:H5"/>
    <mergeCell ref="E5:F5"/>
    <mergeCell ref="AP29:AT29"/>
    <mergeCell ref="AO17:AP17"/>
    <mergeCell ref="AO18:AP18"/>
    <mergeCell ref="AO19:AP19"/>
    <mergeCell ref="J3:N3"/>
    <mergeCell ref="AH27:AL28"/>
    <mergeCell ref="AQ7:AR7"/>
    <mergeCell ref="AE3:AF3"/>
    <mergeCell ref="I20:J20"/>
    <mergeCell ref="I21:J21"/>
    <mergeCell ref="I22:J22"/>
    <mergeCell ref="I23:J23"/>
    <mergeCell ref="I24:J24"/>
    <mergeCell ref="I25:J25"/>
    <mergeCell ref="Q14:R14"/>
    <mergeCell ref="Q15:R15"/>
    <mergeCell ref="Q49:X49"/>
    <mergeCell ref="I51:J51"/>
    <mergeCell ref="J33:N33"/>
    <mergeCell ref="I47:K47"/>
    <mergeCell ref="I27:J27"/>
    <mergeCell ref="A1:H1"/>
    <mergeCell ref="I1:P1"/>
    <mergeCell ref="O3:P3"/>
    <mergeCell ref="I2:P2"/>
    <mergeCell ref="I28:J28"/>
    <mergeCell ref="A2:H2"/>
    <mergeCell ref="G3:H3"/>
    <mergeCell ref="A8:B8"/>
    <mergeCell ref="A31:B31"/>
    <mergeCell ref="A32:B32"/>
    <mergeCell ref="A24:B24"/>
    <mergeCell ref="A25:B25"/>
    <mergeCell ref="A26:B26"/>
    <mergeCell ref="A27:B27"/>
    <mergeCell ref="A28:B28"/>
    <mergeCell ref="A3:B3"/>
    <mergeCell ref="A15:B15"/>
    <mergeCell ref="C15:F15"/>
    <mergeCell ref="G15:H15"/>
    <mergeCell ref="B36:F36"/>
    <mergeCell ref="A29:B29"/>
    <mergeCell ref="J44:N44"/>
    <mergeCell ref="J34:M34"/>
    <mergeCell ref="J35:M35"/>
    <mergeCell ref="J36:M36"/>
    <mergeCell ref="J37:L37"/>
    <mergeCell ref="J39:L39"/>
    <mergeCell ref="M5:N5"/>
    <mergeCell ref="E25:F25"/>
    <mergeCell ref="E28:F28"/>
    <mergeCell ref="A20:B20"/>
    <mergeCell ref="A22:B22"/>
    <mergeCell ref="E22:F22"/>
    <mergeCell ref="A33:B33"/>
    <mergeCell ref="J32:N32"/>
    <mergeCell ref="O5:P5"/>
    <mergeCell ref="I8:J8"/>
    <mergeCell ref="I9:J9"/>
    <mergeCell ref="I10:J10"/>
    <mergeCell ref="I11:J11"/>
    <mergeCell ref="Y14:Z14"/>
    <mergeCell ref="I29:J29"/>
    <mergeCell ref="Y53:Z53"/>
    <mergeCell ref="I49:P49"/>
    <mergeCell ref="I53:J53"/>
    <mergeCell ref="Y51:Z51"/>
    <mergeCell ref="Q51:R51"/>
    <mergeCell ref="Y8:Z8"/>
    <mergeCell ref="Y9:Z9"/>
    <mergeCell ref="Y22:Z22"/>
    <mergeCell ref="R29:V29"/>
    <mergeCell ref="Z26:AD26"/>
    <mergeCell ref="Y10:Z10"/>
    <mergeCell ref="Y11:Z11"/>
    <mergeCell ref="Q53:R53"/>
    <mergeCell ref="Q8:R8"/>
    <mergeCell ref="Q9:R9"/>
    <mergeCell ref="Q24:R24"/>
    <mergeCell ref="Q42:S42"/>
    <mergeCell ref="Q1:X1"/>
    <mergeCell ref="Q2:X2"/>
    <mergeCell ref="R3:V3"/>
    <mergeCell ref="U5:V5"/>
    <mergeCell ref="W5:X5"/>
    <mergeCell ref="W3:X3"/>
    <mergeCell ref="Y1:AF1"/>
    <mergeCell ref="Y2:AF2"/>
    <mergeCell ref="Z3:AD3"/>
    <mergeCell ref="AC5:AD5"/>
    <mergeCell ref="AE5:AF5"/>
    <mergeCell ref="R34:V34"/>
    <mergeCell ref="R35:V35"/>
    <mergeCell ref="R36:V36"/>
    <mergeCell ref="R37:V37"/>
    <mergeCell ref="R38:V38"/>
    <mergeCell ref="Z28:AC28"/>
    <mergeCell ref="Z29:AC29"/>
    <mergeCell ref="Z30:AB30"/>
    <mergeCell ref="BC14:BD14"/>
    <mergeCell ref="AW29:AX29"/>
    <mergeCell ref="AX37:AY37"/>
    <mergeCell ref="AP30:AR30"/>
    <mergeCell ref="AX38:AZ38"/>
    <mergeCell ref="R30:V30"/>
    <mergeCell ref="R31:V31"/>
    <mergeCell ref="R32:V32"/>
    <mergeCell ref="R33:V33"/>
    <mergeCell ref="Q25:R25"/>
    <mergeCell ref="Q26:R26"/>
    <mergeCell ref="Y15:Z15"/>
    <mergeCell ref="Y16:Z16"/>
    <mergeCell ref="Y17:Z17"/>
    <mergeCell ref="Y18:Z18"/>
    <mergeCell ref="Y19:Z19"/>
    <mergeCell ref="AU3:AV3"/>
    <mergeCell ref="AO3:AP3"/>
    <mergeCell ref="AW1:BD1"/>
    <mergeCell ref="AW2:BD2"/>
    <mergeCell ref="AW3:AX3"/>
    <mergeCell ref="AY3:BB3"/>
    <mergeCell ref="BC3:BD3"/>
    <mergeCell ref="BA5:BB5"/>
    <mergeCell ref="BC5:BD5"/>
    <mergeCell ref="AW8:AX8"/>
    <mergeCell ref="AW9:AX9"/>
    <mergeCell ref="BA55:BB55"/>
    <mergeCell ref="AW51:AX51"/>
    <mergeCell ref="AW52:AX52"/>
    <mergeCell ref="AW53:AX53"/>
    <mergeCell ref="BA24:BB24"/>
    <mergeCell ref="BA25:BB25"/>
    <mergeCell ref="BA26:BB26"/>
    <mergeCell ref="BA29:BB29"/>
    <mergeCell ref="AX41:BA41"/>
    <mergeCell ref="AX42:BA42"/>
    <mergeCell ref="AW49:BD49"/>
    <mergeCell ref="BA51:BB51"/>
    <mergeCell ref="AW32:AX32"/>
    <mergeCell ref="AW33:AX33"/>
    <mergeCell ref="AX36:BB36"/>
    <mergeCell ref="AX39:BA39"/>
    <mergeCell ref="AX40:BA40"/>
    <mergeCell ref="AW24:AX24"/>
    <mergeCell ref="AW25:AX25"/>
    <mergeCell ref="BA28:BB28"/>
    <mergeCell ref="AW26:AX26"/>
    <mergeCell ref="AW27:AX27"/>
    <mergeCell ref="AW28:AX28"/>
    <mergeCell ref="BA52:BB52"/>
    <mergeCell ref="BA53:BB53"/>
    <mergeCell ref="BA54:BB54"/>
    <mergeCell ref="AW31:AX31"/>
    <mergeCell ref="AP36:AR36"/>
    <mergeCell ref="AO53:AP53"/>
    <mergeCell ref="AO52:AP52"/>
    <mergeCell ref="AO51:AP51"/>
    <mergeCell ref="AP45:AS45"/>
    <mergeCell ref="AP43:AS43"/>
    <mergeCell ref="AP44:AS44"/>
    <mergeCell ref="AO49:AV49"/>
    <mergeCell ref="AP35:AR35"/>
    <mergeCell ref="AP37:AR37"/>
    <mergeCell ref="AP38:AR38"/>
    <mergeCell ref="AW10:AX10"/>
    <mergeCell ref="AW11:AX11"/>
    <mergeCell ref="AW12:AX12"/>
    <mergeCell ref="AW13:AX13"/>
    <mergeCell ref="AW14:AX14"/>
    <mergeCell ref="AY14:BB14"/>
    <mergeCell ref="AW22:AX22"/>
    <mergeCell ref="BA22:BB22"/>
    <mergeCell ref="AW16:AX16"/>
    <mergeCell ref="AW17:AX17"/>
    <mergeCell ref="AW18:AX18"/>
    <mergeCell ref="AW19:AX19"/>
    <mergeCell ref="BA16:BB16"/>
    <mergeCell ref="BA17:BB17"/>
    <mergeCell ref="BA19:BB19"/>
    <mergeCell ref="BA18:BB18"/>
  </mergeCells>
  <dataValidations count="15">
    <dataValidation type="list" allowBlank="1" showInputMessage="1" showErrorMessage="1" sqref="F37:F38 F41:F42">
      <formula1>"0,1,2"</formula1>
    </dataValidation>
    <dataValidation type="list" allowBlank="1" showInputMessage="1" showErrorMessage="1" sqref="F43">
      <formula1>"0,1,2,3,4"</formula1>
    </dataValidation>
    <dataValidation type="list" allowBlank="1" showInputMessage="1" showErrorMessage="1" sqref="AS5">
      <formula1>"Rural,Urban"</formula1>
    </dataValidation>
    <dataValidation type="whole" allowBlank="1" showInputMessage="1" showErrorMessage="1" sqref="AS7">
      <formula1>2</formula1>
      <formula2>6</formula2>
    </dataValidation>
    <dataValidation type="list" allowBlank="1" showInputMessage="1" showErrorMessage="1" sqref="AS9">
      <formula1>"Signalized, Unsignalized"</formula1>
    </dataValidation>
    <dataValidation type="list" allowBlank="1" showInputMessage="1" showErrorMessage="1" sqref="AT30">
      <formula1>"Merge/Freeflow,Signal/Stop/Yield"</formula1>
    </dataValidation>
    <dataValidation type="list" allowBlank="1" showInputMessage="1" showErrorMessage="1" sqref="AT31:AT34 AT44 BB40:BB41">
      <formula1>"Present, Not Present"</formula1>
    </dataValidation>
    <dataValidation type="list" allowBlank="1" showInputMessage="1" showErrorMessage="1" sqref="AT39:AT40">
      <formula1>"Protected Only, Permissive"</formula1>
    </dataValidation>
    <dataValidation type="list" allowBlank="1" showInputMessage="1" showErrorMessage="1" sqref="AT41:AT43">
      <formula1>"Channelized, Not Channelized"</formula1>
    </dataValidation>
    <dataValidation type="list" allowBlank="1" showInputMessage="1" showErrorMessage="1" sqref="N39 BJ39">
      <formula1>"Lane Add, Lane Drop, Not Present"</formula1>
    </dataValidation>
    <dataValidation type="list" allowBlank="1" showInputMessage="1" showErrorMessage="1" sqref="BC6:BD6">
      <formula1>"30 MPH or Lower, Greater Than 30 MPH"</formula1>
    </dataValidation>
    <dataValidation type="list" allowBlank="1" showInputMessage="1" showErrorMessage="1" sqref="BA37">
      <formula1>"None, Parallel, Angle"</formula1>
    </dataValidation>
    <dataValidation type="list" allowBlank="1" showInputMessage="1" showErrorMessage="1" sqref="BB37">
      <formula1>"Residential/Other, Commercial/Industrial/Institutional"</formula1>
    </dataValidation>
    <dataValidation type="list" allowBlank="1" showInputMessage="1" showErrorMessage="1" sqref="BB38">
      <formula1>"2,5,10,15,20,25,30"</formula1>
    </dataValidation>
    <dataValidation type="list" allowBlank="1" showInputMessage="1" showErrorMessage="1" sqref="T6">
      <formula1>"Right, Left"</formula1>
    </dataValidation>
  </dataValidations>
  <pageMargins left="0.7" right="0.7" top="0.75" bottom="0.75" header="0.3" footer="0.3"/>
  <pageSetup paperSize="3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Reference!$A$387:$A$389</xm:f>
          </x14:formula1>
          <xm:sqref>BK5:BL5</xm:sqref>
        </x14:dataValidation>
        <x14:dataValidation type="list" allowBlank="1" showInputMessage="1" showErrorMessage="1">
          <x14:formula1>
            <xm:f>Reference!$A$66:$A$67</xm:f>
          </x14:formula1>
          <xm:sqref>F45</xm:sqref>
        </x14:dataValidation>
        <x14:dataValidation type="list" allowBlank="1" showInputMessage="1" showErrorMessage="1">
          <x14:formula1>
            <xm:f>Reference!$A$249:$A$252</xm:f>
          </x14:formula1>
          <xm:sqref>AE5:AF5</xm:sqref>
        </x14:dataValidation>
        <x14:dataValidation type="list" allowBlank="1" showInputMessage="1" showErrorMessage="1">
          <x14:formula1>
            <xm:f>Reference!$A$142:$A$154</xm:f>
          </x14:formula1>
          <xm:sqref>BB39</xm:sqref>
        </x14:dataValidation>
        <x14:dataValidation type="list" allowBlank="1" showInputMessage="1" showErrorMessage="1">
          <x14:formula1>
            <xm:f>Reference!$A$81:$A$85</xm:f>
          </x14:formula1>
          <xm:sqref>BC5:BD5</xm:sqref>
        </x14:dataValidation>
        <x14:dataValidation type="list" allowBlank="1" showInputMessage="1" showErrorMessage="1">
          <x14:formula1>
            <xm:f>Reference!$A$66:$A$67</xm:f>
          </x14:formula1>
          <xm:sqref>F44</xm:sqref>
        </x14:dataValidation>
        <x14:dataValidation type="list" allowBlank="1" showInputMessage="1" showErrorMessage="1">
          <x14:formula1>
            <xm:f>Reference!$A$197:$A$204</xm:f>
          </x14:formula1>
          <xm:sqref>W5:X5</xm:sqref>
        </x14:dataValidation>
        <x14:dataValidation type="list" allowBlank="1" showInputMessage="1" showErrorMessage="1">
          <x14:formula1>
            <xm:f>Reference!$A$170:$A$175</xm:f>
          </x14:formula1>
          <xm:sqref>O5:P5</xm:sqref>
        </x14:dataValidation>
        <x14:dataValidation type="list" allowBlank="1" showInputMessage="1" showErrorMessage="1">
          <x14:formula1>
            <xm:f>Reference!$A$4:$A$7</xm:f>
          </x14:formula1>
          <xm:sqref>G5:H5</xm:sqref>
        </x14:dataValidation>
        <x14:dataValidation type="list" allowBlank="1" showInputMessage="1" showErrorMessage="1">
          <x14:formula1>
            <xm:f>Reference!$A$269:$A$275</xm:f>
          </x14:formula1>
          <xm:sqref>AU5:AV5</xm:sqref>
        </x14:dataValidation>
        <x14:dataValidation type="list" allowBlank="1" showInputMessage="1" showErrorMessage="1">
          <x14:formula1>
            <xm:f>Reference!$A$53:$A$55</xm:f>
          </x14:formula1>
          <xm:sqref>F39:F40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P215"/>
  <sheetViews>
    <sheetView showGridLines="0" topLeftCell="A35" zoomScale="70" zoomScaleNormal="70" workbookViewId="0">
      <selection activeCell="A62" sqref="A62:H118"/>
    </sheetView>
  </sheetViews>
  <sheetFormatPr defaultColWidth="15.7109375" defaultRowHeight="15" x14ac:dyDescent="0.25"/>
  <cols>
    <col min="4" max="4" width="18.140625" bestFit="1" customWidth="1"/>
    <col min="5" max="5" width="21.42578125" bestFit="1" customWidth="1"/>
    <col min="6" max="6" width="25.7109375" bestFit="1" customWidth="1"/>
    <col min="7" max="7" width="34.140625" bestFit="1" customWidth="1"/>
    <col min="8" max="8" width="18.28515625" bestFit="1" customWidth="1"/>
    <col min="11" max="14" width="15.7109375" customWidth="1"/>
    <col min="37" max="37" width="15.7109375" customWidth="1"/>
    <col min="141" max="142" width="15.7109375" customWidth="1"/>
    <col min="149" max="149" width="15.7109375" customWidth="1"/>
    <col min="173" max="173" width="15.7109375" customWidth="1"/>
    <col min="181" max="181" width="15.7109375" customWidth="1"/>
    <col min="201" max="208" width="15.7109375" style="90"/>
  </cols>
  <sheetData>
    <row r="1" spans="1:224" ht="15.75" x14ac:dyDescent="0.25">
      <c r="A1" s="207" t="s">
        <v>365</v>
      </c>
      <c r="B1" s="207"/>
      <c r="C1" s="207"/>
      <c r="D1" s="207"/>
      <c r="E1" s="207"/>
      <c r="F1" s="207"/>
      <c r="G1" s="207"/>
      <c r="H1" s="208"/>
      <c r="I1" s="207" t="s">
        <v>366</v>
      </c>
      <c r="J1" s="207"/>
      <c r="K1" s="207"/>
      <c r="L1" s="207"/>
      <c r="M1" s="207"/>
      <c r="N1" s="207"/>
      <c r="O1" s="207"/>
      <c r="P1" s="208"/>
      <c r="Q1" t="s">
        <v>367</v>
      </c>
      <c r="Y1" s="206" t="s">
        <v>368</v>
      </c>
      <c r="Z1" s="207"/>
      <c r="AA1" s="207"/>
      <c r="AB1" s="207"/>
      <c r="AC1" s="207"/>
      <c r="AD1" s="207"/>
      <c r="AE1" s="207"/>
      <c r="AF1" s="208"/>
      <c r="AG1" s="206" t="s">
        <v>369</v>
      </c>
      <c r="AH1" s="207"/>
      <c r="AI1" s="207"/>
      <c r="AJ1" s="207"/>
      <c r="AK1" s="207"/>
      <c r="AL1" s="207"/>
      <c r="AM1" s="207"/>
      <c r="AN1" s="208"/>
      <c r="AO1" s="206" t="s">
        <v>370</v>
      </c>
      <c r="AP1" s="207"/>
      <c r="AQ1" s="207"/>
      <c r="AR1" s="207"/>
      <c r="AS1" s="207"/>
      <c r="AT1" s="207"/>
      <c r="AU1" s="207"/>
      <c r="AV1" s="208"/>
      <c r="AW1" s="206" t="s">
        <v>371</v>
      </c>
      <c r="AX1" s="207"/>
      <c r="AY1" s="207"/>
      <c r="AZ1" s="207"/>
      <c r="BA1" s="207"/>
      <c r="BB1" s="207"/>
      <c r="BC1" s="207"/>
      <c r="BD1" s="208"/>
      <c r="BE1" s="206" t="s">
        <v>372</v>
      </c>
      <c r="BF1" s="207"/>
      <c r="BG1" s="207"/>
      <c r="BH1" s="207"/>
      <c r="BI1" s="207"/>
      <c r="BJ1" s="207"/>
      <c r="BK1" s="207"/>
      <c r="BL1" s="208"/>
      <c r="BM1" s="206" t="s">
        <v>373</v>
      </c>
      <c r="BN1" s="207"/>
      <c r="BO1" s="207"/>
      <c r="BP1" s="207"/>
      <c r="BQ1" s="207"/>
      <c r="BR1" s="207"/>
      <c r="BS1" s="207"/>
      <c r="BT1" s="208"/>
      <c r="DA1" s="206" t="s">
        <v>374</v>
      </c>
      <c r="DB1" s="207"/>
      <c r="DC1" s="207"/>
      <c r="DD1" s="207"/>
      <c r="DE1" s="207"/>
      <c r="DF1" s="207"/>
      <c r="DG1" s="207"/>
      <c r="DH1" s="208"/>
      <c r="DI1" s="206" t="s">
        <v>375</v>
      </c>
      <c r="DJ1" s="207"/>
      <c r="DK1" s="207"/>
      <c r="DL1" s="207"/>
      <c r="DM1" s="207"/>
      <c r="DN1" s="207"/>
      <c r="DO1" s="207"/>
      <c r="DP1" s="208"/>
      <c r="DQ1" s="206" t="s">
        <v>376</v>
      </c>
      <c r="DR1" s="207"/>
      <c r="DS1" s="207"/>
      <c r="DT1" s="207"/>
      <c r="DU1" s="207"/>
      <c r="DV1" s="207"/>
      <c r="DW1" s="207"/>
      <c r="DX1" s="208"/>
      <c r="DY1" s="206" t="s">
        <v>377</v>
      </c>
      <c r="DZ1" s="207"/>
      <c r="EA1" s="207"/>
      <c r="EB1" s="207"/>
      <c r="EC1" s="207"/>
      <c r="ED1" s="207"/>
      <c r="EE1" s="207"/>
      <c r="EF1" s="208"/>
      <c r="EG1" s="206" t="s">
        <v>378</v>
      </c>
      <c r="EH1" s="207"/>
      <c r="EI1" s="207"/>
      <c r="EJ1" s="207"/>
      <c r="EK1" s="207"/>
      <c r="EL1" s="207"/>
      <c r="EM1" s="207"/>
      <c r="EN1" s="208"/>
      <c r="EO1" s="206" t="s">
        <v>379</v>
      </c>
      <c r="EP1" s="207"/>
      <c r="EQ1" s="207"/>
      <c r="ER1" s="207"/>
      <c r="ES1" s="207"/>
      <c r="ET1" s="207"/>
      <c r="EU1" s="207"/>
      <c r="EV1" s="208"/>
      <c r="FM1" s="206" t="s">
        <v>380</v>
      </c>
      <c r="FN1" s="207"/>
      <c r="FO1" s="207"/>
      <c r="FP1" s="207"/>
      <c r="FQ1" s="207"/>
      <c r="FR1" s="207"/>
      <c r="FS1" s="207"/>
      <c r="FT1" s="208"/>
      <c r="FU1" s="206" t="s">
        <v>381</v>
      </c>
      <c r="FV1" s="207"/>
      <c r="FW1" s="207"/>
      <c r="FX1" s="207"/>
      <c r="FY1" s="207"/>
      <c r="FZ1" s="207"/>
      <c r="GA1" s="207"/>
      <c r="GB1" s="208"/>
      <c r="GC1" s="206" t="s">
        <v>382</v>
      </c>
      <c r="GD1" s="207"/>
      <c r="GE1" s="207"/>
      <c r="GF1" s="207"/>
      <c r="GG1" s="207"/>
      <c r="GH1" s="207"/>
      <c r="GI1" s="207"/>
      <c r="GJ1" s="208"/>
      <c r="GK1" s="206" t="s">
        <v>383</v>
      </c>
      <c r="GL1" s="207"/>
      <c r="GM1" s="207"/>
      <c r="GN1" s="207"/>
      <c r="GO1" s="207"/>
      <c r="GP1" s="207"/>
      <c r="GQ1" s="207"/>
      <c r="GR1" s="208"/>
      <c r="GS1" s="206" t="s">
        <v>384</v>
      </c>
      <c r="GT1" s="207"/>
      <c r="GU1" s="207"/>
      <c r="GV1" s="207"/>
      <c r="GW1" s="207"/>
      <c r="GX1" s="207"/>
      <c r="GY1" s="207"/>
      <c r="GZ1" s="208"/>
      <c r="HA1" s="206" t="s">
        <v>385</v>
      </c>
      <c r="HB1" s="207"/>
      <c r="HC1" s="207"/>
      <c r="HD1" s="207"/>
      <c r="HE1" s="207"/>
      <c r="HF1" s="207"/>
      <c r="HG1" s="207"/>
      <c r="HH1" s="208"/>
      <c r="HI1" s="206" t="s">
        <v>386</v>
      </c>
      <c r="HJ1" s="207"/>
      <c r="HK1" s="207"/>
      <c r="HL1" s="207"/>
      <c r="HM1" s="207"/>
      <c r="HN1" s="207"/>
      <c r="HO1" s="207"/>
      <c r="HP1" s="208"/>
    </row>
    <row r="2" spans="1:224" ht="15.75" x14ac:dyDescent="0.25">
      <c r="A2" s="210" t="s">
        <v>361</v>
      </c>
      <c r="B2" s="210"/>
      <c r="C2" s="210"/>
      <c r="D2" s="210"/>
      <c r="E2" s="210"/>
      <c r="F2" s="210"/>
      <c r="G2" s="210"/>
      <c r="H2" s="211"/>
      <c r="I2" s="210" t="s">
        <v>361</v>
      </c>
      <c r="J2" s="210"/>
      <c r="K2" s="210"/>
      <c r="L2" s="210"/>
      <c r="M2" s="210"/>
      <c r="N2" s="210"/>
      <c r="O2" s="210"/>
      <c r="P2" s="211"/>
      <c r="Y2" s="209" t="s">
        <v>361</v>
      </c>
      <c r="Z2" s="210"/>
      <c r="AA2" s="210"/>
      <c r="AB2" s="210"/>
      <c r="AC2" s="210"/>
      <c r="AD2" s="210"/>
      <c r="AE2" s="210"/>
      <c r="AF2" s="211"/>
      <c r="AG2" s="209" t="s">
        <v>361</v>
      </c>
      <c r="AH2" s="210"/>
      <c r="AI2" s="210"/>
      <c r="AJ2" s="210"/>
      <c r="AK2" s="210"/>
      <c r="AL2" s="210"/>
      <c r="AM2" s="210"/>
      <c r="AN2" s="211"/>
      <c r="AO2" s="209" t="s">
        <v>360</v>
      </c>
      <c r="AP2" s="210"/>
      <c r="AQ2" s="210"/>
      <c r="AR2" s="210"/>
      <c r="AS2" s="210"/>
      <c r="AT2" s="210"/>
      <c r="AU2" s="210"/>
      <c r="AV2" s="211"/>
      <c r="AW2" s="209" t="s">
        <v>360</v>
      </c>
      <c r="AX2" s="210"/>
      <c r="AY2" s="210"/>
      <c r="AZ2" s="210"/>
      <c r="BA2" s="210"/>
      <c r="BB2" s="210"/>
      <c r="BC2" s="210"/>
      <c r="BD2" s="211"/>
      <c r="BE2" s="209" t="s">
        <v>360</v>
      </c>
      <c r="BF2" s="210"/>
      <c r="BG2" s="210"/>
      <c r="BH2" s="210"/>
      <c r="BI2" s="210"/>
      <c r="BJ2" s="210"/>
      <c r="BK2" s="210"/>
      <c r="BL2" s="211"/>
      <c r="BM2" s="209" t="s">
        <v>360</v>
      </c>
      <c r="BN2" s="210"/>
      <c r="BO2" s="210"/>
      <c r="BP2" s="210"/>
      <c r="BQ2" s="210"/>
      <c r="BR2" s="210"/>
      <c r="BS2" s="210"/>
      <c r="BT2" s="211"/>
      <c r="DA2" s="209" t="s">
        <v>360</v>
      </c>
      <c r="DB2" s="210"/>
      <c r="DC2" s="210"/>
      <c r="DD2" s="210"/>
      <c r="DE2" s="210"/>
      <c r="DF2" s="210"/>
      <c r="DG2" s="210"/>
      <c r="DH2" s="211"/>
      <c r="DI2" s="209" t="s">
        <v>360</v>
      </c>
      <c r="DJ2" s="210"/>
      <c r="DK2" s="210"/>
      <c r="DL2" s="210"/>
      <c r="DM2" s="210"/>
      <c r="DN2" s="210"/>
      <c r="DO2" s="210"/>
      <c r="DP2" s="211"/>
      <c r="DQ2" s="209" t="s">
        <v>360</v>
      </c>
      <c r="DR2" s="210"/>
      <c r="DS2" s="210"/>
      <c r="DT2" s="210"/>
      <c r="DU2" s="210"/>
      <c r="DV2" s="210"/>
      <c r="DW2" s="210"/>
      <c r="DX2" s="211"/>
      <c r="DY2" s="209" t="s">
        <v>360</v>
      </c>
      <c r="DZ2" s="210"/>
      <c r="EA2" s="210"/>
      <c r="EB2" s="210"/>
      <c r="EC2" s="210"/>
      <c r="ED2" s="210"/>
      <c r="EE2" s="210"/>
      <c r="EF2" s="211"/>
      <c r="EG2" s="209" t="s">
        <v>134</v>
      </c>
      <c r="EH2" s="210"/>
      <c r="EI2" s="210"/>
      <c r="EJ2" s="210"/>
      <c r="EK2" s="210"/>
      <c r="EL2" s="210"/>
      <c r="EM2" s="210"/>
      <c r="EN2" s="211"/>
      <c r="EO2" s="209" t="s">
        <v>134</v>
      </c>
      <c r="EP2" s="210"/>
      <c r="EQ2" s="210"/>
      <c r="ER2" s="210"/>
      <c r="ES2" s="210"/>
      <c r="ET2" s="210"/>
      <c r="EU2" s="210"/>
      <c r="EV2" s="211"/>
      <c r="FM2" s="209" t="s">
        <v>134</v>
      </c>
      <c r="FN2" s="210"/>
      <c r="FO2" s="210"/>
      <c r="FP2" s="210"/>
      <c r="FQ2" s="210"/>
      <c r="FR2" s="210"/>
      <c r="FS2" s="210"/>
      <c r="FT2" s="211"/>
      <c r="FU2" s="209" t="s">
        <v>134</v>
      </c>
      <c r="FV2" s="210"/>
      <c r="FW2" s="210"/>
      <c r="FX2" s="210"/>
      <c r="FY2" s="210"/>
      <c r="FZ2" s="210"/>
      <c r="GA2" s="210"/>
      <c r="GB2" s="211"/>
      <c r="GC2" s="209" t="s">
        <v>216</v>
      </c>
      <c r="GD2" s="210"/>
      <c r="GE2" s="210"/>
      <c r="GF2" s="210"/>
      <c r="GG2" s="210"/>
      <c r="GH2" s="210"/>
      <c r="GI2" s="210"/>
      <c r="GJ2" s="211"/>
      <c r="GK2" s="209" t="s">
        <v>216</v>
      </c>
      <c r="GL2" s="210"/>
      <c r="GM2" s="210"/>
      <c r="GN2" s="210"/>
      <c r="GO2" s="210"/>
      <c r="GP2" s="210"/>
      <c r="GQ2" s="210"/>
      <c r="GR2" s="211"/>
      <c r="GS2" s="209" t="s">
        <v>216</v>
      </c>
      <c r="GT2" s="210"/>
      <c r="GU2" s="210"/>
      <c r="GV2" s="210"/>
      <c r="GW2" s="210"/>
      <c r="GX2" s="210"/>
      <c r="GY2" s="210"/>
      <c r="GZ2" s="211"/>
      <c r="HA2" s="209" t="s">
        <v>216</v>
      </c>
      <c r="HB2" s="210"/>
      <c r="HC2" s="210"/>
      <c r="HD2" s="210"/>
      <c r="HE2" s="210"/>
      <c r="HF2" s="210"/>
      <c r="HG2" s="210"/>
      <c r="HH2" s="211"/>
      <c r="HI2" s="209" t="s">
        <v>216</v>
      </c>
      <c r="HJ2" s="210"/>
      <c r="HK2" s="210"/>
      <c r="HL2" s="210"/>
      <c r="HM2" s="210"/>
      <c r="HN2" s="210"/>
      <c r="HO2" s="210"/>
      <c r="HP2" s="211"/>
    </row>
    <row r="3" spans="1:224" x14ac:dyDescent="0.25">
      <c r="A3" s="42" t="s">
        <v>0</v>
      </c>
      <c r="B3" s="190" t="s">
        <v>64</v>
      </c>
      <c r="C3" s="190"/>
      <c r="D3" s="190"/>
      <c r="E3" s="190"/>
      <c r="F3" s="190"/>
      <c r="G3" s="190" t="s">
        <v>415</v>
      </c>
      <c r="H3" s="205"/>
      <c r="I3" s="42" t="s">
        <v>0</v>
      </c>
      <c r="J3" s="190" t="s">
        <v>64</v>
      </c>
      <c r="K3" s="190"/>
      <c r="L3" s="190"/>
      <c r="M3" s="190"/>
      <c r="N3" s="190"/>
      <c r="O3" s="190" t="s">
        <v>415</v>
      </c>
      <c r="P3" s="205"/>
      <c r="Y3" s="23" t="s">
        <v>0</v>
      </c>
      <c r="Z3" s="190" t="s">
        <v>64</v>
      </c>
      <c r="AA3" s="190"/>
      <c r="AB3" s="190"/>
      <c r="AC3" s="190"/>
      <c r="AD3" s="190"/>
      <c r="AE3" s="190" t="s">
        <v>415</v>
      </c>
      <c r="AF3" s="205"/>
      <c r="AG3" s="23" t="s">
        <v>0</v>
      </c>
      <c r="AH3" s="190" t="s">
        <v>64</v>
      </c>
      <c r="AI3" s="190"/>
      <c r="AJ3" s="190"/>
      <c r="AK3" s="190"/>
      <c r="AL3" s="190"/>
      <c r="AM3" s="190" t="s">
        <v>415</v>
      </c>
      <c r="AN3" s="205"/>
      <c r="AO3" s="23" t="s">
        <v>0</v>
      </c>
      <c r="AP3" s="190" t="s">
        <v>46</v>
      </c>
      <c r="AQ3" s="190"/>
      <c r="AR3" s="190"/>
      <c r="AS3" s="190"/>
      <c r="AT3" s="190"/>
      <c r="AU3" s="190" t="s">
        <v>56</v>
      </c>
      <c r="AV3" s="205"/>
      <c r="AW3" s="23" t="s">
        <v>0</v>
      </c>
      <c r="AX3" s="190" t="s">
        <v>46</v>
      </c>
      <c r="AY3" s="190"/>
      <c r="AZ3" s="190"/>
      <c r="BA3" s="190"/>
      <c r="BB3" s="190"/>
      <c r="BC3" s="190" t="s">
        <v>56</v>
      </c>
      <c r="BD3" s="205"/>
      <c r="BE3" s="23" t="s">
        <v>0</v>
      </c>
      <c r="BF3" s="190" t="s">
        <v>46</v>
      </c>
      <c r="BG3" s="190"/>
      <c r="BH3" s="190"/>
      <c r="BI3" s="190"/>
      <c r="BJ3" s="190"/>
      <c r="BK3" s="190" t="s">
        <v>56</v>
      </c>
      <c r="BL3" s="205"/>
      <c r="BM3" s="23" t="s">
        <v>0</v>
      </c>
      <c r="BN3" s="190" t="s">
        <v>46</v>
      </c>
      <c r="BO3" s="190"/>
      <c r="BP3" s="190"/>
      <c r="BQ3" s="190"/>
      <c r="BR3" s="190"/>
      <c r="BS3" s="190" t="s">
        <v>56</v>
      </c>
      <c r="BT3" s="205"/>
      <c r="DA3" s="23" t="s">
        <v>0</v>
      </c>
      <c r="DB3" s="190" t="s">
        <v>46</v>
      </c>
      <c r="DC3" s="190"/>
      <c r="DD3" s="190"/>
      <c r="DE3" s="190"/>
      <c r="DF3" s="190"/>
      <c r="DG3" s="190" t="s">
        <v>56</v>
      </c>
      <c r="DH3" s="205"/>
      <c r="DI3" s="23" t="s">
        <v>0</v>
      </c>
      <c r="DJ3" s="190" t="s">
        <v>46</v>
      </c>
      <c r="DK3" s="190"/>
      <c r="DL3" s="190"/>
      <c r="DM3" s="190"/>
      <c r="DN3" s="190"/>
      <c r="DO3" s="190" t="s">
        <v>56</v>
      </c>
      <c r="DP3" s="205"/>
      <c r="DQ3" s="23" t="s">
        <v>0</v>
      </c>
      <c r="DR3" s="190" t="s">
        <v>46</v>
      </c>
      <c r="DS3" s="190"/>
      <c r="DT3" s="190"/>
      <c r="DU3" s="190"/>
      <c r="DV3" s="190"/>
      <c r="DW3" s="190" t="s">
        <v>56</v>
      </c>
      <c r="DX3" s="205"/>
      <c r="DY3" s="23" t="s">
        <v>0</v>
      </c>
      <c r="DZ3" s="190" t="s">
        <v>46</v>
      </c>
      <c r="EA3" s="190"/>
      <c r="EB3" s="190"/>
      <c r="EC3" s="190"/>
      <c r="ED3" s="190"/>
      <c r="EE3" s="190" t="s">
        <v>56</v>
      </c>
      <c r="EF3" s="205"/>
      <c r="EG3" s="195" t="s">
        <v>0</v>
      </c>
      <c r="EH3" s="194"/>
      <c r="EI3" s="190" t="s">
        <v>135</v>
      </c>
      <c r="EJ3" s="190"/>
      <c r="EK3" s="190"/>
      <c r="EL3" s="190"/>
      <c r="EM3" s="190" t="s">
        <v>357</v>
      </c>
      <c r="EN3" s="205"/>
      <c r="EO3" s="195" t="s">
        <v>0</v>
      </c>
      <c r="EP3" s="194"/>
      <c r="EQ3" s="190" t="s">
        <v>135</v>
      </c>
      <c r="ER3" s="190"/>
      <c r="ES3" s="190"/>
      <c r="ET3" s="190"/>
      <c r="EU3" s="190" t="s">
        <v>357</v>
      </c>
      <c r="EV3" s="205"/>
      <c r="FM3" s="195" t="s">
        <v>0</v>
      </c>
      <c r="FN3" s="194"/>
      <c r="FO3" s="190" t="s">
        <v>135</v>
      </c>
      <c r="FP3" s="190"/>
      <c r="FQ3" s="190"/>
      <c r="FR3" s="190"/>
      <c r="FS3" s="190" t="s">
        <v>357</v>
      </c>
      <c r="FT3" s="205"/>
      <c r="FU3" s="195" t="s">
        <v>0</v>
      </c>
      <c r="FV3" s="194"/>
      <c r="FW3" s="190" t="s">
        <v>135</v>
      </c>
      <c r="FX3" s="190"/>
      <c r="FY3" s="190"/>
      <c r="FZ3" s="190"/>
      <c r="GA3" s="190" t="s">
        <v>357</v>
      </c>
      <c r="GB3" s="205"/>
      <c r="GC3" s="195" t="s">
        <v>90</v>
      </c>
      <c r="GD3" s="194"/>
      <c r="GE3" s="190" t="s">
        <v>248</v>
      </c>
      <c r="GF3" s="190"/>
      <c r="GG3" s="190"/>
      <c r="GH3" s="190"/>
      <c r="GI3" s="190" t="s">
        <v>358</v>
      </c>
      <c r="GJ3" s="205"/>
      <c r="GK3" s="195" t="s">
        <v>90</v>
      </c>
      <c r="GL3" s="194"/>
      <c r="GM3" s="190" t="s">
        <v>248</v>
      </c>
      <c r="GN3" s="190"/>
      <c r="GO3" s="190"/>
      <c r="GP3" s="190"/>
      <c r="GQ3" s="190" t="s">
        <v>358</v>
      </c>
      <c r="GR3" s="205"/>
      <c r="GS3" s="195" t="s">
        <v>90</v>
      </c>
      <c r="GT3" s="194"/>
      <c r="GU3" s="190" t="s">
        <v>248</v>
      </c>
      <c r="GV3" s="190"/>
      <c r="GW3" s="190"/>
      <c r="GX3" s="190"/>
      <c r="GY3" s="190" t="s">
        <v>358</v>
      </c>
      <c r="GZ3" s="205"/>
      <c r="HA3" s="195" t="s">
        <v>90</v>
      </c>
      <c r="HB3" s="194"/>
      <c r="HC3" s="190" t="s">
        <v>248</v>
      </c>
      <c r="HD3" s="190"/>
      <c r="HE3" s="190"/>
      <c r="HF3" s="190"/>
      <c r="HG3" s="190" t="s">
        <v>358</v>
      </c>
      <c r="HH3" s="205"/>
      <c r="HI3" s="195" t="s">
        <v>90</v>
      </c>
      <c r="HJ3" s="194"/>
      <c r="HK3" s="190" t="s">
        <v>248</v>
      </c>
      <c r="HL3" s="190"/>
      <c r="HM3" s="190"/>
      <c r="HN3" s="190"/>
      <c r="HO3" s="190" t="s">
        <v>358</v>
      </c>
      <c r="HP3" s="205"/>
    </row>
    <row r="4" spans="1:224" x14ac:dyDescent="0.25">
      <c r="A4" s="14"/>
      <c r="B4" s="13"/>
      <c r="C4" s="13"/>
      <c r="D4" s="13"/>
      <c r="E4" s="13"/>
      <c r="F4" s="13"/>
      <c r="G4" s="13"/>
      <c r="H4" s="29"/>
      <c r="I4" s="14"/>
      <c r="J4" s="13"/>
      <c r="K4" s="13"/>
      <c r="L4" s="13"/>
      <c r="M4" s="13"/>
      <c r="N4" s="13"/>
      <c r="O4" s="13"/>
      <c r="P4" s="29"/>
      <c r="Y4" s="24"/>
      <c r="Z4" s="13"/>
      <c r="AA4" s="13"/>
      <c r="AB4" s="13"/>
      <c r="AC4" s="13"/>
      <c r="AD4" s="13"/>
      <c r="AE4" s="13"/>
      <c r="AF4" s="29"/>
      <c r="AG4" s="24"/>
      <c r="AH4" s="13"/>
      <c r="AI4" s="13"/>
      <c r="AJ4" s="13"/>
      <c r="AK4" s="13"/>
      <c r="AL4" s="13"/>
      <c r="AM4" s="13"/>
      <c r="AN4" s="29"/>
      <c r="AO4" s="24"/>
      <c r="AP4" s="13"/>
      <c r="AQ4" s="13"/>
      <c r="AR4" s="13"/>
      <c r="AS4" s="13"/>
      <c r="AT4" s="13"/>
      <c r="AU4" s="13"/>
      <c r="AV4" s="29"/>
      <c r="AW4" s="24"/>
      <c r="AX4" s="13"/>
      <c r="AY4" s="13"/>
      <c r="AZ4" s="13"/>
      <c r="BA4" s="13"/>
      <c r="BB4" s="13"/>
      <c r="BC4" s="13"/>
      <c r="BD4" s="29"/>
      <c r="BE4" s="24"/>
      <c r="BF4" s="13"/>
      <c r="BG4" s="13"/>
      <c r="BH4" s="13"/>
      <c r="BI4" s="13"/>
      <c r="BJ4" s="13"/>
      <c r="BK4" s="13"/>
      <c r="BL4" s="29"/>
      <c r="BM4" s="24"/>
      <c r="BN4" s="13"/>
      <c r="BO4" s="13"/>
      <c r="BP4" s="13"/>
      <c r="BQ4" s="13"/>
      <c r="BR4" s="13"/>
      <c r="BS4" s="13"/>
      <c r="BT4" s="29"/>
      <c r="DA4" s="24"/>
      <c r="DB4" s="13"/>
      <c r="DC4" s="13"/>
      <c r="DD4" s="13"/>
      <c r="DE4" s="13"/>
      <c r="DF4" s="13"/>
      <c r="DG4" s="13"/>
      <c r="DH4" s="29"/>
      <c r="DI4" s="24"/>
      <c r="DJ4" s="13"/>
      <c r="DK4" s="13"/>
      <c r="DL4" s="13"/>
      <c r="DM4" s="13"/>
      <c r="DN4" s="13"/>
      <c r="DO4" s="13"/>
      <c r="DP4" s="29"/>
      <c r="DQ4" s="24"/>
      <c r="DR4" s="13"/>
      <c r="DS4" s="13"/>
      <c r="DT4" s="13"/>
      <c r="DU4" s="13"/>
      <c r="DV4" s="13"/>
      <c r="DW4" s="13"/>
      <c r="DX4" s="29"/>
      <c r="DY4" s="24"/>
      <c r="DZ4" s="13"/>
      <c r="EA4" s="13"/>
      <c r="EB4" s="13"/>
      <c r="EC4" s="13"/>
      <c r="ED4" s="13"/>
      <c r="EE4" s="13"/>
      <c r="EF4" s="29"/>
      <c r="EG4" s="24"/>
      <c r="EH4" s="14"/>
      <c r="EI4" s="14"/>
      <c r="EJ4" s="14"/>
      <c r="EK4" s="14"/>
      <c r="EL4" s="14"/>
      <c r="EM4" s="14"/>
      <c r="EN4" s="25"/>
      <c r="EO4" s="24"/>
      <c r="EP4" s="14"/>
      <c r="EQ4" s="14"/>
      <c r="ER4" s="14"/>
      <c r="ES4" s="14"/>
      <c r="ET4" s="14"/>
      <c r="EU4" s="14"/>
      <c r="EV4" s="25"/>
      <c r="FM4" s="24"/>
      <c r="FN4" s="14"/>
      <c r="FO4" s="14"/>
      <c r="FP4" s="14"/>
      <c r="FQ4" s="14"/>
      <c r="FR4" s="14"/>
      <c r="FS4" s="14"/>
      <c r="FT4" s="25"/>
      <c r="FU4" s="24"/>
      <c r="FV4" s="14"/>
      <c r="FW4" s="14"/>
      <c r="FX4" s="14"/>
      <c r="FY4" s="14"/>
      <c r="FZ4" s="14"/>
      <c r="GA4" s="14"/>
      <c r="GB4" s="25"/>
      <c r="GC4" s="24"/>
      <c r="GD4" s="14"/>
      <c r="GE4" s="14"/>
      <c r="GF4" s="14"/>
      <c r="GG4" s="14"/>
      <c r="GH4" s="14"/>
      <c r="GI4" s="14"/>
      <c r="GJ4" s="25"/>
      <c r="GK4" s="24"/>
      <c r="GL4" s="14"/>
      <c r="GM4" s="14"/>
      <c r="GN4" s="14"/>
      <c r="GO4" s="14"/>
      <c r="GP4" s="14"/>
      <c r="GQ4" s="14"/>
      <c r="GR4" s="25"/>
      <c r="GS4" s="24"/>
      <c r="GT4" s="14"/>
      <c r="GU4" s="14"/>
      <c r="GV4" s="14"/>
      <c r="GW4" s="14"/>
      <c r="GX4" s="14"/>
      <c r="GY4" s="14"/>
      <c r="GZ4" s="25"/>
      <c r="HA4" s="24"/>
      <c r="HB4" s="14"/>
      <c r="HC4" s="14"/>
      <c r="HD4" s="14"/>
      <c r="HE4" s="14"/>
      <c r="HF4" s="14"/>
      <c r="HG4" s="14"/>
      <c r="HH4" s="25"/>
      <c r="HI4" s="24"/>
      <c r="HJ4" s="14"/>
      <c r="HK4" s="14"/>
      <c r="HL4" s="14"/>
      <c r="HM4" s="14"/>
      <c r="HN4" s="14"/>
      <c r="HO4" s="14"/>
      <c r="HP4" s="25"/>
    </row>
    <row r="5" spans="1:224" ht="18" x14ac:dyDescent="0.35">
      <c r="A5" s="106" t="s">
        <v>48</v>
      </c>
      <c r="B5" s="109">
        <v>105200</v>
      </c>
      <c r="C5" s="106" t="s">
        <v>62</v>
      </c>
      <c r="D5" s="109">
        <v>0.5</v>
      </c>
      <c r="E5" s="221" t="s">
        <v>63</v>
      </c>
      <c r="F5" s="190"/>
      <c r="G5" s="213" t="s">
        <v>291</v>
      </c>
      <c r="H5" s="214"/>
      <c r="I5" s="106" t="s">
        <v>48</v>
      </c>
      <c r="J5" s="109">
        <v>59000</v>
      </c>
      <c r="K5" s="106" t="s">
        <v>62</v>
      </c>
      <c r="L5" s="109">
        <v>6.82</v>
      </c>
      <c r="M5" s="221" t="s">
        <v>63</v>
      </c>
      <c r="N5" s="190"/>
      <c r="O5" s="213" t="s">
        <v>291</v>
      </c>
      <c r="P5" s="214"/>
      <c r="Y5" s="107" t="s">
        <v>48</v>
      </c>
      <c r="Z5" s="109">
        <v>76600</v>
      </c>
      <c r="AA5" s="106" t="s">
        <v>62</v>
      </c>
      <c r="AB5" s="109">
        <v>0.5</v>
      </c>
      <c r="AC5" s="221" t="s">
        <v>63</v>
      </c>
      <c r="AD5" s="190"/>
      <c r="AE5" s="213" t="s">
        <v>291</v>
      </c>
      <c r="AF5" s="214"/>
      <c r="AG5" s="107" t="s">
        <v>48</v>
      </c>
      <c r="AH5" s="109">
        <v>48000</v>
      </c>
      <c r="AI5" s="106" t="s">
        <v>62</v>
      </c>
      <c r="AJ5" s="109">
        <v>3.5</v>
      </c>
      <c r="AK5" s="221" t="s">
        <v>63</v>
      </c>
      <c r="AL5" s="190"/>
      <c r="AM5" s="213" t="s">
        <v>290</v>
      </c>
      <c r="AN5" s="214"/>
      <c r="AO5" s="116" t="s">
        <v>48</v>
      </c>
      <c r="AP5" s="118">
        <v>76600</v>
      </c>
      <c r="AQ5" s="112" t="s">
        <v>47</v>
      </c>
      <c r="AR5" s="118">
        <v>0.25</v>
      </c>
      <c r="AS5" s="194" t="s">
        <v>30</v>
      </c>
      <c r="AT5" s="194"/>
      <c r="AU5" s="213" t="s">
        <v>286</v>
      </c>
      <c r="AV5" s="214"/>
      <c r="AW5" s="116" t="s">
        <v>48</v>
      </c>
      <c r="AX5" s="118">
        <v>59000</v>
      </c>
      <c r="AY5" s="112" t="s">
        <v>47</v>
      </c>
      <c r="AZ5" s="118">
        <v>0.25</v>
      </c>
      <c r="BA5" s="194" t="s">
        <v>30</v>
      </c>
      <c r="BB5" s="194"/>
      <c r="BC5" s="213" t="s">
        <v>60</v>
      </c>
      <c r="BD5" s="214"/>
      <c r="BE5" s="116" t="s">
        <v>48</v>
      </c>
      <c r="BF5" s="118">
        <v>59000</v>
      </c>
      <c r="BG5" s="112" t="s">
        <v>47</v>
      </c>
      <c r="BH5" s="118">
        <v>0.25</v>
      </c>
      <c r="BI5" s="194" t="s">
        <v>30</v>
      </c>
      <c r="BJ5" s="194"/>
      <c r="BK5" s="213" t="s">
        <v>286</v>
      </c>
      <c r="BL5" s="214"/>
      <c r="BM5" s="116" t="s">
        <v>48</v>
      </c>
      <c r="BN5" s="118">
        <v>76600</v>
      </c>
      <c r="BO5" s="112" t="s">
        <v>47</v>
      </c>
      <c r="BP5" s="118">
        <v>0.25</v>
      </c>
      <c r="BQ5" s="194" t="s">
        <v>30</v>
      </c>
      <c r="BR5" s="194"/>
      <c r="BS5" s="213" t="s">
        <v>60</v>
      </c>
      <c r="BT5" s="214"/>
      <c r="DA5" s="116" t="s">
        <v>48</v>
      </c>
      <c r="DB5" s="118">
        <v>107000</v>
      </c>
      <c r="DC5" s="112" t="s">
        <v>47</v>
      </c>
      <c r="DD5" s="118">
        <v>0.25</v>
      </c>
      <c r="DE5" s="194" t="s">
        <v>30</v>
      </c>
      <c r="DF5" s="194"/>
      <c r="DG5" s="213" t="s">
        <v>286</v>
      </c>
      <c r="DH5" s="214"/>
      <c r="DI5" s="116" t="s">
        <v>48</v>
      </c>
      <c r="DJ5" s="118">
        <v>105200</v>
      </c>
      <c r="DK5" s="112" t="s">
        <v>47</v>
      </c>
      <c r="DL5" s="118">
        <v>0.25</v>
      </c>
      <c r="DM5" s="194" t="s">
        <v>30</v>
      </c>
      <c r="DN5" s="194"/>
      <c r="DO5" s="213" t="s">
        <v>60</v>
      </c>
      <c r="DP5" s="214"/>
      <c r="DQ5" s="116" t="s">
        <v>48</v>
      </c>
      <c r="DR5" s="118">
        <v>105200</v>
      </c>
      <c r="DS5" s="112" t="s">
        <v>47</v>
      </c>
      <c r="DT5" s="118">
        <v>0.25</v>
      </c>
      <c r="DU5" s="194" t="s">
        <v>30</v>
      </c>
      <c r="DV5" s="194"/>
      <c r="DW5" s="213" t="s">
        <v>286</v>
      </c>
      <c r="DX5" s="214"/>
      <c r="DY5" s="116" t="s">
        <v>48</v>
      </c>
      <c r="DZ5" s="118">
        <v>107000</v>
      </c>
      <c r="EA5" s="112" t="s">
        <v>47</v>
      </c>
      <c r="EB5" s="118">
        <v>0.25</v>
      </c>
      <c r="EC5" s="194" t="s">
        <v>30</v>
      </c>
      <c r="ED5" s="194"/>
      <c r="EE5" s="213" t="s">
        <v>60</v>
      </c>
      <c r="EF5" s="214"/>
      <c r="EG5" s="119" t="s">
        <v>161</v>
      </c>
      <c r="EH5" s="51">
        <f>0.5*(EH8+EH9)</f>
        <v>25750</v>
      </c>
      <c r="EI5" s="14"/>
      <c r="EJ5" s="120" t="s">
        <v>166</v>
      </c>
      <c r="EK5" s="34" t="s">
        <v>213</v>
      </c>
      <c r="EL5" s="120" t="s">
        <v>168</v>
      </c>
      <c r="EM5" s="236" t="s">
        <v>138</v>
      </c>
      <c r="EN5" s="237"/>
      <c r="EO5" s="119" t="s">
        <v>161</v>
      </c>
      <c r="EP5" s="51">
        <f>0.5*(EP8+EP9)</f>
        <v>39250</v>
      </c>
      <c r="EQ5" s="14"/>
      <c r="ER5" s="120" t="s">
        <v>166</v>
      </c>
      <c r="ES5" s="34" t="s">
        <v>213</v>
      </c>
      <c r="ET5" s="120" t="s">
        <v>168</v>
      </c>
      <c r="EU5" s="236" t="s">
        <v>138</v>
      </c>
      <c r="EV5" s="237"/>
      <c r="FM5" s="119" t="s">
        <v>161</v>
      </c>
      <c r="FN5" s="51">
        <f>0.5*(FN8+FN9)</f>
        <v>34250</v>
      </c>
      <c r="FO5" s="14"/>
      <c r="FP5" s="120" t="s">
        <v>166</v>
      </c>
      <c r="FQ5" s="34" t="s">
        <v>213</v>
      </c>
      <c r="FR5" s="120" t="s">
        <v>168</v>
      </c>
      <c r="FS5" s="236" t="s">
        <v>138</v>
      </c>
      <c r="FT5" s="237"/>
      <c r="FU5" s="119" t="s">
        <v>161</v>
      </c>
      <c r="FV5" s="51">
        <f>0.5*(FV8+FV9)</f>
        <v>28750</v>
      </c>
      <c r="FW5" s="14"/>
      <c r="FX5" s="120" t="s">
        <v>166</v>
      </c>
      <c r="FY5" s="34" t="s">
        <v>213</v>
      </c>
      <c r="FZ5" s="120" t="s">
        <v>168</v>
      </c>
      <c r="GA5" s="236" t="s">
        <v>138</v>
      </c>
      <c r="GB5" s="237"/>
      <c r="GC5" s="107" t="s">
        <v>247</v>
      </c>
      <c r="GD5" s="109">
        <v>19000</v>
      </c>
      <c r="GE5" s="106" t="s">
        <v>249</v>
      </c>
      <c r="GF5" s="109">
        <v>0.35</v>
      </c>
      <c r="GG5" s="212" t="s">
        <v>246</v>
      </c>
      <c r="GH5" s="197"/>
      <c r="GI5" s="213" t="s">
        <v>225</v>
      </c>
      <c r="GJ5" s="214"/>
      <c r="GK5" s="107" t="s">
        <v>247</v>
      </c>
      <c r="GL5" s="109">
        <v>46000</v>
      </c>
      <c r="GM5" s="106" t="s">
        <v>249</v>
      </c>
      <c r="GN5" s="109">
        <v>2.4700000000000002</v>
      </c>
      <c r="GO5" s="212" t="s">
        <v>246</v>
      </c>
      <c r="GP5" s="197"/>
      <c r="GQ5" s="213" t="s">
        <v>224</v>
      </c>
      <c r="GR5" s="214"/>
      <c r="GS5" s="116" t="s">
        <v>247</v>
      </c>
      <c r="GT5" s="118">
        <v>7300</v>
      </c>
      <c r="GU5" s="112" t="s">
        <v>249</v>
      </c>
      <c r="GV5" s="118">
        <v>1</v>
      </c>
      <c r="GW5" s="212" t="s">
        <v>246</v>
      </c>
      <c r="GX5" s="197"/>
      <c r="GY5" s="213" t="s">
        <v>225</v>
      </c>
      <c r="GZ5" s="214"/>
      <c r="HA5" s="116" t="s">
        <v>247</v>
      </c>
      <c r="HB5" s="118">
        <v>37000</v>
      </c>
      <c r="HC5" s="112" t="s">
        <v>249</v>
      </c>
      <c r="HD5" s="118">
        <v>0.3</v>
      </c>
      <c r="HE5" s="212" t="s">
        <v>246</v>
      </c>
      <c r="HF5" s="197"/>
      <c r="HG5" s="213" t="s">
        <v>222</v>
      </c>
      <c r="HH5" s="214"/>
      <c r="HI5" s="116" t="s">
        <v>247</v>
      </c>
      <c r="HJ5" s="118">
        <v>26000</v>
      </c>
      <c r="HK5" s="112" t="s">
        <v>249</v>
      </c>
      <c r="HL5" s="118">
        <v>0.3</v>
      </c>
      <c r="HM5" s="212" t="s">
        <v>246</v>
      </c>
      <c r="HN5" s="197"/>
      <c r="HO5" s="213" t="s">
        <v>222</v>
      </c>
      <c r="HP5" s="214"/>
    </row>
    <row r="6" spans="1:224" ht="18" x14ac:dyDescent="0.35">
      <c r="A6" s="14"/>
      <c r="B6" s="14"/>
      <c r="C6" s="14"/>
      <c r="D6" s="14"/>
      <c r="E6" s="14"/>
      <c r="F6" s="14"/>
      <c r="G6" s="14"/>
      <c r="H6" s="25"/>
      <c r="I6" s="14"/>
      <c r="J6" s="14"/>
      <c r="K6" s="14"/>
      <c r="L6" s="14"/>
      <c r="M6" s="14"/>
      <c r="N6" s="14"/>
      <c r="O6" s="14"/>
      <c r="P6" s="25"/>
      <c r="Y6" s="24"/>
      <c r="Z6" s="14"/>
      <c r="AA6" s="14"/>
      <c r="AB6" s="14"/>
      <c r="AC6" s="14"/>
      <c r="AD6" s="14"/>
      <c r="AE6" s="14"/>
      <c r="AF6" s="25"/>
      <c r="AG6" s="24"/>
      <c r="AH6" s="14"/>
      <c r="AI6" s="14"/>
      <c r="AJ6" s="14"/>
      <c r="AK6" s="14"/>
      <c r="AL6" s="14"/>
      <c r="AM6" s="14"/>
      <c r="AN6" s="25"/>
      <c r="AO6" s="116" t="s">
        <v>281</v>
      </c>
      <c r="AP6" s="118">
        <v>15000</v>
      </c>
      <c r="AQ6" s="112" t="s">
        <v>277</v>
      </c>
      <c r="AR6" s="118" t="s">
        <v>280</v>
      </c>
      <c r="AS6" s="14"/>
      <c r="AT6" s="14"/>
      <c r="AU6" s="14"/>
      <c r="AV6" s="25"/>
      <c r="AW6" s="116" t="s">
        <v>281</v>
      </c>
      <c r="AX6" s="118">
        <v>6200</v>
      </c>
      <c r="AY6" s="112" t="s">
        <v>277</v>
      </c>
      <c r="AZ6" s="118" t="s">
        <v>280</v>
      </c>
      <c r="BA6" s="14"/>
      <c r="BB6" s="14"/>
      <c r="BC6" s="14"/>
      <c r="BD6" s="25"/>
      <c r="BE6" s="116" t="s">
        <v>281</v>
      </c>
      <c r="BF6" s="118">
        <v>6200</v>
      </c>
      <c r="BG6" s="112" t="s">
        <v>277</v>
      </c>
      <c r="BH6" s="118" t="s">
        <v>280</v>
      </c>
      <c r="BI6" s="14"/>
      <c r="BJ6" s="14"/>
      <c r="BK6" s="14"/>
      <c r="BL6" s="25"/>
      <c r="BM6" s="116" t="s">
        <v>281</v>
      </c>
      <c r="BN6" s="118">
        <v>15000</v>
      </c>
      <c r="BO6" s="112" t="s">
        <v>277</v>
      </c>
      <c r="BP6" s="118" t="s">
        <v>280</v>
      </c>
      <c r="BQ6" s="14"/>
      <c r="BR6" s="14"/>
      <c r="BS6" s="14"/>
      <c r="BT6" s="25"/>
      <c r="DA6" s="116" t="s">
        <v>281</v>
      </c>
      <c r="DB6" s="118">
        <v>10000</v>
      </c>
      <c r="DC6" s="112" t="s">
        <v>277</v>
      </c>
      <c r="DD6" s="118" t="s">
        <v>280</v>
      </c>
      <c r="DE6" s="14"/>
      <c r="DF6" s="14"/>
      <c r="DG6" s="14"/>
      <c r="DH6" s="25"/>
      <c r="DI6" s="116" t="s">
        <v>281</v>
      </c>
      <c r="DJ6" s="118">
        <v>9100</v>
      </c>
      <c r="DK6" s="112" t="s">
        <v>277</v>
      </c>
      <c r="DL6" s="118" t="s">
        <v>280</v>
      </c>
      <c r="DM6" s="14"/>
      <c r="DN6" s="14"/>
      <c r="DO6" s="14"/>
      <c r="DP6" s="25"/>
      <c r="DQ6" s="116" t="s">
        <v>281</v>
      </c>
      <c r="DR6" s="118">
        <v>9100</v>
      </c>
      <c r="DS6" s="112" t="s">
        <v>277</v>
      </c>
      <c r="DT6" s="118" t="s">
        <v>280</v>
      </c>
      <c r="DU6" s="14"/>
      <c r="DV6" s="14"/>
      <c r="DW6" s="14"/>
      <c r="DX6" s="25"/>
      <c r="DY6" s="116" t="s">
        <v>281</v>
      </c>
      <c r="DZ6" s="118">
        <v>10000</v>
      </c>
      <c r="EA6" s="112" t="s">
        <v>277</v>
      </c>
      <c r="EB6" s="118" t="s">
        <v>280</v>
      </c>
      <c r="EC6" s="14"/>
      <c r="ED6" s="14"/>
      <c r="EE6" s="14"/>
      <c r="EF6" s="25"/>
      <c r="EG6" s="119" t="s">
        <v>162</v>
      </c>
      <c r="EH6" s="35">
        <v>6200</v>
      </c>
      <c r="EI6" s="14"/>
      <c r="EJ6" s="14"/>
      <c r="EK6" s="14"/>
      <c r="EL6" s="14"/>
      <c r="EM6" s="14"/>
      <c r="EN6" s="25"/>
      <c r="EO6" s="119" t="s">
        <v>162</v>
      </c>
      <c r="EP6" s="35">
        <f>15000+5400</f>
        <v>20400</v>
      </c>
      <c r="EQ6" s="14"/>
      <c r="ER6" s="14"/>
      <c r="ES6" s="14"/>
      <c r="ET6" s="14"/>
      <c r="EU6" s="14"/>
      <c r="EV6" s="25"/>
      <c r="FM6" s="119" t="s">
        <v>162</v>
      </c>
      <c r="FN6" s="35">
        <v>9100</v>
      </c>
      <c r="FO6" s="14"/>
      <c r="FP6" s="14"/>
      <c r="FQ6" s="14"/>
      <c r="FR6" s="14"/>
      <c r="FS6" s="14"/>
      <c r="FT6" s="25"/>
      <c r="FU6" s="119" t="s">
        <v>162</v>
      </c>
      <c r="FV6" s="35">
        <v>10000</v>
      </c>
      <c r="FW6" s="14"/>
      <c r="FX6" s="14"/>
      <c r="FY6" s="14"/>
      <c r="FZ6" s="14"/>
      <c r="GA6" s="14"/>
      <c r="GB6" s="25"/>
      <c r="GC6" s="24"/>
      <c r="GD6" s="14"/>
      <c r="GE6" s="14"/>
      <c r="GF6" s="14"/>
      <c r="GG6" s="212" t="s">
        <v>250</v>
      </c>
      <c r="GH6" s="197"/>
      <c r="GI6" s="213" t="s">
        <v>251</v>
      </c>
      <c r="GJ6" s="214"/>
      <c r="GK6" s="24"/>
      <c r="GL6" s="14"/>
      <c r="GM6" s="14"/>
      <c r="GN6" s="14"/>
      <c r="GO6" s="212" t="s">
        <v>250</v>
      </c>
      <c r="GP6" s="197"/>
      <c r="GQ6" s="213" t="s">
        <v>251</v>
      </c>
      <c r="GR6" s="214"/>
      <c r="GS6" s="24"/>
      <c r="GT6" s="14"/>
      <c r="GU6" s="14"/>
      <c r="GV6" s="14"/>
      <c r="GW6" s="212" t="s">
        <v>250</v>
      </c>
      <c r="GX6" s="197"/>
      <c r="GY6" s="213" t="s">
        <v>251</v>
      </c>
      <c r="GZ6" s="214"/>
      <c r="HA6" s="24"/>
      <c r="HB6" s="14"/>
      <c r="HC6" s="14"/>
      <c r="HD6" s="14"/>
      <c r="HE6" s="212" t="s">
        <v>250</v>
      </c>
      <c r="HF6" s="197"/>
      <c r="HG6" s="213" t="s">
        <v>298</v>
      </c>
      <c r="HH6" s="214"/>
      <c r="HI6" s="24"/>
      <c r="HJ6" s="14"/>
      <c r="HK6" s="14"/>
      <c r="HL6" s="14"/>
      <c r="HM6" s="212" t="s">
        <v>250</v>
      </c>
      <c r="HN6" s="197"/>
      <c r="HO6" s="213" t="s">
        <v>298</v>
      </c>
      <c r="HP6" s="214"/>
    </row>
    <row r="7" spans="1:224" ht="18" x14ac:dyDescent="0.35">
      <c r="A7" s="14"/>
      <c r="B7" s="14"/>
      <c r="C7" s="106" t="s">
        <v>7</v>
      </c>
      <c r="D7" s="106" t="s">
        <v>6</v>
      </c>
      <c r="E7" s="106" t="s">
        <v>8</v>
      </c>
      <c r="F7" s="14"/>
      <c r="G7" s="13"/>
      <c r="H7" s="29"/>
      <c r="I7" s="14"/>
      <c r="J7" s="14"/>
      <c r="K7" s="106" t="s">
        <v>7</v>
      </c>
      <c r="L7" s="106" t="s">
        <v>6</v>
      </c>
      <c r="M7" s="106" t="s">
        <v>8</v>
      </c>
      <c r="N7" s="14"/>
      <c r="O7" s="13"/>
      <c r="P7" s="29"/>
      <c r="Y7" s="24"/>
      <c r="Z7" s="14"/>
      <c r="AA7" s="106" t="s">
        <v>7</v>
      </c>
      <c r="AB7" s="106" t="s">
        <v>6</v>
      </c>
      <c r="AC7" s="106" t="s">
        <v>8</v>
      </c>
      <c r="AD7" s="14"/>
      <c r="AE7" s="13"/>
      <c r="AF7" s="29"/>
      <c r="AG7" s="24"/>
      <c r="AH7" s="14"/>
      <c r="AI7" s="106" t="s">
        <v>7</v>
      </c>
      <c r="AJ7" s="106" t="s">
        <v>6</v>
      </c>
      <c r="AK7" s="106" t="s">
        <v>8</v>
      </c>
      <c r="AL7" s="14"/>
      <c r="AM7" s="13"/>
      <c r="AN7" s="29"/>
      <c r="AO7" s="24"/>
      <c r="AP7" s="14"/>
      <c r="AQ7" s="112" t="s">
        <v>7</v>
      </c>
      <c r="AR7" s="112" t="s">
        <v>6</v>
      </c>
      <c r="AS7" s="112" t="s">
        <v>8</v>
      </c>
      <c r="AT7" s="14"/>
      <c r="AU7" s="13"/>
      <c r="AV7" s="29"/>
      <c r="AW7" s="24"/>
      <c r="AX7" s="14"/>
      <c r="AY7" s="112" t="s">
        <v>7</v>
      </c>
      <c r="AZ7" s="112" t="s">
        <v>6</v>
      </c>
      <c r="BA7" s="112" t="s">
        <v>8</v>
      </c>
      <c r="BB7" s="14"/>
      <c r="BC7" s="13"/>
      <c r="BD7" s="29"/>
      <c r="BE7" s="24"/>
      <c r="BF7" s="14"/>
      <c r="BG7" s="112" t="s">
        <v>7</v>
      </c>
      <c r="BH7" s="112" t="s">
        <v>6</v>
      </c>
      <c r="BI7" s="112" t="s">
        <v>8</v>
      </c>
      <c r="BJ7" s="14"/>
      <c r="BK7" s="13"/>
      <c r="BL7" s="29"/>
      <c r="BM7" s="24"/>
      <c r="BN7" s="14"/>
      <c r="BO7" s="112" t="s">
        <v>7</v>
      </c>
      <c r="BP7" s="112" t="s">
        <v>6</v>
      </c>
      <c r="BQ7" s="112" t="s">
        <v>8</v>
      </c>
      <c r="BR7" s="14"/>
      <c r="BS7" s="13"/>
      <c r="BT7" s="29"/>
      <c r="DA7" s="24"/>
      <c r="DB7" s="14"/>
      <c r="DC7" s="112" t="s">
        <v>7</v>
      </c>
      <c r="DD7" s="112" t="s">
        <v>6</v>
      </c>
      <c r="DE7" s="112" t="s">
        <v>8</v>
      </c>
      <c r="DF7" s="14"/>
      <c r="DG7" s="13"/>
      <c r="DH7" s="29"/>
      <c r="DI7" s="24"/>
      <c r="DJ7" s="14"/>
      <c r="DK7" s="112" t="s">
        <v>7</v>
      </c>
      <c r="DL7" s="112" t="s">
        <v>6</v>
      </c>
      <c r="DM7" s="112" t="s">
        <v>8</v>
      </c>
      <c r="DN7" s="14"/>
      <c r="DO7" s="13"/>
      <c r="DP7" s="29"/>
      <c r="DQ7" s="24"/>
      <c r="DR7" s="14"/>
      <c r="DS7" s="112" t="s">
        <v>7</v>
      </c>
      <c r="DT7" s="112" t="s">
        <v>6</v>
      </c>
      <c r="DU7" s="112" t="s">
        <v>8</v>
      </c>
      <c r="DV7" s="14"/>
      <c r="DW7" s="13"/>
      <c r="DX7" s="29"/>
      <c r="DY7" s="24"/>
      <c r="DZ7" s="14"/>
      <c r="EA7" s="112" t="s">
        <v>7</v>
      </c>
      <c r="EB7" s="112" t="s">
        <v>6</v>
      </c>
      <c r="EC7" s="112" t="s">
        <v>8</v>
      </c>
      <c r="ED7" s="14"/>
      <c r="EE7" s="13"/>
      <c r="EF7" s="29"/>
      <c r="EG7" s="119" t="s">
        <v>163</v>
      </c>
      <c r="EH7" s="35">
        <v>15000</v>
      </c>
      <c r="EI7" s="227" t="s">
        <v>167</v>
      </c>
      <c r="EJ7" s="228"/>
      <c r="EK7" s="34">
        <v>4</v>
      </c>
      <c r="EL7" s="14"/>
      <c r="EM7" s="14"/>
      <c r="EN7" s="25"/>
      <c r="EO7" s="119" t="s">
        <v>163</v>
      </c>
      <c r="EP7" s="35">
        <v>6200</v>
      </c>
      <c r="EQ7" s="227" t="s">
        <v>167</v>
      </c>
      <c r="ER7" s="228"/>
      <c r="ES7" s="34">
        <v>4</v>
      </c>
      <c r="ET7" s="14"/>
      <c r="EU7" s="14"/>
      <c r="EV7" s="25"/>
      <c r="FM7" s="119" t="s">
        <v>163</v>
      </c>
      <c r="FN7" s="35">
        <v>10000</v>
      </c>
      <c r="FO7" s="227" t="s">
        <v>167</v>
      </c>
      <c r="FP7" s="228"/>
      <c r="FQ7" s="34">
        <v>4</v>
      </c>
      <c r="FR7" s="14"/>
      <c r="FS7" s="14"/>
      <c r="FT7" s="25"/>
      <c r="FU7" s="119" t="s">
        <v>163</v>
      </c>
      <c r="FV7" s="35">
        <v>9100</v>
      </c>
      <c r="FW7" s="227" t="s">
        <v>167</v>
      </c>
      <c r="FX7" s="228"/>
      <c r="FY7" s="34">
        <v>4</v>
      </c>
      <c r="FZ7" s="14"/>
      <c r="GA7" s="14"/>
      <c r="GB7" s="25"/>
      <c r="GC7" s="24"/>
      <c r="GD7" s="14"/>
      <c r="GE7" s="106" t="s">
        <v>7</v>
      </c>
      <c r="GF7" s="106" t="s">
        <v>6</v>
      </c>
      <c r="GG7" s="14"/>
      <c r="GH7" s="14"/>
      <c r="GI7" s="13"/>
      <c r="GJ7" s="29"/>
      <c r="GK7" s="24"/>
      <c r="GL7" s="14"/>
      <c r="GM7" s="106" t="s">
        <v>7</v>
      </c>
      <c r="GN7" s="106" t="s">
        <v>6</v>
      </c>
      <c r="GO7" s="14"/>
      <c r="GP7" s="14"/>
      <c r="GQ7" s="13"/>
      <c r="GR7" s="29"/>
      <c r="GS7" s="24"/>
      <c r="GT7" s="14"/>
      <c r="GU7" s="112" t="s">
        <v>7</v>
      </c>
      <c r="GV7" s="112" t="s">
        <v>6</v>
      </c>
      <c r="GW7" s="14"/>
      <c r="GX7" s="14"/>
      <c r="GY7" s="13"/>
      <c r="GZ7" s="29"/>
      <c r="HA7" s="24"/>
      <c r="HB7" s="14"/>
      <c r="HC7" s="112" t="s">
        <v>7</v>
      </c>
      <c r="HD7" s="112" t="s">
        <v>6</v>
      </c>
      <c r="HE7" s="14"/>
      <c r="HF7" s="14"/>
      <c r="HG7" s="13"/>
      <c r="HH7" s="29"/>
      <c r="HI7" s="24"/>
      <c r="HJ7" s="14"/>
      <c r="HK7" s="112" t="s">
        <v>7</v>
      </c>
      <c r="HL7" s="112" t="s">
        <v>6</v>
      </c>
      <c r="HM7" s="14"/>
      <c r="HN7" s="14"/>
      <c r="HO7" s="13"/>
      <c r="HP7" s="29"/>
    </row>
    <row r="8" spans="1:224" ht="18" x14ac:dyDescent="0.35">
      <c r="A8" s="194" t="s">
        <v>1</v>
      </c>
      <c r="B8" s="194"/>
      <c r="C8" s="17">
        <f>LOOKUP(G5,Reference!$A$256:$A$259,Reference!$C$256:$C$259)</f>
        <v>-5.5869999999999997</v>
      </c>
      <c r="D8" s="17">
        <f>LOOKUP(G5,Reference!$A$256:$A$259,Reference!$D$256:$D$259)</f>
        <v>1.492</v>
      </c>
      <c r="E8" s="17">
        <f>LOOKUP(G5,Reference!$A$256:$A$259,Reference!$E$256:$E$259)</f>
        <v>1E-3</v>
      </c>
      <c r="F8" s="14"/>
      <c r="G8" s="14"/>
      <c r="H8" s="30">
        <f>D5*EXP(C8+D8*LN(E8*B5))</f>
        <v>1.9472163959640847</v>
      </c>
      <c r="I8" s="194" t="s">
        <v>1</v>
      </c>
      <c r="J8" s="194"/>
      <c r="K8" s="17">
        <f>LOOKUP(O5,Reference!$A$256:$A$259,Reference!$C$256:$C$259)</f>
        <v>-5.5869999999999997</v>
      </c>
      <c r="L8" s="17">
        <f>LOOKUP(O5,Reference!$A$256:$A$259,Reference!$D$256:$D$259)</f>
        <v>1.492</v>
      </c>
      <c r="M8" s="17">
        <f>LOOKUP(O5,Reference!$A$256:$A$259,Reference!$E$256:$E$259)</f>
        <v>1E-3</v>
      </c>
      <c r="N8" s="14"/>
      <c r="O8" s="14"/>
      <c r="P8" s="30">
        <f>L5*EXP(K8+L8*LN(M8*J5))</f>
        <v>11.207075704580857</v>
      </c>
      <c r="Y8" s="195" t="s">
        <v>1</v>
      </c>
      <c r="Z8" s="194"/>
      <c r="AA8" s="17">
        <f>LOOKUP(AE5,Reference!$A$256:$A$259,Reference!$C$256:$C$259)</f>
        <v>-5.5869999999999997</v>
      </c>
      <c r="AB8" s="17">
        <f>LOOKUP(AE5,Reference!$A$256:$A$259,Reference!$D$256:$D$259)</f>
        <v>1.492</v>
      </c>
      <c r="AC8" s="17">
        <f>LOOKUP(AE5,Reference!$A$256:$A$259,Reference!$E$256:$E$259)</f>
        <v>1E-3</v>
      </c>
      <c r="AD8" s="14"/>
      <c r="AE8" s="14"/>
      <c r="AF8" s="30">
        <f>AB5*EXP(AA8+AB8*LN(AC8*Z5))</f>
        <v>1.2129308949131254</v>
      </c>
      <c r="AG8" s="195" t="s">
        <v>1</v>
      </c>
      <c r="AH8" s="194"/>
      <c r="AI8" s="17">
        <f>LOOKUP(AM5,Reference!$A$256:$A$259,Reference!$C$256:$C$259)</f>
        <v>-5.47</v>
      </c>
      <c r="AJ8" s="17">
        <f>LOOKUP(AM5,Reference!$A$256:$A$259,Reference!$D$256:$D$259)</f>
        <v>1.492</v>
      </c>
      <c r="AK8" s="17">
        <f>LOOKUP(AM5,Reference!$A$256:$A$259,Reference!$E$256:$E$259)</f>
        <v>1E-3</v>
      </c>
      <c r="AL8" s="14"/>
      <c r="AM8" s="14"/>
      <c r="AN8" s="30">
        <f>AJ5*EXP(AI8+AJ8*LN(AK8*AH5))</f>
        <v>4.7521392104990667</v>
      </c>
      <c r="AO8" s="195" t="s">
        <v>19</v>
      </c>
      <c r="AP8" s="194"/>
      <c r="AQ8" s="17">
        <f>LOOKUP(AU5,Reference!$A$208:$A$215,Reference!$C$208:$C$215)</f>
        <v>-2.6789999999999998</v>
      </c>
      <c r="AR8" s="17">
        <f>LOOKUP(AU5,Reference!$A$208:$A$215,Reference!$D$208:$D$215)</f>
        <v>0.90300000000000002</v>
      </c>
      <c r="AS8" s="21">
        <f>LOOKUP(AU5,Reference!$A$208:$A$215,Reference!$E$208:$E$215)</f>
        <v>5.0000000000000001E-4</v>
      </c>
      <c r="AT8" s="14"/>
      <c r="AU8" s="14"/>
      <c r="AV8" s="30">
        <f>AR5*EXP(AQ8+AR8*LN(AS8*AP5))</f>
        <v>0.46141699292702282</v>
      </c>
      <c r="AW8" s="195" t="s">
        <v>19</v>
      </c>
      <c r="AX8" s="194"/>
      <c r="AY8" s="17">
        <f>LOOKUP(BC5,Reference!$A$208:$A$215,Reference!$C$208:$C$215)</f>
        <v>-3.9740000000000002</v>
      </c>
      <c r="AZ8" s="17">
        <f>LOOKUP(BC5,Reference!$A$208:$A$215,Reference!$D$208:$D$215)</f>
        <v>1.173</v>
      </c>
      <c r="BA8" s="21">
        <f>LOOKUP(BC5,Reference!$A$208:$A$215,Reference!$E$208:$E$215)</f>
        <v>5.0000000000000001E-4</v>
      </c>
      <c r="BB8" s="14"/>
      <c r="BC8" s="14"/>
      <c r="BD8" s="30">
        <f>AZ5*EXP(AY8+AZ8*LN(BA8*AX5))</f>
        <v>0.2489745535755615</v>
      </c>
      <c r="BE8" s="195" t="s">
        <v>19</v>
      </c>
      <c r="BF8" s="194"/>
      <c r="BG8" s="17">
        <f>LOOKUP(BK5,Reference!$A$208:$A$215,Reference!$C$208:$C$215)</f>
        <v>-2.6789999999999998</v>
      </c>
      <c r="BH8" s="17">
        <f>LOOKUP(BK5,Reference!$A$208:$A$215,Reference!$D$208:$D$215)</f>
        <v>0.90300000000000002</v>
      </c>
      <c r="BI8" s="21">
        <f>LOOKUP(BK5,Reference!$A$208:$A$215,Reference!$E$208:$E$215)</f>
        <v>5.0000000000000001E-4</v>
      </c>
      <c r="BJ8" s="14"/>
      <c r="BK8" s="14"/>
      <c r="BL8" s="30">
        <f>BH5*EXP(BG8+BH8*LN(BI8*BF5))</f>
        <v>0.36451413347528844</v>
      </c>
      <c r="BM8" s="195" t="s">
        <v>19</v>
      </c>
      <c r="BN8" s="194"/>
      <c r="BO8" s="17">
        <f>LOOKUP(BS5,Reference!$A$208:$A$215,Reference!$C$208:$C$215)</f>
        <v>-3.9740000000000002</v>
      </c>
      <c r="BP8" s="17">
        <f>LOOKUP(BS5,Reference!$A$208:$A$215,Reference!$D$208:$D$215)</f>
        <v>1.173</v>
      </c>
      <c r="BQ8" s="21">
        <f>LOOKUP(BS5,Reference!$A$208:$A$215,Reference!$E$208:$E$215)</f>
        <v>5.0000000000000001E-4</v>
      </c>
      <c r="BR8" s="14"/>
      <c r="BS8" s="14"/>
      <c r="BT8" s="30">
        <f>BP5*EXP(BO8+BP8*LN(BQ8*BN5))</f>
        <v>0.33817842678314514</v>
      </c>
      <c r="DA8" s="195" t="s">
        <v>19</v>
      </c>
      <c r="DB8" s="194"/>
      <c r="DC8" s="17">
        <f>LOOKUP(DG5,Reference!$A$208:$A$215,Reference!$C$208:$C$215)</f>
        <v>-2.6789999999999998</v>
      </c>
      <c r="DD8" s="17">
        <f>LOOKUP(DG5,Reference!$A$208:$A$215,Reference!$D$208:$D$215)</f>
        <v>0.90300000000000002</v>
      </c>
      <c r="DE8" s="21">
        <f>LOOKUP(DG5,Reference!$A$208:$A$215,Reference!$E$208:$E$215)</f>
        <v>5.0000000000000001E-4</v>
      </c>
      <c r="DF8" s="14"/>
      <c r="DG8" s="14"/>
      <c r="DH8" s="30">
        <f>DD5*EXP(DC8+DD8*LN(DE8*DB5))</f>
        <v>0.62397696419617421</v>
      </c>
      <c r="DI8" s="195" t="s">
        <v>19</v>
      </c>
      <c r="DJ8" s="194"/>
      <c r="DK8" s="17">
        <f>LOOKUP(DO5,Reference!$A$208:$A$215,Reference!$C$208:$C$215)</f>
        <v>-3.9740000000000002</v>
      </c>
      <c r="DL8" s="17">
        <f>LOOKUP(DO5,Reference!$A$208:$A$215,Reference!$D$208:$D$215)</f>
        <v>1.173</v>
      </c>
      <c r="DM8" s="21">
        <f>LOOKUP(DO5,Reference!$A$208:$A$215,Reference!$E$208:$E$215)</f>
        <v>5.0000000000000001E-4</v>
      </c>
      <c r="DN8" s="14"/>
      <c r="DO8" s="14"/>
      <c r="DP8" s="30">
        <f>DL5*EXP(DK8+DL8*LN(DM8*DJ5))</f>
        <v>0.49064798032638196</v>
      </c>
      <c r="DQ8" s="195" t="s">
        <v>19</v>
      </c>
      <c r="DR8" s="194"/>
      <c r="DS8" s="17">
        <f>LOOKUP(DW5,Reference!$A$208:$A$215,Reference!$C$208:$C$215)</f>
        <v>-2.6789999999999998</v>
      </c>
      <c r="DT8" s="17">
        <f>LOOKUP(DW5,Reference!$A$208:$A$215,Reference!$D$208:$D$215)</f>
        <v>0.90300000000000002</v>
      </c>
      <c r="DU8" s="21">
        <f>LOOKUP(DW5,Reference!$A$208:$A$215,Reference!$E$208:$E$215)</f>
        <v>5.0000000000000001E-4</v>
      </c>
      <c r="DV8" s="14"/>
      <c r="DW8" s="14"/>
      <c r="DX8" s="30">
        <f>DT5*EXP(DS8+DT8*LN(DU8*DR5))</f>
        <v>0.61449056441553151</v>
      </c>
      <c r="DY8" s="195" t="s">
        <v>19</v>
      </c>
      <c r="DZ8" s="194"/>
      <c r="EA8" s="17">
        <f>LOOKUP(EE5,Reference!$A$208:$A$215,Reference!$C$208:$C$215)</f>
        <v>-3.9740000000000002</v>
      </c>
      <c r="EB8" s="17">
        <f>LOOKUP(EE5,Reference!$A$208:$A$215,Reference!$D$208:$D$215)</f>
        <v>1.173</v>
      </c>
      <c r="EC8" s="21">
        <f>LOOKUP(EE5,Reference!$A$208:$A$215,Reference!$E$208:$E$215)</f>
        <v>5.0000000000000001E-4</v>
      </c>
      <c r="ED8" s="14"/>
      <c r="EE8" s="14"/>
      <c r="EF8" s="30">
        <f>EB5*EXP(EA8+EB8*LN(EC8*DZ5))</f>
        <v>0.50050995961564604</v>
      </c>
      <c r="EG8" s="119" t="s">
        <v>164</v>
      </c>
      <c r="EH8" s="35">
        <v>32500</v>
      </c>
      <c r="EI8" s="14"/>
      <c r="EJ8" s="14"/>
      <c r="EK8" s="14"/>
      <c r="EL8" s="14"/>
      <c r="EM8" s="14"/>
      <c r="EN8" s="25"/>
      <c r="EO8" s="119" t="s">
        <v>164</v>
      </c>
      <c r="EP8" s="35">
        <v>32500</v>
      </c>
      <c r="EQ8" s="14"/>
      <c r="ER8" s="14"/>
      <c r="ES8" s="14"/>
      <c r="ET8" s="14"/>
      <c r="EU8" s="14"/>
      <c r="EV8" s="25"/>
      <c r="FM8" s="119" t="s">
        <v>164</v>
      </c>
      <c r="FN8" s="35">
        <v>31500</v>
      </c>
      <c r="FO8" s="14"/>
      <c r="FP8" s="14"/>
      <c r="FQ8" s="14"/>
      <c r="FR8" s="14"/>
      <c r="FS8" s="14"/>
      <c r="FT8" s="25"/>
      <c r="FU8" s="119" t="s">
        <v>164</v>
      </c>
      <c r="FV8" s="35">
        <v>31500</v>
      </c>
      <c r="FW8" s="14"/>
      <c r="FX8" s="14"/>
      <c r="FY8" s="14"/>
      <c r="FZ8" s="14"/>
      <c r="GA8" s="14"/>
      <c r="GB8" s="25"/>
      <c r="GC8" s="195" t="s">
        <v>342</v>
      </c>
      <c r="GD8" s="194"/>
      <c r="GE8" s="15">
        <f>LOOKUP(GI5,Reference!$A$81:$A$85,Reference!$C$81:$C$85)</f>
        <v>-15.22</v>
      </c>
      <c r="GF8" s="15">
        <f>LOOKUP(GI5,Reference!$A$81:$A$85,Reference!$D$81:$D$85)</f>
        <v>1.68</v>
      </c>
      <c r="GG8" s="14"/>
      <c r="GH8" s="14"/>
      <c r="GI8" s="14"/>
      <c r="GJ8" s="30">
        <f>EXP(GE8+GF8*LN(GD5)+LN(GF5))</f>
        <v>1.3255987301562893</v>
      </c>
      <c r="GK8" s="195" t="s">
        <v>342</v>
      </c>
      <c r="GL8" s="194"/>
      <c r="GM8" s="15">
        <f>LOOKUP(GQ5,Reference!$A$81:$A$85,Reference!$C$81:$C$85)</f>
        <v>-11.63</v>
      </c>
      <c r="GN8" s="15">
        <f>LOOKUP(GQ5,Reference!$A$81:$A$85,Reference!$D$81:$D$85)</f>
        <v>1.33</v>
      </c>
      <c r="GO8" s="14"/>
      <c r="GP8" s="14"/>
      <c r="GQ8" s="14"/>
      <c r="GR8" s="30">
        <f>EXP(GM8+GN8*LN(GL5)+LN(GN5))</f>
        <v>34.939770246171733</v>
      </c>
      <c r="GS8" s="195" t="s">
        <v>342</v>
      </c>
      <c r="GT8" s="194"/>
      <c r="GU8" s="15">
        <f>LOOKUP(GY5,Reference!$A$81:$A$85,Reference!$C$81:$C$85)</f>
        <v>-15.22</v>
      </c>
      <c r="GV8" s="15">
        <f>LOOKUP(GY5,Reference!$A$81:$A$85,Reference!$D$81:$D$85)</f>
        <v>1.68</v>
      </c>
      <c r="GW8" s="14"/>
      <c r="GX8" s="14"/>
      <c r="GY8" s="14"/>
      <c r="GZ8" s="30">
        <f>EXP(GU8+GV8*LN(GT5)+LN(GV5))</f>
        <v>0.75931222205861948</v>
      </c>
      <c r="HA8" s="195" t="s">
        <v>342</v>
      </c>
      <c r="HB8" s="194"/>
      <c r="HC8" s="15">
        <f>LOOKUP(HG5,Reference!$A$81:$A$85,Reference!$C$81:$C$85)</f>
        <v>-9.6999999999999993</v>
      </c>
      <c r="HD8" s="15">
        <f>LOOKUP(HG5,Reference!$A$81:$A$85,Reference!$D$81:$D$85)</f>
        <v>1.17</v>
      </c>
      <c r="HE8" s="14"/>
      <c r="HF8" s="14"/>
      <c r="HG8" s="14"/>
      <c r="HH8" s="30">
        <f>EXP(HC8+HD8*LN(HB5)+LN(HD5))</f>
        <v>4.0668747503337128</v>
      </c>
      <c r="HI8" s="195" t="s">
        <v>342</v>
      </c>
      <c r="HJ8" s="194"/>
      <c r="HK8" s="15">
        <f>LOOKUP(HO5,Reference!$A$81:$A$85,Reference!$C$81:$C$85)</f>
        <v>-9.6999999999999993</v>
      </c>
      <c r="HL8" s="15">
        <f>LOOKUP(HO5,Reference!$A$81:$A$85,Reference!$D$81:$D$85)</f>
        <v>1.17</v>
      </c>
      <c r="HM8" s="14"/>
      <c r="HN8" s="14"/>
      <c r="HO8" s="14"/>
      <c r="HP8" s="30">
        <f>EXP(HK8+HL8*LN(HJ5)+LN(HL5))</f>
        <v>2.691433150831958</v>
      </c>
    </row>
    <row r="9" spans="1:224" ht="18" x14ac:dyDescent="0.35">
      <c r="A9" s="194" t="s">
        <v>2</v>
      </c>
      <c r="B9" s="194"/>
      <c r="C9" s="17">
        <f>LOOKUP(G5,Reference!$A$261:$A$264,Reference!$C$261:$C$264)</f>
        <v>-6.8090000000000002</v>
      </c>
      <c r="D9" s="17">
        <f>LOOKUP(G5,Reference!$A$261:$A$264,Reference!$D$261:$D$264)</f>
        <v>1.9359999999999999</v>
      </c>
      <c r="E9" s="17">
        <f>LOOKUP(G5,Reference!$A$261:$A$264,Reference!$E$261:$E$264)</f>
        <v>1E-3</v>
      </c>
      <c r="F9" s="14"/>
      <c r="G9" s="14"/>
      <c r="H9" s="30">
        <f>D5*EXP(C9+D9*LN(E9*B5))</f>
        <v>4.5339982623108481</v>
      </c>
      <c r="I9" s="194" t="s">
        <v>2</v>
      </c>
      <c r="J9" s="194"/>
      <c r="K9" s="17">
        <f>LOOKUP(O5,Reference!$A$261:$A$264,Reference!$C$261:$C$264)</f>
        <v>-6.8090000000000002</v>
      </c>
      <c r="L9" s="17">
        <f>LOOKUP(O5,Reference!$A$261:$A$264,Reference!$D$261:$D$264)</f>
        <v>1.9359999999999999</v>
      </c>
      <c r="M9" s="17">
        <f>LOOKUP(O5,Reference!$A$261:$A$264,Reference!$E$261:$E$264)</f>
        <v>1E-3</v>
      </c>
      <c r="N9" s="14"/>
      <c r="O9" s="14"/>
      <c r="P9" s="30">
        <f>L5*EXP(K9+L9*LN(M9*J5))</f>
        <v>20.185650148165138</v>
      </c>
      <c r="Y9" s="195" t="s">
        <v>2</v>
      </c>
      <c r="Z9" s="194"/>
      <c r="AA9" s="17">
        <f>LOOKUP(AE5,Reference!$A$261:$A$264,Reference!$C$261:$C$264)</f>
        <v>-6.8090000000000002</v>
      </c>
      <c r="AB9" s="17">
        <f>LOOKUP(AE5,Reference!$A$261:$A$264,Reference!$D$261:$D$264)</f>
        <v>1.9359999999999999</v>
      </c>
      <c r="AC9" s="17">
        <f>LOOKUP(AE5,Reference!$A$261:$A$264,Reference!$E$261:$E$264)</f>
        <v>1E-3</v>
      </c>
      <c r="AD9" s="14"/>
      <c r="AE9" s="14"/>
      <c r="AF9" s="30">
        <f>AB5*EXP(AA9+AB9*LN(AC9*Z5))</f>
        <v>2.4531594372907586</v>
      </c>
      <c r="AG9" s="195" t="s">
        <v>2</v>
      </c>
      <c r="AH9" s="194"/>
      <c r="AI9" s="17">
        <f>LOOKUP(AM5,Reference!$A$261:$A$264,Reference!$C$261:$C$264)</f>
        <v>-6.548</v>
      </c>
      <c r="AJ9" s="17">
        <f>LOOKUP(AM5,Reference!$A$261:$A$264,Reference!$D$261:$D$264)</f>
        <v>1.9359999999999999</v>
      </c>
      <c r="AK9" s="17">
        <f>LOOKUP(AM5,Reference!$A$261:$A$264,Reference!$E$261:$E$264)</f>
        <v>1E-3</v>
      </c>
      <c r="AL9" s="14"/>
      <c r="AM9" s="14"/>
      <c r="AN9" s="30">
        <f>AJ5*EXP(AI9+AJ9*LN(AK9*AH5))</f>
        <v>9.0196734055901633</v>
      </c>
      <c r="AO9" s="195" t="s">
        <v>20</v>
      </c>
      <c r="AP9" s="194"/>
      <c r="AQ9" s="17">
        <f>LOOKUP(AU5,Reference!$A$217:$A$224,Reference!$C$217:$C$224)</f>
        <v>-1.798</v>
      </c>
      <c r="AR9" s="17">
        <f>LOOKUP(AU5,Reference!$A$217:$A$224,Reference!$D$217:$D$224)</f>
        <v>0.93200000000000005</v>
      </c>
      <c r="AS9" s="21">
        <f>LOOKUP(AU5,Reference!$A$217:$A$224,Reference!$E$217:$E$224)</f>
        <v>5.0000000000000001E-4</v>
      </c>
      <c r="AT9" s="14"/>
      <c r="AU9" s="14"/>
      <c r="AV9" s="30">
        <f>AR5*EXP(AQ9+AR9*LN(AS9*AP5))</f>
        <v>1.2377125299963361</v>
      </c>
      <c r="AW9" s="195" t="s">
        <v>20</v>
      </c>
      <c r="AX9" s="194"/>
      <c r="AY9" s="17">
        <f>LOOKUP(BC5,Reference!$A$217:$A$224,Reference!$C$217:$C$224)</f>
        <v>-2.9980000000000002</v>
      </c>
      <c r="AZ9" s="17">
        <f>LOOKUP(BC5,Reference!$A$217:$A$224,Reference!$D$217:$D$224)</f>
        <v>1.2150000000000001</v>
      </c>
      <c r="BA9" s="21">
        <f>LOOKUP(BC5,Reference!$A$217:$A$224,Reference!$E$217:$E$224)</f>
        <v>5.0000000000000001E-4</v>
      </c>
      <c r="BB9" s="14"/>
      <c r="BC9" s="14"/>
      <c r="BD9" s="30">
        <f>AZ5*EXP(AY9+AZ9*LN(BA9*AX5))</f>
        <v>0.76165605913619039</v>
      </c>
      <c r="BE9" s="195" t="s">
        <v>20</v>
      </c>
      <c r="BF9" s="194"/>
      <c r="BG9" s="17">
        <f>LOOKUP(BK5,Reference!$A$217:$A$224,Reference!$C$217:$C$224)</f>
        <v>-1.798</v>
      </c>
      <c r="BH9" s="17">
        <f>LOOKUP(BK5,Reference!$A$217:$A$224,Reference!$D$217:$D$224)</f>
        <v>0.93200000000000005</v>
      </c>
      <c r="BI9" s="21">
        <f>LOOKUP(BK5,Reference!$A$217:$A$224,Reference!$E$217:$E$224)</f>
        <v>5.0000000000000001E-4</v>
      </c>
      <c r="BJ9" s="14"/>
      <c r="BK9" s="14"/>
      <c r="BL9" s="30">
        <f>BH5*EXP(BG9+BH9*LN(BI9*BF5))</f>
        <v>0.97040415882372777</v>
      </c>
      <c r="BM9" s="195" t="s">
        <v>20</v>
      </c>
      <c r="BN9" s="194"/>
      <c r="BO9" s="17">
        <f>LOOKUP(BS5,Reference!$A$217:$A$224,Reference!$C$217:$C$224)</f>
        <v>-2.9980000000000002</v>
      </c>
      <c r="BP9" s="17">
        <f>LOOKUP(BS5,Reference!$A$217:$A$224,Reference!$D$217:$D$224)</f>
        <v>1.2150000000000001</v>
      </c>
      <c r="BQ9" s="21">
        <f>LOOKUP(BS5,Reference!$A$217:$A$224,Reference!$E$217:$E$224)</f>
        <v>5.0000000000000001E-4</v>
      </c>
      <c r="BR9" s="14"/>
      <c r="BS9" s="14"/>
      <c r="BT9" s="30">
        <f>BP5*EXP(BO9+BP9*LN(BQ9*BN5))</f>
        <v>1.0459517774824931</v>
      </c>
      <c r="DA9" s="195" t="s">
        <v>20</v>
      </c>
      <c r="DB9" s="194"/>
      <c r="DC9" s="17">
        <f>LOOKUP(DG5,Reference!$A$217:$A$224,Reference!$C$217:$C$224)</f>
        <v>-1.798</v>
      </c>
      <c r="DD9" s="17">
        <f>LOOKUP(DG5,Reference!$A$217:$A$224,Reference!$D$217:$D$224)</f>
        <v>0.93200000000000005</v>
      </c>
      <c r="DE9" s="21">
        <f>LOOKUP(DG5,Reference!$A$217:$A$224,Reference!$E$217:$E$224)</f>
        <v>5.0000000000000001E-4</v>
      </c>
      <c r="DF9" s="14"/>
      <c r="DG9" s="14"/>
      <c r="DH9" s="30">
        <f>DD5*EXP(DC9+DD9*LN(DE9*DB5))</f>
        <v>1.6900682966151368</v>
      </c>
      <c r="DI9" s="195" t="s">
        <v>20</v>
      </c>
      <c r="DJ9" s="194"/>
      <c r="DK9" s="17">
        <f>LOOKUP(DO5,Reference!$A$217:$A$224,Reference!$C$217:$C$224)</f>
        <v>-2.9980000000000002</v>
      </c>
      <c r="DL9" s="17">
        <f>LOOKUP(DO5,Reference!$A$217:$A$224,Reference!$D$217:$D$224)</f>
        <v>1.2150000000000001</v>
      </c>
      <c r="DM9" s="21">
        <f>LOOKUP(DO5,Reference!$A$217:$A$224,Reference!$E$217:$E$224)</f>
        <v>5.0000000000000001E-4</v>
      </c>
      <c r="DN9" s="14"/>
      <c r="DO9" s="14"/>
      <c r="DP9" s="30">
        <f>DL5*EXP(DK9+DL9*LN(DM9*DJ5))</f>
        <v>1.5378813529293267</v>
      </c>
      <c r="DQ9" s="195" t="s">
        <v>20</v>
      </c>
      <c r="DR9" s="194"/>
      <c r="DS9" s="17">
        <f>LOOKUP(DW5,Reference!$A$217:$A$224,Reference!$C$217:$C$224)</f>
        <v>-1.798</v>
      </c>
      <c r="DT9" s="17">
        <f>LOOKUP(DW5,Reference!$A$217:$A$224,Reference!$D$217:$D$224)</f>
        <v>0.93200000000000005</v>
      </c>
      <c r="DU9" s="21">
        <f>LOOKUP(DW5,Reference!$A$217:$A$224,Reference!$E$217:$E$224)</f>
        <v>5.0000000000000001E-4</v>
      </c>
      <c r="DV9" s="14"/>
      <c r="DW9" s="14"/>
      <c r="DX9" s="30">
        <f>DT5*EXP(DS9+DT9*LN(DU9*DR5))</f>
        <v>1.6635553056483425</v>
      </c>
      <c r="DY9" s="195" t="s">
        <v>20</v>
      </c>
      <c r="DZ9" s="194"/>
      <c r="EA9" s="17">
        <f>LOOKUP(EE5,Reference!$A$217:$A$224,Reference!$C$217:$C$224)</f>
        <v>-2.9980000000000002</v>
      </c>
      <c r="EB9" s="17">
        <f>LOOKUP(EE5,Reference!$A$217:$A$224,Reference!$D$217:$D$224)</f>
        <v>1.2150000000000001</v>
      </c>
      <c r="EC9" s="21">
        <f>LOOKUP(EE5,Reference!$A$217:$A$224,Reference!$E$217:$E$224)</f>
        <v>5.0000000000000001E-4</v>
      </c>
      <c r="ED9" s="14"/>
      <c r="EE9" s="14"/>
      <c r="EF9" s="30">
        <f>EB5*EXP(EA9+EB9*LN(EC9*DZ5))</f>
        <v>1.5699108720768811</v>
      </c>
      <c r="EG9" s="119" t="s">
        <v>165</v>
      </c>
      <c r="EH9" s="35">
        <v>19000</v>
      </c>
      <c r="EI9" s="31"/>
      <c r="EJ9" s="120" t="s">
        <v>169</v>
      </c>
      <c r="EK9" s="34" t="s">
        <v>296</v>
      </c>
      <c r="EL9" s="14"/>
      <c r="EM9" s="14"/>
      <c r="EN9" s="25"/>
      <c r="EO9" s="119" t="s">
        <v>165</v>
      </c>
      <c r="EP9" s="35">
        <v>46000</v>
      </c>
      <c r="EQ9" s="31"/>
      <c r="ER9" s="120" t="s">
        <v>169</v>
      </c>
      <c r="ES9" s="34" t="s">
        <v>296</v>
      </c>
      <c r="ET9" s="14"/>
      <c r="EU9" s="14"/>
      <c r="EV9" s="25"/>
      <c r="FM9" s="119" t="s">
        <v>165</v>
      </c>
      <c r="FN9" s="35">
        <v>37000</v>
      </c>
      <c r="FO9" s="31"/>
      <c r="FP9" s="120" t="s">
        <v>169</v>
      </c>
      <c r="FQ9" s="34" t="s">
        <v>296</v>
      </c>
      <c r="FR9" s="14"/>
      <c r="FS9" s="14"/>
      <c r="FT9" s="25"/>
      <c r="FU9" s="119" t="s">
        <v>165</v>
      </c>
      <c r="FV9" s="35">
        <v>26000</v>
      </c>
      <c r="FW9" s="31"/>
      <c r="FX9" s="120" t="s">
        <v>169</v>
      </c>
      <c r="FY9" s="34" t="s">
        <v>296</v>
      </c>
      <c r="FZ9" s="14"/>
      <c r="GA9" s="14"/>
      <c r="GB9" s="25"/>
      <c r="GC9" s="195" t="s">
        <v>217</v>
      </c>
      <c r="GD9" s="194"/>
      <c r="GE9" s="15">
        <f>LOOKUP(GI5,Reference!$A$87:$A$91,Reference!$C$87:$C$91)</f>
        <v>-16.22</v>
      </c>
      <c r="GF9" s="15">
        <f>LOOKUP(GI5,Reference!$A$87:$A$91,Reference!$D$87:$D$91)</f>
        <v>1.66</v>
      </c>
      <c r="GG9" s="14"/>
      <c r="GH9" s="14"/>
      <c r="GI9" s="14"/>
      <c r="GJ9" s="30">
        <f>EXP(GE9+GF9*LN(GD5)+LN(GF5))</f>
        <v>0.4004446773502448</v>
      </c>
      <c r="GK9" s="195" t="s">
        <v>217</v>
      </c>
      <c r="GL9" s="194"/>
      <c r="GM9" s="15">
        <f>LOOKUP(GQ5,Reference!$A$87:$A$91,Reference!$C$87:$C$91)</f>
        <v>-12.08</v>
      </c>
      <c r="GN9" s="15">
        <f>LOOKUP(GQ5,Reference!$A$87:$A$91,Reference!$D$87:$D$91)</f>
        <v>1.25</v>
      </c>
      <c r="GO9" s="14"/>
      <c r="GP9" s="14"/>
      <c r="GQ9" s="14"/>
      <c r="GR9" s="30">
        <f>EXP(GM9+GN9*LN(GL5)+LN(GN5))</f>
        <v>9.4377159362810445</v>
      </c>
      <c r="GS9" s="195" t="s">
        <v>217</v>
      </c>
      <c r="GT9" s="194"/>
      <c r="GU9" s="15">
        <f>LOOKUP(GY5,Reference!$A$87:$A$91,Reference!$C$87:$C$91)</f>
        <v>-16.22</v>
      </c>
      <c r="GV9" s="15">
        <f>LOOKUP(GY5,Reference!$A$87:$A$91,Reference!$D$87:$D$91)</f>
        <v>1.66</v>
      </c>
      <c r="GW9" s="14"/>
      <c r="GX9" s="14"/>
      <c r="GY9" s="14"/>
      <c r="GZ9" s="30">
        <f>EXP(GU9+GV9*LN(GT5)+LN(GV5))</f>
        <v>0.23380804542805775</v>
      </c>
      <c r="HA9" s="195" t="s">
        <v>217</v>
      </c>
      <c r="HB9" s="194"/>
      <c r="HC9" s="15">
        <f>LOOKUP(HG5,Reference!$A$87:$A$91,Reference!$C$87:$C$91)</f>
        <v>-10.47</v>
      </c>
      <c r="HD9" s="15">
        <f>LOOKUP(HG5,Reference!$A$87:$A$91,Reference!$D$87:$D$91)</f>
        <v>1.1200000000000001</v>
      </c>
      <c r="HE9" s="14"/>
      <c r="HF9" s="14"/>
      <c r="HG9" s="14"/>
      <c r="HH9" s="30">
        <f>EXP(HC9+HD9*LN(HB5)+LN(HD5))</f>
        <v>1.112868782811963</v>
      </c>
      <c r="HI9" s="195" t="s">
        <v>217</v>
      </c>
      <c r="HJ9" s="194"/>
      <c r="HK9" s="15">
        <f>LOOKUP(HO5,Reference!$A$87:$A$91,Reference!$C$87:$C$91)</f>
        <v>-10.47</v>
      </c>
      <c r="HL9" s="15">
        <f>LOOKUP(HO5,Reference!$A$87:$A$91,Reference!$D$87:$D$91)</f>
        <v>1.1200000000000001</v>
      </c>
      <c r="HM9" s="14"/>
      <c r="HN9" s="14"/>
      <c r="HO9" s="14"/>
      <c r="HP9" s="30">
        <f>EXP(HK9+HL9*LN(HJ5)+LN(HL5))</f>
        <v>0.74959758537440957</v>
      </c>
    </row>
    <row r="10" spans="1:224" x14ac:dyDescent="0.25">
      <c r="A10" s="194" t="s">
        <v>4</v>
      </c>
      <c r="B10" s="194"/>
      <c r="C10" s="17">
        <f>LOOKUP(G5,Reference!$A$256:$A$259,Reference!$F$256:$F$259)</f>
        <v>-2.0550000000000002</v>
      </c>
      <c r="D10" s="17">
        <f>LOOKUP(G5,Reference!$A$256:$A$259,Reference!$G$256:$G$259)</f>
        <v>0.64600000000000002</v>
      </c>
      <c r="E10" s="17">
        <f>LOOKUP(G5,Reference!$A$256:$A$259,Reference!$H$256:$H$259)</f>
        <v>1E-3</v>
      </c>
      <c r="F10" s="14"/>
      <c r="G10" s="14"/>
      <c r="H10" s="30">
        <f>D5*EXP(C10+D10*LN(E10*B5))</f>
        <v>1.296334299012172</v>
      </c>
      <c r="I10" s="194" t="s">
        <v>4</v>
      </c>
      <c r="J10" s="194"/>
      <c r="K10" s="17">
        <f>LOOKUP(O5,Reference!$A$256:$A$259,Reference!$F$256:$F$259)</f>
        <v>-2.0550000000000002</v>
      </c>
      <c r="L10" s="17">
        <f>LOOKUP(O5,Reference!$A$256:$A$259,Reference!$G$256:$G$259)</f>
        <v>0.64600000000000002</v>
      </c>
      <c r="M10" s="17">
        <f>LOOKUP(O5,Reference!$A$256:$A$259,Reference!$H$256:$H$259)</f>
        <v>1E-3</v>
      </c>
      <c r="N10" s="14"/>
      <c r="O10" s="14"/>
      <c r="P10" s="30">
        <f>L5*EXP(K10+L10*LN(M10*J5))</f>
        <v>12.169692755422014</v>
      </c>
      <c r="Y10" s="195" t="s">
        <v>4</v>
      </c>
      <c r="Z10" s="194"/>
      <c r="AA10" s="17">
        <f>LOOKUP(AE5,Reference!$A$256:$A$259,Reference!$F$256:$F$259)</f>
        <v>-2.0550000000000002</v>
      </c>
      <c r="AB10" s="17">
        <f>LOOKUP(AE5,Reference!$A$256:$A$259,Reference!$G$256:$G$259)</f>
        <v>0.64600000000000002</v>
      </c>
      <c r="AC10" s="17">
        <f>LOOKUP(AE5,Reference!$A$256:$A$259,Reference!$H$256:$H$259)</f>
        <v>1E-3</v>
      </c>
      <c r="AD10" s="14"/>
      <c r="AE10" s="14"/>
      <c r="AF10" s="30">
        <f>AB5*EXP(AA10+AB10*LN(AC10*Z5))</f>
        <v>1.0561038582022935</v>
      </c>
      <c r="AG10" s="195" t="s">
        <v>4</v>
      </c>
      <c r="AH10" s="194"/>
      <c r="AI10" s="17">
        <f>LOOKUP(AM5,Reference!$A$256:$A$259,Reference!$F$256:$F$259)</f>
        <v>-2.1259999999999999</v>
      </c>
      <c r="AJ10" s="17">
        <f>LOOKUP(AM5,Reference!$A$256:$A$259,Reference!$G$256:$G$259)</f>
        <v>0.64600000000000002</v>
      </c>
      <c r="AK10" s="17">
        <f>LOOKUP(AM5,Reference!$A$256:$A$259,Reference!$H$256:$H$259)</f>
        <v>1E-3</v>
      </c>
      <c r="AL10" s="14"/>
      <c r="AM10" s="14"/>
      <c r="AN10" s="30">
        <f>AJ5*EXP(AI10+AJ10*LN(AK10*AH5))</f>
        <v>5.0914304450469858</v>
      </c>
      <c r="AO10" s="24"/>
      <c r="AP10" s="14"/>
      <c r="AQ10" s="14"/>
      <c r="AR10" s="14"/>
      <c r="AS10" s="14"/>
      <c r="AT10" s="14"/>
      <c r="AU10" s="14"/>
      <c r="AV10" s="25"/>
      <c r="AW10" s="24"/>
      <c r="AX10" s="14"/>
      <c r="AY10" s="14"/>
      <c r="AZ10" s="14"/>
      <c r="BA10" s="14"/>
      <c r="BB10" s="14"/>
      <c r="BC10" s="14"/>
      <c r="BD10" s="25"/>
      <c r="BE10" s="24"/>
      <c r="BF10" s="14"/>
      <c r="BG10" s="14"/>
      <c r="BH10" s="14"/>
      <c r="BI10" s="14"/>
      <c r="BJ10" s="14"/>
      <c r="BK10" s="14"/>
      <c r="BL10" s="25"/>
      <c r="BM10" s="24"/>
      <c r="BN10" s="14"/>
      <c r="BO10" s="14"/>
      <c r="BP10" s="14"/>
      <c r="BQ10" s="14"/>
      <c r="BR10" s="14"/>
      <c r="BS10" s="14"/>
      <c r="BT10" s="25"/>
      <c r="DA10" s="24"/>
      <c r="DB10" s="14"/>
      <c r="DC10" s="14"/>
      <c r="DD10" s="14"/>
      <c r="DE10" s="14"/>
      <c r="DF10" s="14"/>
      <c r="DG10" s="14"/>
      <c r="DH10" s="25"/>
      <c r="DI10" s="24"/>
      <c r="DJ10" s="14"/>
      <c r="DK10" s="14"/>
      <c r="DL10" s="14"/>
      <c r="DM10" s="14"/>
      <c r="DN10" s="14"/>
      <c r="DO10" s="14"/>
      <c r="DP10" s="25"/>
      <c r="DQ10" s="24"/>
      <c r="DR10" s="14"/>
      <c r="DS10" s="14"/>
      <c r="DT10" s="14"/>
      <c r="DU10" s="14"/>
      <c r="DV10" s="14"/>
      <c r="DW10" s="14"/>
      <c r="DX10" s="25"/>
      <c r="DY10" s="24"/>
      <c r="DZ10" s="14"/>
      <c r="EA10" s="14"/>
      <c r="EB10" s="14"/>
      <c r="EC10" s="14"/>
      <c r="ED10" s="14"/>
      <c r="EE10" s="14"/>
      <c r="EF10" s="25"/>
      <c r="EG10" s="119"/>
      <c r="EH10" s="14"/>
      <c r="EI10" s="14"/>
      <c r="EJ10" s="14"/>
      <c r="EK10" s="14"/>
      <c r="EL10" s="14"/>
      <c r="EM10" s="14"/>
      <c r="EN10" s="25"/>
      <c r="EO10" s="119"/>
      <c r="EP10" s="14"/>
      <c r="EQ10" s="14"/>
      <c r="ER10" s="14"/>
      <c r="ES10" s="14"/>
      <c r="ET10" s="14"/>
      <c r="EU10" s="14"/>
      <c r="EV10" s="25"/>
      <c r="FM10" s="119"/>
      <c r="FN10" s="14"/>
      <c r="FO10" s="14"/>
      <c r="FP10" s="14"/>
      <c r="FQ10" s="14"/>
      <c r="FR10" s="14"/>
      <c r="FS10" s="14"/>
      <c r="FT10" s="25"/>
      <c r="FU10" s="119"/>
      <c r="FV10" s="14"/>
      <c r="FW10" s="14"/>
      <c r="FX10" s="14"/>
      <c r="FY10" s="14"/>
      <c r="FZ10" s="14"/>
      <c r="GA10" s="14"/>
      <c r="GB10" s="25"/>
      <c r="GC10" s="195" t="s">
        <v>218</v>
      </c>
      <c r="GD10" s="194"/>
      <c r="GE10" s="15">
        <f>LOOKUP(GI5,Reference!$A$93:$A$97,Reference!$C$93:$C$97)</f>
        <v>-15.62</v>
      </c>
      <c r="GF10" s="15">
        <f>LOOKUP(GI5,Reference!$A$93:$A$97,Reference!$D$93:$D$97)</f>
        <v>1.69</v>
      </c>
      <c r="GG10" s="14"/>
      <c r="GH10" s="14"/>
      <c r="GI10" s="14"/>
      <c r="GJ10" s="30">
        <f>EXP(GE10+GF10*LN(GD5)+LN(GF5))</f>
        <v>0.98057727146300422</v>
      </c>
      <c r="GK10" s="195" t="s">
        <v>218</v>
      </c>
      <c r="GL10" s="194"/>
      <c r="GM10" s="15">
        <f>LOOKUP(GQ5,Reference!$A$93:$A$97,Reference!$C$93:$C$97)</f>
        <v>-12.53</v>
      </c>
      <c r="GN10" s="15">
        <f>LOOKUP(GQ5,Reference!$A$93:$A$97,Reference!$D$93:$D$97)</f>
        <v>1.38</v>
      </c>
      <c r="GO10" s="14"/>
      <c r="GP10" s="14"/>
      <c r="GQ10" s="14"/>
      <c r="GR10" s="30">
        <f>EXP(GM10+GN10*LN(GL5)+LN(GN5))</f>
        <v>24.299251873898037</v>
      </c>
      <c r="GS10" s="195" t="s">
        <v>218</v>
      </c>
      <c r="GT10" s="194"/>
      <c r="GU10" s="15">
        <f>LOOKUP(GY5,Reference!$A$93:$A$97,Reference!$C$93:$C$97)</f>
        <v>-15.62</v>
      </c>
      <c r="GV10" s="15">
        <f>LOOKUP(GY5,Reference!$A$93:$A$97,Reference!$D$93:$D$97)</f>
        <v>1.69</v>
      </c>
      <c r="GW10" s="14"/>
      <c r="GX10" s="14"/>
      <c r="GY10" s="14"/>
      <c r="GZ10" s="30">
        <f>EXP(GU10+GV10*LN(GT5)+LN(GV5))</f>
        <v>0.55633428680551544</v>
      </c>
      <c r="HA10" s="195" t="s">
        <v>218</v>
      </c>
      <c r="HB10" s="194"/>
      <c r="HC10" s="15">
        <f>LOOKUP(HG5,Reference!$A$93:$A$97,Reference!$C$93:$C$97)</f>
        <v>-9.9700000000000006</v>
      </c>
      <c r="HD10" s="15">
        <f>LOOKUP(HG5,Reference!$A$93:$A$97,Reference!$D$93:$D$97)</f>
        <v>1.17</v>
      </c>
      <c r="HE10" s="14"/>
      <c r="HF10" s="14"/>
      <c r="HG10" s="14"/>
      <c r="HH10" s="30">
        <f>EXP(HC10+HD10*LN(HB5)+LN(HD5))</f>
        <v>3.1045687904410619</v>
      </c>
      <c r="HI10" s="195" t="s">
        <v>218</v>
      </c>
      <c r="HJ10" s="194"/>
      <c r="HK10" s="15">
        <f>LOOKUP(HO5,Reference!$A$93:$A$97,Reference!$C$93:$C$97)</f>
        <v>-9.9700000000000006</v>
      </c>
      <c r="HL10" s="15">
        <f>LOOKUP(HO5,Reference!$A$93:$A$97,Reference!$D$93:$D$97)</f>
        <v>1.17</v>
      </c>
      <c r="HM10" s="14"/>
      <c r="HN10" s="14"/>
      <c r="HO10" s="14"/>
      <c r="HP10" s="30">
        <f>EXP(HK10+HL10*LN(HJ5)+LN(HL5))</f>
        <v>2.0545848777235407</v>
      </c>
    </row>
    <row r="11" spans="1:224" x14ac:dyDescent="0.25">
      <c r="A11" s="194" t="s">
        <v>5</v>
      </c>
      <c r="B11" s="194"/>
      <c r="C11" s="17">
        <f>LOOKUP(G5,Reference!$A$261:$A$264,Reference!$F$261:$F$264)</f>
        <v>-2.274</v>
      </c>
      <c r="D11" s="17">
        <f>LOOKUP(G5,Reference!$A$261:$A$264,Reference!$G$261:$G$264)</f>
        <v>0.876</v>
      </c>
      <c r="E11" s="17">
        <f>LOOKUP(G5,Reference!$A$261:$A$264,Reference!$H$261:$H$264)</f>
        <v>1E-3</v>
      </c>
      <c r="F11" s="14"/>
      <c r="G11" s="14"/>
      <c r="H11" s="30">
        <f>D5*EXP(C11+D11*LN(E11*B5))</f>
        <v>3.0385762609648648</v>
      </c>
      <c r="I11" s="194" t="s">
        <v>5</v>
      </c>
      <c r="J11" s="194"/>
      <c r="K11" s="17">
        <f>LOOKUP(O5,Reference!$A$261:$A$264,Reference!$F$261:$F$264)</f>
        <v>-2.274</v>
      </c>
      <c r="L11" s="17">
        <f>LOOKUP(O5,Reference!$A$261:$A$264,Reference!$G$261:$G$264)</f>
        <v>0.876</v>
      </c>
      <c r="M11" s="17">
        <f>LOOKUP(O5,Reference!$A$261:$A$264,Reference!$H$261:$H$264)</f>
        <v>1E-3</v>
      </c>
      <c r="N11" s="14"/>
      <c r="O11" s="14"/>
      <c r="P11" s="30">
        <f>L5*EXP(K11+L11*LN(M11*J5))</f>
        <v>24.972676138970968</v>
      </c>
      <c r="Y11" s="195" t="s">
        <v>5</v>
      </c>
      <c r="Z11" s="194"/>
      <c r="AA11" s="17">
        <f>LOOKUP(AE5,Reference!$A$261:$A$264,Reference!$F$261:$F$264)</f>
        <v>-2.274</v>
      </c>
      <c r="AB11" s="17">
        <f>LOOKUP(AE5,Reference!$A$261:$A$264,Reference!$G$261:$G$264)</f>
        <v>0.876</v>
      </c>
      <c r="AC11" s="17">
        <f>LOOKUP(AE5,Reference!$A$261:$A$264,Reference!$H$261:$H$264)</f>
        <v>1E-3</v>
      </c>
      <c r="AD11" s="14"/>
      <c r="AE11" s="14"/>
      <c r="AF11" s="30">
        <f>AB5*EXP(AA11+AB11*LN(AC11*Z5))</f>
        <v>2.3012762461472711</v>
      </c>
      <c r="AG11" s="195" t="s">
        <v>5</v>
      </c>
      <c r="AH11" s="194"/>
      <c r="AI11" s="17">
        <f>LOOKUP(AM5,Reference!$A$261:$A$264,Reference!$F$261:$F$264)</f>
        <v>-2.2349999999999999</v>
      </c>
      <c r="AJ11" s="17">
        <f>LOOKUP(AM5,Reference!$A$261:$A$264,Reference!$G$261:$G$264)</f>
        <v>0.876</v>
      </c>
      <c r="AK11" s="17">
        <f>LOOKUP(AM5,Reference!$A$261:$A$264,Reference!$H$261:$H$264)</f>
        <v>1E-3</v>
      </c>
      <c r="AL11" s="14"/>
      <c r="AM11" s="14"/>
      <c r="AN11" s="30">
        <f>AJ5*EXP(AI11+AJ11*LN(AK11*AH5))</f>
        <v>11.122110389571025</v>
      </c>
      <c r="AO11" s="24"/>
      <c r="AP11" s="14"/>
      <c r="AQ11" s="14"/>
      <c r="AR11" s="14"/>
      <c r="AS11" s="14"/>
      <c r="AT11" s="14"/>
      <c r="AU11" s="14"/>
      <c r="AV11" s="25"/>
      <c r="AW11" s="24"/>
      <c r="AX11" s="14"/>
      <c r="AY11" s="14"/>
      <c r="AZ11" s="14"/>
      <c r="BA11" s="14"/>
      <c r="BB11" s="14"/>
      <c r="BC11" s="14"/>
      <c r="BD11" s="25"/>
      <c r="BE11" s="24"/>
      <c r="BF11" s="14"/>
      <c r="BG11" s="14"/>
      <c r="BH11" s="14"/>
      <c r="BI11" s="14"/>
      <c r="BJ11" s="14"/>
      <c r="BK11" s="14"/>
      <c r="BL11" s="25"/>
      <c r="BM11" s="24"/>
      <c r="BN11" s="14"/>
      <c r="BO11" s="14"/>
      <c r="BP11" s="14"/>
      <c r="BQ11" s="14"/>
      <c r="BR11" s="14"/>
      <c r="BS11" s="14"/>
      <c r="BT11" s="25"/>
      <c r="DA11" s="24"/>
      <c r="DB11" s="14"/>
      <c r="DC11" s="14"/>
      <c r="DD11" s="14"/>
      <c r="DE11" s="14"/>
      <c r="DF11" s="14"/>
      <c r="DG11" s="14"/>
      <c r="DH11" s="25"/>
      <c r="DI11" s="24"/>
      <c r="DJ11" s="14"/>
      <c r="DK11" s="14"/>
      <c r="DL11" s="14"/>
      <c r="DM11" s="14"/>
      <c r="DN11" s="14"/>
      <c r="DO11" s="14"/>
      <c r="DP11" s="25"/>
      <c r="DQ11" s="24"/>
      <c r="DR11" s="14"/>
      <c r="DS11" s="14"/>
      <c r="DT11" s="14"/>
      <c r="DU11" s="14"/>
      <c r="DV11" s="14"/>
      <c r="DW11" s="14"/>
      <c r="DX11" s="25"/>
      <c r="DY11" s="24"/>
      <c r="DZ11" s="14"/>
      <c r="EA11" s="14"/>
      <c r="EB11" s="14"/>
      <c r="EC11" s="14"/>
      <c r="ED11" s="14"/>
      <c r="EE11" s="14"/>
      <c r="EF11" s="25"/>
      <c r="EG11" s="24"/>
      <c r="EH11" s="14"/>
      <c r="EI11" s="14"/>
      <c r="EJ11" s="14"/>
      <c r="EK11" s="14"/>
      <c r="EL11" s="14"/>
      <c r="EM11" s="14"/>
      <c r="EN11" s="25"/>
      <c r="EO11" s="24"/>
      <c r="EP11" s="14"/>
      <c r="EQ11" s="14"/>
      <c r="ER11" s="14"/>
      <c r="ES11" s="14"/>
      <c r="ET11" s="14"/>
      <c r="EU11" s="14"/>
      <c r="EV11" s="25"/>
      <c r="FM11" s="24"/>
      <c r="FN11" s="14"/>
      <c r="FO11" s="14"/>
      <c r="FP11" s="14"/>
      <c r="FQ11" s="14"/>
      <c r="FR11" s="14"/>
      <c r="FS11" s="14"/>
      <c r="FT11" s="25"/>
      <c r="FU11" s="24"/>
      <c r="FV11" s="14"/>
      <c r="FW11" s="14"/>
      <c r="FX11" s="14"/>
      <c r="FY11" s="14"/>
      <c r="FZ11" s="14"/>
      <c r="GA11" s="14"/>
      <c r="GB11" s="25"/>
      <c r="GC11" s="195" t="s">
        <v>3</v>
      </c>
      <c r="GD11" s="194"/>
      <c r="GE11" s="15">
        <f>LOOKUP(GI5,Reference!$A$81:$A$85,Reference!$E$81:$E$85)</f>
        <v>-5.47</v>
      </c>
      <c r="GF11" s="15">
        <f>LOOKUP(GI5,Reference!$A$81:$A$85,Reference!$F$81:$F$85)</f>
        <v>0.56000000000000005</v>
      </c>
      <c r="GG11" s="14"/>
      <c r="GH11" s="14"/>
      <c r="GI11" s="14"/>
      <c r="GJ11" s="30">
        <f>EXP(GE11+GF11*LN(GD5)+LN(GF5))</f>
        <v>0.36692664072693226</v>
      </c>
      <c r="GK11" s="195" t="s">
        <v>3</v>
      </c>
      <c r="GL11" s="194"/>
      <c r="GM11" s="15">
        <f>LOOKUP(GQ5,Reference!$A$81:$A$85,Reference!$E$81:$E$85)</f>
        <v>-7.99</v>
      </c>
      <c r="GN11" s="15">
        <f>LOOKUP(GQ5,Reference!$A$81:$A$85,Reference!$F$81:$F$85)</f>
        <v>0.81</v>
      </c>
      <c r="GO11" s="14"/>
      <c r="GP11" s="14"/>
      <c r="GQ11" s="14"/>
      <c r="GR11" s="30">
        <f>EXP(GM11+GN11*LN(GL5)+LN(GN5))</f>
        <v>5.0063117071026628</v>
      </c>
      <c r="GS11" s="195" t="s">
        <v>3</v>
      </c>
      <c r="GT11" s="194"/>
      <c r="GU11" s="15">
        <f>LOOKUP(GY5,Reference!$A$81:$A$85,Reference!$E$81:$E$85)</f>
        <v>-5.47</v>
      </c>
      <c r="GV11" s="15">
        <f>LOOKUP(GY5,Reference!$A$81:$A$85,Reference!$F$81:$F$85)</f>
        <v>0.56000000000000005</v>
      </c>
      <c r="GW11" s="14"/>
      <c r="GX11" s="14"/>
      <c r="GY11" s="14"/>
      <c r="GZ11" s="30">
        <f>EXP(GU11+GV11*LN(GT5)+LN(GV5))</f>
        <v>0.61357829129304819</v>
      </c>
      <c r="HA11" s="195" t="s">
        <v>3</v>
      </c>
      <c r="HB11" s="194"/>
      <c r="HC11" s="15">
        <f>LOOKUP(HG5,Reference!$A$81:$A$85,Reference!$E$81:$E$85)</f>
        <v>-4.82</v>
      </c>
      <c r="HD11" s="15">
        <f>LOOKUP(HG5,Reference!$A$81:$A$85,Reference!$F$81:$F$85)</f>
        <v>0.54</v>
      </c>
      <c r="HE11" s="14"/>
      <c r="HF11" s="14"/>
      <c r="HG11" s="14"/>
      <c r="HH11" s="30">
        <f>EXP(HC11+HD11*LN(HB5)+LN(HD5))</f>
        <v>0.70900742440490894</v>
      </c>
      <c r="HI11" s="195" t="s">
        <v>3</v>
      </c>
      <c r="HJ11" s="194"/>
      <c r="HK11" s="15">
        <f>LOOKUP(HO5,Reference!$A$81:$A$85,Reference!$E$81:$E$85)</f>
        <v>-4.82</v>
      </c>
      <c r="HL11" s="15">
        <f>LOOKUP(HO5,Reference!$A$81:$A$85,Reference!$F$81:$F$85)</f>
        <v>0.54</v>
      </c>
      <c r="HM11" s="14"/>
      <c r="HN11" s="14"/>
      <c r="HO11" s="14"/>
      <c r="HP11" s="30">
        <f>EXP(HK11+HL11*LN(HJ5)+LN(HL5))</f>
        <v>0.58601328257956198</v>
      </c>
    </row>
    <row r="12" spans="1:224" x14ac:dyDescent="0.25">
      <c r="A12" s="14"/>
      <c r="B12" s="14"/>
      <c r="C12" s="14"/>
      <c r="D12" s="14"/>
      <c r="E12" s="14"/>
      <c r="F12" s="14"/>
      <c r="G12" s="14"/>
      <c r="H12" s="25"/>
      <c r="I12" s="14"/>
      <c r="J12" s="14"/>
      <c r="K12" s="14"/>
      <c r="L12" s="14"/>
      <c r="M12" s="14"/>
      <c r="N12" s="14"/>
      <c r="O12" s="14"/>
      <c r="P12" s="25"/>
      <c r="Y12" s="24"/>
      <c r="Z12" s="14"/>
      <c r="AA12" s="14"/>
      <c r="AB12" s="14"/>
      <c r="AC12" s="14"/>
      <c r="AD12" s="14"/>
      <c r="AE12" s="14"/>
      <c r="AF12" s="25"/>
      <c r="AG12" s="24"/>
      <c r="AH12" s="14"/>
      <c r="AI12" s="14"/>
      <c r="AJ12" s="14"/>
      <c r="AK12" s="14"/>
      <c r="AL12" s="14"/>
      <c r="AM12" s="14"/>
      <c r="AN12" s="25"/>
      <c r="AO12" s="24"/>
      <c r="AP12" s="14"/>
      <c r="AQ12" s="14"/>
      <c r="AR12" s="14"/>
      <c r="AS12" s="14"/>
      <c r="AT12" s="14"/>
      <c r="AU12" s="14"/>
      <c r="AV12" s="25"/>
      <c r="AW12" s="24"/>
      <c r="AX12" s="14"/>
      <c r="AY12" s="14"/>
      <c r="AZ12" s="14"/>
      <c r="BA12" s="14"/>
      <c r="BB12" s="14"/>
      <c r="BC12" s="14"/>
      <c r="BD12" s="25"/>
      <c r="BE12" s="24"/>
      <c r="BF12" s="14"/>
      <c r="BG12" s="14"/>
      <c r="BH12" s="14"/>
      <c r="BI12" s="14"/>
      <c r="BJ12" s="14"/>
      <c r="BK12" s="14"/>
      <c r="BL12" s="25"/>
      <c r="BM12" s="24"/>
      <c r="BN12" s="14"/>
      <c r="BO12" s="14"/>
      <c r="BP12" s="14"/>
      <c r="BQ12" s="14"/>
      <c r="BR12" s="14"/>
      <c r="BS12" s="14"/>
      <c r="BT12" s="25"/>
      <c r="DA12" s="24"/>
      <c r="DB12" s="14"/>
      <c r="DC12" s="14"/>
      <c r="DD12" s="14"/>
      <c r="DE12" s="14"/>
      <c r="DF12" s="14"/>
      <c r="DG12" s="14"/>
      <c r="DH12" s="25"/>
      <c r="DI12" s="24"/>
      <c r="DJ12" s="14"/>
      <c r="DK12" s="14"/>
      <c r="DL12" s="14"/>
      <c r="DM12" s="14"/>
      <c r="DN12" s="14"/>
      <c r="DO12" s="14"/>
      <c r="DP12" s="25"/>
      <c r="DQ12" s="24"/>
      <c r="DR12" s="14"/>
      <c r="DS12" s="14"/>
      <c r="DT12" s="14"/>
      <c r="DU12" s="14"/>
      <c r="DV12" s="14"/>
      <c r="DW12" s="14"/>
      <c r="DX12" s="25"/>
      <c r="DY12" s="24"/>
      <c r="DZ12" s="14"/>
      <c r="EA12" s="14"/>
      <c r="EB12" s="14"/>
      <c r="EC12" s="14"/>
      <c r="ED12" s="14"/>
      <c r="EE12" s="14"/>
      <c r="EF12" s="25"/>
      <c r="EG12" s="24"/>
      <c r="EH12" s="14"/>
      <c r="EI12" s="112" t="s">
        <v>7</v>
      </c>
      <c r="EJ12" s="112" t="s">
        <v>6</v>
      </c>
      <c r="EK12" s="112" t="s">
        <v>8</v>
      </c>
      <c r="EL12" s="112" t="s">
        <v>38</v>
      </c>
      <c r="EM12" s="14"/>
      <c r="EN12" s="25"/>
      <c r="EO12" s="24"/>
      <c r="EP12" s="14"/>
      <c r="EQ12" s="112" t="s">
        <v>7</v>
      </c>
      <c r="ER12" s="112" t="s">
        <v>6</v>
      </c>
      <c r="ES12" s="112" t="s">
        <v>8</v>
      </c>
      <c r="ET12" s="112" t="s">
        <v>38</v>
      </c>
      <c r="EU12" s="14"/>
      <c r="EV12" s="25"/>
      <c r="FM12" s="24"/>
      <c r="FN12" s="14"/>
      <c r="FO12" s="112" t="s">
        <v>7</v>
      </c>
      <c r="FP12" s="112" t="s">
        <v>6</v>
      </c>
      <c r="FQ12" s="112" t="s">
        <v>8</v>
      </c>
      <c r="FR12" s="112" t="s">
        <v>38</v>
      </c>
      <c r="FS12" s="14"/>
      <c r="FT12" s="25"/>
      <c r="FU12" s="24"/>
      <c r="FV12" s="14"/>
      <c r="FW12" s="112" t="s">
        <v>7</v>
      </c>
      <c r="FX12" s="112" t="s">
        <v>6</v>
      </c>
      <c r="FY12" s="112" t="s">
        <v>8</v>
      </c>
      <c r="FZ12" s="112" t="s">
        <v>38</v>
      </c>
      <c r="GA12" s="14"/>
      <c r="GB12" s="25"/>
      <c r="GC12" s="195" t="s">
        <v>4</v>
      </c>
      <c r="GD12" s="194"/>
      <c r="GE12" s="15">
        <f>LOOKUP(GI5,Reference!$A$87:$A$91,Reference!$E$87:$E$91)</f>
        <v>-3.96</v>
      </c>
      <c r="GF12" s="15">
        <f>LOOKUP(GI5,Reference!$A$87:$A$91,Reference!$F$87:$F$91)</f>
        <v>0.23</v>
      </c>
      <c r="GG12" s="14"/>
      <c r="GH12" s="14"/>
      <c r="GI12" s="14"/>
      <c r="GJ12" s="30">
        <f>EXP(GE12+GF12*LN(GD5)+LN(GF5))</f>
        <v>6.4324323027310296E-2</v>
      </c>
      <c r="GK12" s="195" t="s">
        <v>4</v>
      </c>
      <c r="GL12" s="194"/>
      <c r="GM12" s="15">
        <f>LOOKUP(GQ5,Reference!$A$87:$A$91,Reference!$E$87:$E$91)</f>
        <v>-7.37</v>
      </c>
      <c r="GN12" s="15">
        <f>LOOKUP(GQ5,Reference!$A$87:$A$91,Reference!$F$87:$F$91)</f>
        <v>0.61</v>
      </c>
      <c r="GO12" s="14"/>
      <c r="GP12" s="14"/>
      <c r="GQ12" s="14"/>
      <c r="GR12" s="30">
        <f>EXP(GM12+GN12*LN(GL5)+LN(GN5))</f>
        <v>1.0869983853042933</v>
      </c>
      <c r="GS12" s="195" t="s">
        <v>4</v>
      </c>
      <c r="GT12" s="194"/>
      <c r="GU12" s="15">
        <f>LOOKUP(GY5,Reference!$A$87:$A$91,Reference!$E$87:$E$91)</f>
        <v>-3.96</v>
      </c>
      <c r="GV12" s="15">
        <f>LOOKUP(GY5,Reference!$A$87:$A$91,Reference!$F$87:$F$91)</f>
        <v>0.23</v>
      </c>
      <c r="GW12" s="14"/>
      <c r="GX12" s="14"/>
      <c r="GY12" s="14"/>
      <c r="GZ12" s="30">
        <f>EXP(GU12+GV12*LN(GT5)+LN(GV5))</f>
        <v>0.14748848327257252</v>
      </c>
      <c r="HA12" s="195" t="s">
        <v>4</v>
      </c>
      <c r="HB12" s="194"/>
      <c r="HC12" s="15">
        <f>LOOKUP(HG5,Reference!$A$87:$A$91,Reference!$E$87:$E$91)</f>
        <v>-4.43</v>
      </c>
      <c r="HD12" s="15">
        <f>LOOKUP(HG5,Reference!$A$87:$A$91,Reference!$F$87:$F$91)</f>
        <v>0.35</v>
      </c>
      <c r="HE12" s="14"/>
      <c r="HF12" s="14"/>
      <c r="HG12" s="14"/>
      <c r="HH12" s="30">
        <f>EXP(HC12+HD12*LN(HB5)+LN(HD5))</f>
        <v>0.14192774523479637</v>
      </c>
      <c r="HI12" s="195" t="s">
        <v>4</v>
      </c>
      <c r="HJ12" s="194"/>
      <c r="HK12" s="15">
        <f>LOOKUP(HO5,Reference!$A$87:$A$91,Reference!$E$87:$E$91)</f>
        <v>-4.43</v>
      </c>
      <c r="HL12" s="15">
        <f>LOOKUP(HO5,Reference!$A$87:$A$91,Reference!$F$87:$F$91)</f>
        <v>0.35</v>
      </c>
      <c r="HM12" s="14"/>
      <c r="HN12" s="14"/>
      <c r="HO12" s="14"/>
      <c r="HP12" s="30">
        <f>EXP(HK12+HL12*LN(HJ5)+LN(HL5))</f>
        <v>0.12544038309501854</v>
      </c>
    </row>
    <row r="13" spans="1:224" x14ac:dyDescent="0.25">
      <c r="A13" s="14"/>
      <c r="B13" s="14"/>
      <c r="C13" s="14"/>
      <c r="D13" s="14"/>
      <c r="E13" s="14"/>
      <c r="F13" s="14"/>
      <c r="G13" s="14"/>
      <c r="H13" s="25"/>
      <c r="I13" s="14"/>
      <c r="J13" s="14"/>
      <c r="K13" s="14"/>
      <c r="L13" s="14"/>
      <c r="M13" s="14"/>
      <c r="N13" s="14"/>
      <c r="O13" s="14"/>
      <c r="P13" s="25"/>
      <c r="Y13" s="24"/>
      <c r="Z13" s="14"/>
      <c r="AA13" s="14"/>
      <c r="AB13" s="14"/>
      <c r="AC13" s="14"/>
      <c r="AD13" s="14"/>
      <c r="AE13" s="14"/>
      <c r="AF13" s="25"/>
      <c r="AG13" s="24"/>
      <c r="AH13" s="14"/>
      <c r="AI13" s="14"/>
      <c r="AJ13" s="14"/>
      <c r="AK13" s="14"/>
      <c r="AL13" s="14"/>
      <c r="AM13" s="14"/>
      <c r="AN13" s="25"/>
      <c r="AO13" s="24"/>
      <c r="AP13" s="14"/>
      <c r="AQ13" s="112" t="s">
        <v>7</v>
      </c>
      <c r="AR13" s="112" t="s">
        <v>6</v>
      </c>
      <c r="AS13" s="112" t="s">
        <v>8</v>
      </c>
      <c r="AT13" s="41" t="s">
        <v>38</v>
      </c>
      <c r="AU13" s="14"/>
      <c r="AV13" s="25"/>
      <c r="AW13" s="24"/>
      <c r="AX13" s="14"/>
      <c r="AY13" s="112" t="s">
        <v>7</v>
      </c>
      <c r="AZ13" s="112" t="s">
        <v>6</v>
      </c>
      <c r="BA13" s="112" t="s">
        <v>8</v>
      </c>
      <c r="BB13" s="41" t="s">
        <v>38</v>
      </c>
      <c r="BC13" s="14"/>
      <c r="BD13" s="25"/>
      <c r="BE13" s="24"/>
      <c r="BF13" s="14"/>
      <c r="BG13" s="112" t="s">
        <v>7</v>
      </c>
      <c r="BH13" s="112" t="s">
        <v>6</v>
      </c>
      <c r="BI13" s="112" t="s">
        <v>8</v>
      </c>
      <c r="BJ13" s="41" t="s">
        <v>38</v>
      </c>
      <c r="BK13" s="14"/>
      <c r="BL13" s="25"/>
      <c r="BM13" s="24"/>
      <c r="BN13" s="14"/>
      <c r="BO13" s="112" t="s">
        <v>7</v>
      </c>
      <c r="BP13" s="112" t="s">
        <v>6</v>
      </c>
      <c r="BQ13" s="112" t="s">
        <v>8</v>
      </c>
      <c r="BR13" s="41" t="s">
        <v>38</v>
      </c>
      <c r="BS13" s="14"/>
      <c r="BT13" s="25"/>
      <c r="DA13" s="24"/>
      <c r="DB13" s="14"/>
      <c r="DC13" s="112" t="s">
        <v>7</v>
      </c>
      <c r="DD13" s="112" t="s">
        <v>6</v>
      </c>
      <c r="DE13" s="112" t="s">
        <v>8</v>
      </c>
      <c r="DF13" s="41" t="s">
        <v>38</v>
      </c>
      <c r="DG13" s="14"/>
      <c r="DH13" s="25"/>
      <c r="DI13" s="24"/>
      <c r="DJ13" s="14"/>
      <c r="DK13" s="112" t="s">
        <v>7</v>
      </c>
      <c r="DL13" s="112" t="s">
        <v>6</v>
      </c>
      <c r="DM13" s="112" t="s">
        <v>8</v>
      </c>
      <c r="DN13" s="41" t="s">
        <v>38</v>
      </c>
      <c r="DO13" s="14"/>
      <c r="DP13" s="25"/>
      <c r="DQ13" s="24"/>
      <c r="DR13" s="14"/>
      <c r="DS13" s="112" t="s">
        <v>7</v>
      </c>
      <c r="DT13" s="112" t="s">
        <v>6</v>
      </c>
      <c r="DU13" s="112" t="s">
        <v>8</v>
      </c>
      <c r="DV13" s="41" t="s">
        <v>38</v>
      </c>
      <c r="DW13" s="14"/>
      <c r="DX13" s="25"/>
      <c r="DY13" s="24"/>
      <c r="DZ13" s="14"/>
      <c r="EA13" s="112" t="s">
        <v>7</v>
      </c>
      <c r="EB13" s="112" t="s">
        <v>6</v>
      </c>
      <c r="EC13" s="112" t="s">
        <v>8</v>
      </c>
      <c r="ED13" s="41" t="s">
        <v>38</v>
      </c>
      <c r="EE13" s="14"/>
      <c r="EF13" s="25"/>
      <c r="EG13" s="195" t="s">
        <v>19</v>
      </c>
      <c r="EH13" s="194"/>
      <c r="EI13" s="17">
        <f>IF(EK9="Signalized",IF(EK7=2,LOOKUP(EM5,Reference!$A$269:$A$275,Reference!$C$269:$C$275),IF(EK7=3,LOOKUP(EM5,Reference!$A$285:$A$291,Reference!$C$285:$C$291),IF(EK7=4,LOOKUP(EM5,Reference!$A$301:$A$307,Reference!$C$301:$C$307),IF(EK7=5,LOOKUP(EM5,Reference!$A$317:$A$323,Reference!$C$317:$C$323),LOOKUP(EM5,Reference!$A$333:$A$339,Reference!$C$333:$C$339))))),IF(EK5="Rural",LOOKUP(EM5,Reference!$A$350:$A$356,Reference!$C$350:$C$356),LOOKUP(EM5,Reference!$A$366:$A$372,Reference!$C$366:$C$372)))</f>
        <v>-2.335</v>
      </c>
      <c r="EJ13" s="17">
        <f>IF(EK9="Signalized",IF(EK7=2,LOOKUP(EM5,Reference!$A$269:$A$275,Reference!$D$269:$D$275),IF(EK7=3,LOOKUP(EM5,Reference!$A$285:$A$291,Reference!$D$285:$D$291),IF(EK7=4,LOOKUP(EM5,Reference!$A$301:$A$307,Reference!$D$301:$D$307),IF(EK7=5,LOOKUP(EM5,Reference!$A$317:$A$323,Reference!$D$317:$D$323),LOOKUP(EM5,Reference!$A$333:$A$339,Reference!$D$333:$D$339))))),IF(EK5="Rural",LOOKUP(EM5,Reference!$A$350:$A$356,Reference!$D$350:$D$356),LOOKUP(EM5,Reference!$A$366:$A$372,Reference!$D$366:$D$372)))</f>
        <v>1.1910000000000001</v>
      </c>
      <c r="EK13" s="17">
        <f>IF(EK9="Signalized",IF(EK7=2,LOOKUP(EM5,Reference!$A$269:$A$275,Reference!$E$269:$E$275),IF(EK7=3,LOOKUP(EM5,Reference!$A$285:$A$291,Reference!$E$285:$E$291),IF(EK7=4,LOOKUP(EM5,Reference!$A$301:$A$307,Reference!$E$301:$E$307),IF(EK7=5,LOOKUP(EM5,Reference!$A$317:$A$323,Reference!$E$317:$E$323),LOOKUP(EM5,Reference!$A$333:$A$339,Reference!$E$333:$E$339))))),IF(EK5="Rural",LOOKUP(EM5,Reference!$A$350:$A$356,Reference!$E$350:$E$356),LOOKUP(EM5,Reference!$A$366:$A$372,Reference!$E$366:$E$372)))</f>
        <v>1E-3</v>
      </c>
      <c r="EL13" s="17">
        <f>IF(EK9="Signalized",IF(EK7=2,LOOKUP(EM5,Reference!$A$269:$A$275,Reference!$F$269:$F$275),IF(EK7=3,LOOKUP(EM5,Reference!$A$285:$A$291,Reference!$F$285:$F$291),IF(EK7=4,LOOKUP(EM5,Reference!$A$301:$A$307,Reference!$F$301:$F$307),IF(EK7=5,LOOKUP(EM5,Reference!$A$317:$A$323,Reference!$F$317:$F$323),LOOKUP(EM5,Reference!$A$333:$A$339,Reference!$F$333:$F$339))))),IF(EK5="Rural",LOOKUP(EM5,Reference!$A$350:$A$356,Reference!$F$350:$F$356),LOOKUP(EM5,Reference!$A$366:$A$372,Reference!$F$366:$F$372)))</f>
        <v>0.13100000000000001</v>
      </c>
      <c r="EM13" s="14"/>
      <c r="EN13" s="25"/>
      <c r="EO13" s="195" t="s">
        <v>19</v>
      </c>
      <c r="EP13" s="194"/>
      <c r="EQ13" s="17">
        <f>IF(ES9="Signalized",IF(ES7=2,LOOKUP(EU5,Reference!$A$269:$A$275,Reference!$C$269:$C$275),IF(ES7=3,LOOKUP(EU5,Reference!$A$285:$A$291,Reference!$C$285:$C$291),IF(ES7=4,LOOKUP(EU5,Reference!$A$301:$A$307,Reference!$C$301:$C$307),IF(ES7=5,LOOKUP(EU5,Reference!$A$317:$A$323,Reference!$C$317:$C$323),LOOKUP(EU5,Reference!$A$333:$A$339,Reference!$C$333:$C$339))))),IF(ES5="Rural",LOOKUP(EU5,Reference!$A$350:$A$356,Reference!$C$350:$C$356),LOOKUP(EU5,Reference!$A$366:$A$372,Reference!$C$366:$C$372)))</f>
        <v>-2.335</v>
      </c>
      <c r="ER13" s="17">
        <f>IF(ES9="Signalized",IF(ES7=2,LOOKUP(EU5,Reference!$A$269:$A$275,Reference!$D$269:$D$275),IF(ES7=3,LOOKUP(EU5,Reference!$A$285:$A$291,Reference!$D$285:$D$291),IF(ES7=4,LOOKUP(EU5,Reference!$A$301:$A$307,Reference!$D$301:$D$307),IF(ES7=5,LOOKUP(EU5,Reference!$A$317:$A$323,Reference!$D$317:$D$323),LOOKUP(EU5,Reference!$A$333:$A$339,Reference!$D$333:$D$339))))),IF(ES5="Rural",LOOKUP(EU5,Reference!$A$350:$A$356,Reference!$D$350:$D$356),LOOKUP(EU5,Reference!$A$366:$A$372,Reference!$D$366:$D$372)))</f>
        <v>1.1910000000000001</v>
      </c>
      <c r="ES13" s="17">
        <f>IF(ES9="Signalized",IF(ES7=2,LOOKUP(EU5,Reference!$A$269:$A$275,Reference!$E$269:$E$275),IF(ES7=3,LOOKUP(EU5,Reference!$A$285:$A$291,Reference!$E$285:$E$291),IF(ES7=4,LOOKUP(EU5,Reference!$A$301:$A$307,Reference!$E$301:$E$307),IF(ES7=5,LOOKUP(EU5,Reference!$A$317:$A$323,Reference!$E$317:$E$323),LOOKUP(EU5,Reference!$A$333:$A$339,Reference!$E$333:$E$339))))),IF(ES5="Rural",LOOKUP(EU5,Reference!$A$350:$A$356,Reference!$E$350:$E$356),LOOKUP(EU5,Reference!$A$366:$A$372,Reference!$E$366:$E$372)))</f>
        <v>1E-3</v>
      </c>
      <c r="ET13" s="17">
        <f>IF(ES9="Signalized",IF(ES7=2,LOOKUP(EU5,Reference!$A$269:$A$275,Reference!$F$269:$F$275),IF(ES7=3,LOOKUP(EU5,Reference!$A$285:$A$291,Reference!$F$285:$F$291),IF(ES7=4,LOOKUP(EU5,Reference!$A$301:$A$307,Reference!$F$301:$F$307),IF(ES7=5,LOOKUP(EU5,Reference!$A$317:$A$323,Reference!$F$317:$F$323),LOOKUP(EU5,Reference!$A$333:$A$339,Reference!$F$333:$F$339))))),IF(ES5="Rural",LOOKUP(EU5,Reference!$A$350:$A$356,Reference!$F$350:$F$356),LOOKUP(EU5,Reference!$A$366:$A$372,Reference!$F$366:$F$372)))</f>
        <v>0.13100000000000001</v>
      </c>
      <c r="EU13" s="14"/>
      <c r="EV13" s="25"/>
      <c r="FM13" s="195" t="s">
        <v>19</v>
      </c>
      <c r="FN13" s="194"/>
      <c r="FO13" s="17">
        <f>IF(FQ9="Signalized",IF(FQ7=2,LOOKUP(FS5,Reference!$A$269:$A$275,Reference!$C$269:$C$275),IF(FQ7=3,LOOKUP(FS5,Reference!$A$285:$A$291,Reference!$C$285:$C$291),IF(FQ7=4,LOOKUP(FS5,Reference!$A$301:$A$307,Reference!$C$301:$C$307),IF(FQ7=5,LOOKUP(FS5,Reference!$A$317:$A$323,Reference!$C$317:$C$323),LOOKUP(FS5,Reference!$A$333:$A$339,Reference!$C$333:$C$339))))),IF(FQ5="Rural",LOOKUP(FS5,Reference!$A$350:$A$356,Reference!$C$350:$C$356),LOOKUP(FS5,Reference!$A$366:$A$372,Reference!$C$366:$C$372)))</f>
        <v>-2.335</v>
      </c>
      <c r="FP13" s="17">
        <f>IF(FQ9="Signalized",IF(FQ7=2,LOOKUP(FS5,Reference!$A$269:$A$275,Reference!$D$269:$D$275),IF(FQ7=3,LOOKUP(FS5,Reference!$A$285:$A$291,Reference!$D$285:$D$291),IF(FQ7=4,LOOKUP(FS5,Reference!$A$301:$A$307,Reference!$D$301:$D$307),IF(FQ7=5,LOOKUP(FS5,Reference!$A$317:$A$323,Reference!$D$317:$D$323),LOOKUP(FS5,Reference!$A$333:$A$339,Reference!$D$333:$D$339))))),IF(FQ5="Rural",LOOKUP(FS5,Reference!$A$350:$A$356,Reference!$D$350:$D$356),LOOKUP(FS5,Reference!$A$366:$A$372,Reference!$D$366:$D$372)))</f>
        <v>1.1910000000000001</v>
      </c>
      <c r="FQ13" s="17">
        <f>IF(FQ9="Signalized",IF(FQ7=2,LOOKUP(FS5,Reference!$A$269:$A$275,Reference!$E$269:$E$275),IF(FQ7=3,LOOKUP(FS5,Reference!$A$285:$A$291,Reference!$E$285:$E$291),IF(FQ7=4,LOOKUP(FS5,Reference!$A$301:$A$307,Reference!$E$301:$E$307),IF(FQ7=5,LOOKUP(FS5,Reference!$A$317:$A$323,Reference!$E$317:$E$323),LOOKUP(FS5,Reference!$A$333:$A$339,Reference!$E$333:$E$339))))),IF(FQ5="Rural",LOOKUP(FS5,Reference!$A$350:$A$356,Reference!$E$350:$E$356),LOOKUP(FS5,Reference!$A$366:$A$372,Reference!$E$366:$E$372)))</f>
        <v>1E-3</v>
      </c>
      <c r="FR13" s="17">
        <f>IF(FQ9="Signalized",IF(FQ7=2,LOOKUP(FS5,Reference!$A$269:$A$275,Reference!$F$269:$F$275),IF(FQ7=3,LOOKUP(FS5,Reference!$A$285:$A$291,Reference!$F$285:$F$291),IF(FQ7=4,LOOKUP(FS5,Reference!$A$301:$A$307,Reference!$F$301:$F$307),IF(FQ7=5,LOOKUP(FS5,Reference!$A$317:$A$323,Reference!$F$317:$F$323),LOOKUP(FS5,Reference!$A$333:$A$339,Reference!$F$333:$F$339))))),IF(FQ5="Rural",LOOKUP(FS5,Reference!$A$350:$A$356,Reference!$F$350:$F$356),LOOKUP(FS5,Reference!$A$366:$A$372,Reference!$F$366:$F$372)))</f>
        <v>0.13100000000000001</v>
      </c>
      <c r="FS13" s="14"/>
      <c r="FT13" s="25"/>
      <c r="FU13" s="195" t="s">
        <v>19</v>
      </c>
      <c r="FV13" s="194"/>
      <c r="FW13" s="17">
        <f>IF(FY9="Signalized",IF(FY7=2,LOOKUP(GA5,Reference!$A$269:$A$275,Reference!$C$269:$C$275),IF(FY7=3,LOOKUP(GA5,Reference!$A$285:$A$291,Reference!$C$285:$C$291),IF(FY7=4,LOOKUP(GA5,Reference!$A$301:$A$307,Reference!$C$301:$C$307),IF(FY7=5,LOOKUP(GA5,Reference!$A$317:$A$323,Reference!$C$317:$C$323),LOOKUP(GA5,Reference!$A$333:$A$339,Reference!$C$333:$C$339))))),IF(FY5="Rural",LOOKUP(GA5,Reference!$A$350:$A$356,Reference!$C$350:$C$356),LOOKUP(GA5,Reference!$A$366:$A$372,Reference!$C$366:$C$372)))</f>
        <v>-2.335</v>
      </c>
      <c r="FX13" s="17">
        <f>IF(FY9="Signalized",IF(FY7=2,LOOKUP(GA5,Reference!$A$269:$A$275,Reference!$D$269:$D$275),IF(FY7=3,LOOKUP(GA5,Reference!$A$285:$A$291,Reference!$D$285:$D$291),IF(FY7=4,LOOKUP(GA5,Reference!$A$301:$A$307,Reference!$D$301:$D$307),IF(FY7=5,LOOKUP(GA5,Reference!$A$317:$A$323,Reference!$D$317:$D$323),LOOKUP(GA5,Reference!$A$333:$A$339,Reference!$D$333:$D$339))))),IF(FY5="Rural",LOOKUP(GA5,Reference!$A$350:$A$356,Reference!$D$350:$D$356),LOOKUP(GA5,Reference!$A$366:$A$372,Reference!$D$366:$D$372)))</f>
        <v>1.1910000000000001</v>
      </c>
      <c r="FY13" s="17">
        <f>IF(FY9="Signalized",IF(FY7=2,LOOKUP(GA5,Reference!$A$269:$A$275,Reference!$E$269:$E$275),IF(FY7=3,LOOKUP(GA5,Reference!$A$285:$A$291,Reference!$E$285:$E$291),IF(FY7=4,LOOKUP(GA5,Reference!$A$301:$A$307,Reference!$E$301:$E$307),IF(FY7=5,LOOKUP(GA5,Reference!$A$317:$A$323,Reference!$E$317:$E$323),LOOKUP(GA5,Reference!$A$333:$A$339,Reference!$E$333:$E$339))))),IF(FY5="Rural",LOOKUP(GA5,Reference!$A$350:$A$356,Reference!$E$350:$E$356),LOOKUP(GA5,Reference!$A$366:$A$372,Reference!$E$366:$E$372)))</f>
        <v>1E-3</v>
      </c>
      <c r="FZ13" s="17">
        <f>IF(FY9="Signalized",IF(FY7=2,LOOKUP(GA5,Reference!$A$269:$A$275,Reference!$F$269:$F$275),IF(FY7=3,LOOKUP(GA5,Reference!$A$285:$A$291,Reference!$F$285:$F$291),IF(FY7=4,LOOKUP(GA5,Reference!$A$301:$A$307,Reference!$F$301:$F$307),IF(FY7=5,LOOKUP(GA5,Reference!$A$317:$A$323,Reference!$F$317:$F$323),LOOKUP(GA5,Reference!$A$333:$A$339,Reference!$F$333:$F$339))))),IF(FY5="Rural",LOOKUP(GA5,Reference!$A$350:$A$356,Reference!$F$350:$F$356),LOOKUP(GA5,Reference!$A$366:$A$372,Reference!$F$366:$F$372)))</f>
        <v>0.13100000000000001</v>
      </c>
      <c r="GA13" s="14"/>
      <c r="GB13" s="25"/>
      <c r="GC13" s="195" t="s">
        <v>5</v>
      </c>
      <c r="GD13" s="194"/>
      <c r="GE13" s="15">
        <f>LOOKUP(GI5,Reference!$A$93:$A$97,Reference!$E$93:$E$97)</f>
        <v>-6.51</v>
      </c>
      <c r="GF13" s="15">
        <f>LOOKUP(GI5,Reference!$A$93:$A$97,Reference!$F$93:$F$97)</f>
        <v>0.64</v>
      </c>
      <c r="GG13" s="14"/>
      <c r="GH13" s="14"/>
      <c r="GI13" s="14"/>
      <c r="GJ13" s="30">
        <f>EXP(GE13+GF13*LN(GD5)+LN(GF5))</f>
        <v>0.28524186791122247</v>
      </c>
      <c r="GK13" s="195" t="s">
        <v>5</v>
      </c>
      <c r="GL13" s="194"/>
      <c r="GM13" s="15">
        <f>LOOKUP(GQ5,Reference!$A$93:$A$97,Reference!$E$93:$E$97)</f>
        <v>-8.5</v>
      </c>
      <c r="GN13" s="15">
        <f>LOOKUP(GQ5,Reference!$A$93:$A$97,Reference!$F$93:$F$97)</f>
        <v>0.84</v>
      </c>
      <c r="GO13" s="14"/>
      <c r="GP13" s="14"/>
      <c r="GQ13" s="14"/>
      <c r="GR13" s="30">
        <f>EXP(GM13+GN13*LN(GL5)+LN(GN5))</f>
        <v>4.1486847572027665</v>
      </c>
      <c r="GS13" s="195" t="s">
        <v>5</v>
      </c>
      <c r="GT13" s="194"/>
      <c r="GU13" s="15">
        <f>LOOKUP(GY5,Reference!$A$93:$A$97,Reference!$E$93:$E$97)</f>
        <v>-6.51</v>
      </c>
      <c r="GV13" s="15">
        <f>LOOKUP(GY5,Reference!$A$93:$A$97,Reference!$F$93:$F$97)</f>
        <v>0.64</v>
      </c>
      <c r="GW13" s="14"/>
      <c r="GX13" s="14"/>
      <c r="GY13" s="14"/>
      <c r="GZ13" s="30">
        <f>EXP(GU13+GV13*LN(GT5)+LN(GV5))</f>
        <v>0.44184460167999839</v>
      </c>
      <c r="HA13" s="195" t="s">
        <v>5</v>
      </c>
      <c r="HB13" s="194"/>
      <c r="HC13" s="15">
        <f>LOOKUP(HG5,Reference!$A$93:$A$97,Reference!$E$93:$E$97)</f>
        <v>-5.83</v>
      </c>
      <c r="HD13" s="15">
        <f>LOOKUP(HG5,Reference!$A$93:$A$97,Reference!$F$93:$F$97)</f>
        <v>0.61</v>
      </c>
      <c r="HE13" s="14"/>
      <c r="HF13" s="14"/>
      <c r="HG13" s="14"/>
      <c r="HH13" s="30">
        <f>EXP(HC13+HD13*LN(HB5)+LN(HD5))</f>
        <v>0.53924667622370237</v>
      </c>
      <c r="HI13" s="195" t="s">
        <v>5</v>
      </c>
      <c r="HJ13" s="194"/>
      <c r="HK13" s="15">
        <f>LOOKUP(HO5,Reference!$A$93:$A$97,Reference!$E$93:$E$97)</f>
        <v>-5.83</v>
      </c>
      <c r="HL13" s="15">
        <f>LOOKUP(HO5,Reference!$A$93:$A$97,Reference!$F$93:$F$97)</f>
        <v>0.61</v>
      </c>
      <c r="HM13" s="14"/>
      <c r="HN13" s="14"/>
      <c r="HO13" s="14"/>
      <c r="HP13" s="30">
        <f>EXP(HK13+HL13*LN(HJ5)+LN(HL5))</f>
        <v>0.43482866634427636</v>
      </c>
    </row>
    <row r="14" spans="1:224" ht="21" x14ac:dyDescent="0.35">
      <c r="A14" s="194" t="s">
        <v>21</v>
      </c>
      <c r="B14" s="194"/>
      <c r="C14" s="44">
        <f>C15+C16</f>
        <v>6.4812146582749328</v>
      </c>
      <c r="D14" s="14"/>
      <c r="E14" s="14"/>
      <c r="F14" s="14"/>
      <c r="G14" s="14"/>
      <c r="H14" s="25"/>
      <c r="I14" s="194" t="s">
        <v>21</v>
      </c>
      <c r="J14" s="194"/>
      <c r="K14" s="44">
        <f>K15+K16</f>
        <v>31.392725852745997</v>
      </c>
      <c r="L14" s="14"/>
      <c r="M14" s="14"/>
      <c r="N14" s="14"/>
      <c r="O14" s="14"/>
      <c r="P14" s="25"/>
      <c r="Y14" s="195" t="s">
        <v>21</v>
      </c>
      <c r="Z14" s="194"/>
      <c r="AA14" s="44">
        <f>AA15+AA16</f>
        <v>3.666090332203884</v>
      </c>
      <c r="AB14" s="14"/>
      <c r="AC14" s="14"/>
      <c r="AD14" s="14"/>
      <c r="AE14" s="14"/>
      <c r="AF14" s="25"/>
      <c r="AG14" s="195" t="s">
        <v>21</v>
      </c>
      <c r="AH14" s="194"/>
      <c r="AI14" s="44">
        <f>AI15+AI16</f>
        <v>13.77181261608923</v>
      </c>
      <c r="AJ14" s="14"/>
      <c r="AK14" s="14"/>
      <c r="AL14" s="14"/>
      <c r="AM14" s="14"/>
      <c r="AN14" s="25"/>
      <c r="AO14" s="195" t="s">
        <v>19</v>
      </c>
      <c r="AP14" s="194"/>
      <c r="AQ14" s="17">
        <f>LOOKUP(AU5,Reference!$A$228:$A$235,Reference!$C$228:$C$235)</f>
        <v>0.59399999999999997</v>
      </c>
      <c r="AR14" s="17">
        <f>LOOKUP(AU5,Reference!$A$228:$A$235,Reference!$D$228:$D$235)</f>
        <v>1.1599999999999999E-2</v>
      </c>
      <c r="AS14" s="21" t="str">
        <f>LOOKUP(AU5,Reference!$A$228:$A$235,Reference!$E$228:$E$235)</f>
        <v>-</v>
      </c>
      <c r="AT14" s="21" t="str">
        <f>LOOKUP(AU5,Reference!$A$228:$A$235,Reference!$F$228:$F$235)</f>
        <v>-</v>
      </c>
      <c r="AU14" s="14"/>
      <c r="AV14" s="25"/>
      <c r="AW14" s="195" t="s">
        <v>19</v>
      </c>
      <c r="AX14" s="194"/>
      <c r="AY14" s="17">
        <f>LOOKUP(BC5,Reference!$A$228:$A$235,Reference!$C$228:$C$235)</f>
        <v>0.59399999999999997</v>
      </c>
      <c r="AZ14" s="17">
        <f>LOOKUP(BC5,Reference!$A$228:$A$235,Reference!$D$228:$D$235)</f>
        <v>3.1800000000000002E-2</v>
      </c>
      <c r="BA14" s="21">
        <f>LOOKUP(BC5,Reference!$A$228:$A$235,Reference!$E$228:$E$235)</f>
        <v>1E-3</v>
      </c>
      <c r="BB14" s="21">
        <f>LOOKUP(BC5,Reference!$A$228:$A$235,Reference!$F$228:$F$235)</f>
        <v>0.19800000000000001</v>
      </c>
      <c r="BC14" s="14"/>
      <c r="BD14" s="25"/>
      <c r="BE14" s="195" t="s">
        <v>19</v>
      </c>
      <c r="BF14" s="194"/>
      <c r="BG14" s="17">
        <f>LOOKUP(BK5,Reference!$A$228:$A$235,Reference!$C$228:$C$235)</f>
        <v>0.59399999999999997</v>
      </c>
      <c r="BH14" s="17">
        <f>LOOKUP(BK5,Reference!$A$228:$A$235,Reference!$D$228:$D$235)</f>
        <v>1.1599999999999999E-2</v>
      </c>
      <c r="BI14" s="21" t="str">
        <f>LOOKUP(BK5,Reference!$A$228:$A$235,Reference!$E$228:$E$235)</f>
        <v>-</v>
      </c>
      <c r="BJ14" s="21" t="str">
        <f>LOOKUP(BK5,Reference!$A$228:$A$235,Reference!$F$228:$F$235)</f>
        <v>-</v>
      </c>
      <c r="BK14" s="14"/>
      <c r="BL14" s="25"/>
      <c r="BM14" s="195" t="s">
        <v>19</v>
      </c>
      <c r="BN14" s="194"/>
      <c r="BO14" s="17">
        <f>LOOKUP(BS5,Reference!$A$228:$A$235,Reference!$C$228:$C$235)</f>
        <v>0.59399999999999997</v>
      </c>
      <c r="BP14" s="17">
        <f>LOOKUP(BS5,Reference!$A$228:$A$235,Reference!$D$228:$D$235)</f>
        <v>3.1800000000000002E-2</v>
      </c>
      <c r="BQ14" s="21">
        <f>LOOKUP(BS5,Reference!$A$228:$A$235,Reference!$E$228:$E$235)</f>
        <v>1E-3</v>
      </c>
      <c r="BR14" s="21">
        <f>LOOKUP(BS5,Reference!$A$228:$A$235,Reference!$F$228:$F$235)</f>
        <v>0.19800000000000001</v>
      </c>
      <c r="BS14" s="14"/>
      <c r="BT14" s="25"/>
      <c r="DA14" s="195" t="s">
        <v>19</v>
      </c>
      <c r="DB14" s="194"/>
      <c r="DC14" s="17">
        <f>LOOKUP(DG5,Reference!$A$228:$A$235,Reference!$C$228:$C$235)</f>
        <v>0.59399999999999997</v>
      </c>
      <c r="DD14" s="17">
        <f>LOOKUP(DG5,Reference!$A$228:$A$235,Reference!$D$228:$D$235)</f>
        <v>1.1599999999999999E-2</v>
      </c>
      <c r="DE14" s="21" t="str">
        <f>LOOKUP(DG5,Reference!$A$228:$A$235,Reference!$E$228:$E$235)</f>
        <v>-</v>
      </c>
      <c r="DF14" s="21" t="str">
        <f>LOOKUP(DG5,Reference!$A$228:$A$235,Reference!$F$228:$F$235)</f>
        <v>-</v>
      </c>
      <c r="DG14" s="14"/>
      <c r="DH14" s="25"/>
      <c r="DI14" s="195" t="s">
        <v>19</v>
      </c>
      <c r="DJ14" s="194"/>
      <c r="DK14" s="17">
        <f>LOOKUP(DO5,Reference!$A$228:$A$235,Reference!$C$228:$C$235)</f>
        <v>0.59399999999999997</v>
      </c>
      <c r="DL14" s="17">
        <f>LOOKUP(DO5,Reference!$A$228:$A$235,Reference!$D$228:$D$235)</f>
        <v>3.1800000000000002E-2</v>
      </c>
      <c r="DM14" s="21">
        <f>LOOKUP(DO5,Reference!$A$228:$A$235,Reference!$E$228:$E$235)</f>
        <v>1E-3</v>
      </c>
      <c r="DN14" s="21">
        <f>LOOKUP(DO5,Reference!$A$228:$A$235,Reference!$F$228:$F$235)</f>
        <v>0.19800000000000001</v>
      </c>
      <c r="DO14" s="14"/>
      <c r="DP14" s="25"/>
      <c r="DQ14" s="195" t="s">
        <v>19</v>
      </c>
      <c r="DR14" s="194"/>
      <c r="DS14" s="17">
        <f>LOOKUP(DW5,Reference!$A$228:$A$235,Reference!$C$228:$C$235)</f>
        <v>0.59399999999999997</v>
      </c>
      <c r="DT14" s="17">
        <f>LOOKUP(DW5,Reference!$A$228:$A$235,Reference!$D$228:$D$235)</f>
        <v>1.1599999999999999E-2</v>
      </c>
      <c r="DU14" s="21" t="str">
        <f>LOOKUP(DW5,Reference!$A$228:$A$235,Reference!$E$228:$E$235)</f>
        <v>-</v>
      </c>
      <c r="DV14" s="21" t="str">
        <f>LOOKUP(DW5,Reference!$A$228:$A$235,Reference!$F$228:$F$235)</f>
        <v>-</v>
      </c>
      <c r="DW14" s="14"/>
      <c r="DX14" s="25"/>
      <c r="DY14" s="195" t="s">
        <v>19</v>
      </c>
      <c r="DZ14" s="194"/>
      <c r="EA14" s="17">
        <f>LOOKUP(EE5,Reference!$A$228:$A$235,Reference!$C$228:$C$235)</f>
        <v>0.59399999999999997</v>
      </c>
      <c r="EB14" s="17">
        <f>LOOKUP(EE5,Reference!$A$228:$A$235,Reference!$D$228:$D$235)</f>
        <v>3.1800000000000002E-2</v>
      </c>
      <c r="EC14" s="21">
        <f>LOOKUP(EE5,Reference!$A$228:$A$235,Reference!$E$228:$E$235)</f>
        <v>1E-3</v>
      </c>
      <c r="ED14" s="21">
        <f>LOOKUP(EE5,Reference!$A$228:$A$235,Reference!$F$228:$F$235)</f>
        <v>0.19800000000000001</v>
      </c>
      <c r="EE14" s="14"/>
      <c r="EF14" s="25"/>
      <c r="EG14" s="195" t="s">
        <v>20</v>
      </c>
      <c r="EH14" s="197"/>
      <c r="EI14" s="17">
        <f>IF(EK9="Signalized",IF(EK7=2,LOOKUP(EM5,Reference!$A$277:$A$283,Reference!$C$277:$C$283),IF(EK7=3,LOOKUP(EM5,Reference!$A$293:$A$299,Reference!$C$293:$C$299),IF(EK7=4,LOOKUP(EM5,Reference!$A$309:$A$315,Reference!$C$309:$C$315),IF(EK7=5,LOOKUP(EM5,Reference!$A$325:$A$331,Reference!$C$325:$C$331),LOOKUP(EM5,Reference!$A$341:$A$347,Reference!$C$341:$C$347))))),IF(EK5="Rural",LOOKUP(EM5,Reference!$A$358:$A$364,Reference!$C$358:$C$364),LOOKUP(EM5,Reference!$A$374:$A$380,Reference!$C$374:$C$380)))</f>
        <v>-2.0720000000000001</v>
      </c>
      <c r="EJ14" s="17">
        <f>IF(EK9="Signalized",IF(EK7=2,LOOKUP(EM5,Reference!$A$277:$A$283,Reference!$D$277:$D$283),IF(EK7=3,LOOKUP(EM5,Reference!$A$293:$A$299,Reference!$D$293:$D$299),IF(EK7=4,LOOKUP(EM5,Reference!$A$309:$A$315,Reference!$D$309:$D$315),IF(EK7=5,LOOKUP(EM5,Reference!$A$325:$A$331,Reference!$D$325:$D$331),LOOKUP(EM5,Reference!$A$341:$A$347,Reference!$D$341:$D$347))))),IF(EK5="Rural",LOOKUP(EM5,Reference!$A$358:$A$364,Reference!$D$358:$D$364),LOOKUP(EM5,Reference!$A$374:$A$380,Reference!$D$374:$D$380)))</f>
        <v>0.879</v>
      </c>
      <c r="EK14" s="17">
        <f>IF(EK9="Signalized",IF(EK7=2,LOOKUP(EM5,Reference!$A$277:$A$283,Reference!$E$277:$E$283),IF(EK7=3,LOOKUP(EM5,Reference!$A$293:$A$299,Reference!$E$293:$E$299),IF(EK7=4,LOOKUP(EM5,Reference!$A$309:$A$315,Reference!$E$309:$E$315),IF(EK7=5,LOOKUP(EM5,Reference!$A$325:$A$331,Reference!$E$325:$E$331),LOOKUP(EM5,Reference!$A$341:$A$347,Reference!$E$341:$E$347))))),IF(EK5="Rural",LOOKUP(EM5,Reference!$A$358:$A$364,Reference!$E$358:$E$364),LOOKUP(EM5,Reference!$A$374:$A$380,Reference!$E$374:$E$380)))</f>
        <v>1E-3</v>
      </c>
      <c r="EL14" s="17">
        <f>IF(EK9="Signalized",IF(EK7=2,LOOKUP(EM5,Reference!$A$277:$A$283,Reference!$F$277:$F$283),IF(EK7=3,LOOKUP(EM5,Reference!$A$293:$A$299,Reference!$F$293:$F$299),IF(EK7=4,LOOKUP(EM5,Reference!$A$309:$A$315,Reference!$F$309:$F$315),IF(EK7=5,LOOKUP(EM5,Reference!$A$325:$A$331,Reference!$F$325:$F$331),LOOKUP(EM5,Reference!$A$341:$A$347,Reference!$F$341:$F$347))))),IF(EK5="Rural",LOOKUP(EM5,Reference!$A$358:$A$364,Reference!$F$358:$F$364),LOOKUP(EM5,Reference!$A$374:$A$380,Reference!$F$374:$F$380)))</f>
        <v>0.54500000000000004</v>
      </c>
      <c r="EM14" s="14"/>
      <c r="EN14" s="25"/>
      <c r="EO14" s="195" t="s">
        <v>20</v>
      </c>
      <c r="EP14" s="197"/>
      <c r="EQ14" s="17">
        <f>IF(ES9="Signalized",IF(ES7=2,LOOKUP(EU5,Reference!$A$277:$A$283,Reference!$C$277:$C$283),IF(ES7=3,LOOKUP(EU5,Reference!$A$293:$A$299,Reference!$C$293:$C$299),IF(ES7=4,LOOKUP(EU5,Reference!$A$309:$A$315,Reference!$C$309:$C$315),IF(ES7=5,LOOKUP(EU5,Reference!$A$325:$A$331,Reference!$C$325:$C$331),LOOKUP(EU5,Reference!$A$341:$A$347,Reference!$C$341:$C$347))))),IF(ES5="Rural",LOOKUP(EU5,Reference!$A$358:$A$364,Reference!$C$358:$C$364),LOOKUP(EU5,Reference!$A$374:$A$380,Reference!$C$374:$C$380)))</f>
        <v>-2.0720000000000001</v>
      </c>
      <c r="ER14" s="17">
        <f>IF(ES9="Signalized",IF(ES7=2,LOOKUP(EU5,Reference!$A$277:$A$283,Reference!$D$277:$D$283),IF(ES7=3,LOOKUP(EU5,Reference!$A$293:$A$299,Reference!$D$293:$D$299),IF(ES7=4,LOOKUP(EU5,Reference!$A$309:$A$315,Reference!$D$309:$D$315),IF(ES7=5,LOOKUP(EU5,Reference!$A$325:$A$331,Reference!$D$325:$D$331),LOOKUP(EU5,Reference!$A$341:$A$347,Reference!$D$341:$D$347))))),IF(ES5="Rural",LOOKUP(EU5,Reference!$A$358:$A$364,Reference!$D$358:$D$364),LOOKUP(EU5,Reference!$A$374:$A$380,Reference!$D$374:$D$380)))</f>
        <v>0.879</v>
      </c>
      <c r="ES14" s="17">
        <f>IF(ES9="Signalized",IF(ES7=2,LOOKUP(EU5,Reference!$A$277:$A$283,Reference!$E$277:$E$283),IF(ES7=3,LOOKUP(EU5,Reference!$A$293:$A$299,Reference!$E$293:$E$299),IF(ES7=4,LOOKUP(EU5,Reference!$A$309:$A$315,Reference!$E$309:$E$315),IF(ES7=5,LOOKUP(EU5,Reference!$A$325:$A$331,Reference!$E$325:$E$331),LOOKUP(EU5,Reference!$A$341:$A$347,Reference!$E$341:$E$347))))),IF(ES5="Rural",LOOKUP(EU5,Reference!$A$358:$A$364,Reference!$E$358:$E$364),LOOKUP(EU5,Reference!$A$374:$A$380,Reference!$E$374:$E$380)))</f>
        <v>1E-3</v>
      </c>
      <c r="ET14" s="17">
        <f>IF(ES9="Signalized",IF(ES7=2,LOOKUP(EU5,Reference!$A$277:$A$283,Reference!$F$277:$F$283),IF(ES7=3,LOOKUP(EU5,Reference!$A$293:$A$299,Reference!$F$293:$F$299),IF(ES7=4,LOOKUP(EU5,Reference!$A$309:$A$315,Reference!$F$309:$F$315),IF(ES7=5,LOOKUP(EU5,Reference!$A$325:$A$331,Reference!$F$325:$F$331),LOOKUP(EU5,Reference!$A$341:$A$347,Reference!$F$341:$F$347))))),IF(ES5="Rural",LOOKUP(EU5,Reference!$A$358:$A$364,Reference!$F$358:$F$364),LOOKUP(EU5,Reference!$A$374:$A$380,Reference!$F$374:$F$380)))</f>
        <v>0.54500000000000004</v>
      </c>
      <c r="EU14" s="14"/>
      <c r="EV14" s="25"/>
      <c r="FM14" s="195" t="s">
        <v>20</v>
      </c>
      <c r="FN14" s="197"/>
      <c r="FO14" s="17">
        <f>IF(FQ9="Signalized",IF(FQ7=2,LOOKUP(FS5,Reference!$A$277:$A$283,Reference!$C$277:$C$283),IF(FQ7=3,LOOKUP(FS5,Reference!$A$293:$A$299,Reference!$C$293:$C$299),IF(FQ7=4,LOOKUP(FS5,Reference!$A$309:$A$315,Reference!$C$309:$C$315),IF(FQ7=5,LOOKUP(FS5,Reference!$A$325:$A$331,Reference!$C$325:$C$331),LOOKUP(FS5,Reference!$A$341:$A$347,Reference!$C$341:$C$347))))),IF(FQ5="Rural",LOOKUP(FS5,Reference!$A$358:$A$364,Reference!$C$358:$C$364),LOOKUP(FS5,Reference!$A$374:$A$380,Reference!$C$374:$C$380)))</f>
        <v>-2.0720000000000001</v>
      </c>
      <c r="FP14" s="17">
        <f>IF(FQ9="Signalized",IF(FQ7=2,LOOKUP(FS5,Reference!$A$277:$A$283,Reference!$D$277:$D$283),IF(FQ7=3,LOOKUP(FS5,Reference!$A$293:$A$299,Reference!$D$293:$D$299),IF(FQ7=4,LOOKUP(FS5,Reference!$A$309:$A$315,Reference!$D$309:$D$315),IF(FQ7=5,LOOKUP(FS5,Reference!$A$325:$A$331,Reference!$D$325:$D$331),LOOKUP(FS5,Reference!$A$341:$A$347,Reference!$D$341:$D$347))))),IF(FQ5="Rural",LOOKUP(FS5,Reference!$A$358:$A$364,Reference!$D$358:$D$364),LOOKUP(FS5,Reference!$A$374:$A$380,Reference!$D$374:$D$380)))</f>
        <v>0.879</v>
      </c>
      <c r="FQ14" s="17">
        <f>IF(FQ9="Signalized",IF(FQ7=2,LOOKUP(FS5,Reference!$A$277:$A$283,Reference!$E$277:$E$283),IF(FQ7=3,LOOKUP(FS5,Reference!$A$293:$A$299,Reference!$E$293:$E$299),IF(FQ7=4,LOOKUP(FS5,Reference!$A$309:$A$315,Reference!$E$309:$E$315),IF(FQ7=5,LOOKUP(FS5,Reference!$A$325:$A$331,Reference!$E$325:$E$331),LOOKUP(FS5,Reference!$A$341:$A$347,Reference!$E$341:$E$347))))),IF(FQ5="Rural",LOOKUP(FS5,Reference!$A$358:$A$364,Reference!$E$358:$E$364),LOOKUP(FS5,Reference!$A$374:$A$380,Reference!$E$374:$E$380)))</f>
        <v>1E-3</v>
      </c>
      <c r="FR14" s="17">
        <f>IF(FQ9="Signalized",IF(FQ7=2,LOOKUP(FS5,Reference!$A$277:$A$283,Reference!$F$277:$F$283),IF(FQ7=3,LOOKUP(FS5,Reference!$A$293:$A$299,Reference!$F$293:$F$299),IF(FQ7=4,LOOKUP(FS5,Reference!$A$309:$A$315,Reference!$F$309:$F$315),IF(FQ7=5,LOOKUP(FS5,Reference!$A$325:$A$331,Reference!$F$325:$F$331),LOOKUP(FS5,Reference!$A$341:$A$347,Reference!$F$341:$F$347))))),IF(FQ5="Rural",LOOKUP(FS5,Reference!$A$358:$A$364,Reference!$F$358:$F$364),LOOKUP(FS5,Reference!$A$374:$A$380,Reference!$F$374:$F$380)))</f>
        <v>0.54500000000000004</v>
      </c>
      <c r="FS14" s="14"/>
      <c r="FT14" s="25"/>
      <c r="FU14" s="195" t="s">
        <v>20</v>
      </c>
      <c r="FV14" s="197"/>
      <c r="FW14" s="17">
        <f>IF(FY9="Signalized",IF(FY7=2,LOOKUP(GA5,Reference!$A$277:$A$283,Reference!$C$277:$C$283),IF(FY7=3,LOOKUP(GA5,Reference!$A$293:$A$299,Reference!$C$293:$C$299),IF(FY7=4,LOOKUP(GA5,Reference!$A$309:$A$315,Reference!$C$309:$C$315),IF(FY7=5,LOOKUP(GA5,Reference!$A$325:$A$331,Reference!$C$325:$C$331),LOOKUP(GA5,Reference!$A$341:$A$347,Reference!$C$341:$C$347))))),IF(FY5="Rural",LOOKUP(GA5,Reference!$A$358:$A$364,Reference!$C$358:$C$364),LOOKUP(GA5,Reference!$A$374:$A$380,Reference!$C$374:$C$380)))</f>
        <v>-2.0720000000000001</v>
      </c>
      <c r="FX14" s="17">
        <f>IF(FY9="Signalized",IF(FY7=2,LOOKUP(GA5,Reference!$A$277:$A$283,Reference!$D$277:$D$283),IF(FY7=3,LOOKUP(GA5,Reference!$A$293:$A$299,Reference!$D$293:$D$299),IF(FY7=4,LOOKUP(GA5,Reference!$A$309:$A$315,Reference!$D$309:$D$315),IF(FY7=5,LOOKUP(GA5,Reference!$A$325:$A$331,Reference!$D$325:$D$331),LOOKUP(GA5,Reference!$A$341:$A$347,Reference!$D$341:$D$347))))),IF(FY5="Rural",LOOKUP(GA5,Reference!$A$358:$A$364,Reference!$D$358:$D$364),LOOKUP(GA5,Reference!$A$374:$A$380,Reference!$D$374:$D$380)))</f>
        <v>0.879</v>
      </c>
      <c r="FY14" s="17">
        <f>IF(FY9="Signalized",IF(FY7=2,LOOKUP(GA5,Reference!$A$277:$A$283,Reference!$E$277:$E$283),IF(FY7=3,LOOKUP(GA5,Reference!$A$293:$A$299,Reference!$E$293:$E$299),IF(FY7=4,LOOKUP(GA5,Reference!$A$309:$A$315,Reference!$E$309:$E$315),IF(FY7=5,LOOKUP(GA5,Reference!$A$325:$A$331,Reference!$E$325:$E$331),LOOKUP(GA5,Reference!$A$341:$A$347,Reference!$E$341:$E$347))))),IF(FY5="Rural",LOOKUP(GA5,Reference!$A$358:$A$364,Reference!$E$358:$E$364),LOOKUP(GA5,Reference!$A$374:$A$380,Reference!$E$374:$E$380)))</f>
        <v>1E-3</v>
      </c>
      <c r="FZ14" s="17">
        <f>IF(FY9="Signalized",IF(FY7=2,LOOKUP(GA5,Reference!$A$277:$A$283,Reference!$F$277:$F$283),IF(FY7=3,LOOKUP(GA5,Reference!$A$293:$A$299,Reference!$F$293:$F$299),IF(FY7=4,LOOKUP(GA5,Reference!$A$309:$A$315,Reference!$F$309:$F$315),IF(FY7=5,LOOKUP(GA5,Reference!$A$325:$A$331,Reference!$F$325:$F$331),LOOKUP(GA5,Reference!$A$341:$A$347,Reference!$F$341:$F$347))))),IF(FY5="Rural",LOOKUP(GA5,Reference!$A$358:$A$364,Reference!$F$358:$F$364),LOOKUP(GA5,Reference!$A$374:$A$380,Reference!$F$374:$F$380)))</f>
        <v>0.54500000000000004</v>
      </c>
      <c r="GA14" s="14"/>
      <c r="GB14" s="25"/>
      <c r="GC14" s="195" t="s">
        <v>238</v>
      </c>
      <c r="GD14" s="194"/>
      <c r="GE14" s="196" t="s">
        <v>239</v>
      </c>
      <c r="GF14" s="190"/>
      <c r="GG14" s="190"/>
      <c r="GH14" s="190"/>
      <c r="GI14" s="190" t="s">
        <v>240</v>
      </c>
      <c r="GJ14" s="205"/>
      <c r="GK14" s="195" t="s">
        <v>238</v>
      </c>
      <c r="GL14" s="194"/>
      <c r="GM14" s="196" t="s">
        <v>239</v>
      </c>
      <c r="GN14" s="190"/>
      <c r="GO14" s="190"/>
      <c r="GP14" s="190"/>
      <c r="GQ14" s="190" t="s">
        <v>240</v>
      </c>
      <c r="GR14" s="205"/>
      <c r="GS14" s="195" t="s">
        <v>238</v>
      </c>
      <c r="GT14" s="194"/>
      <c r="GU14" s="196" t="s">
        <v>239</v>
      </c>
      <c r="GV14" s="190"/>
      <c r="GW14" s="190"/>
      <c r="GX14" s="190"/>
      <c r="GY14" s="190" t="s">
        <v>240</v>
      </c>
      <c r="GZ14" s="205"/>
      <c r="HA14" s="195" t="s">
        <v>238</v>
      </c>
      <c r="HB14" s="194"/>
      <c r="HC14" s="196" t="s">
        <v>239</v>
      </c>
      <c r="HD14" s="190"/>
      <c r="HE14" s="190"/>
      <c r="HF14" s="190"/>
      <c r="HG14" s="190" t="s">
        <v>240</v>
      </c>
      <c r="HH14" s="205"/>
      <c r="HI14" s="195" t="s">
        <v>238</v>
      </c>
      <c r="HJ14" s="194"/>
      <c r="HK14" s="196" t="s">
        <v>239</v>
      </c>
      <c r="HL14" s="190"/>
      <c r="HM14" s="190"/>
      <c r="HN14" s="190"/>
      <c r="HO14" s="190" t="s">
        <v>240</v>
      </c>
      <c r="HP14" s="205"/>
    </row>
    <row r="15" spans="1:224" ht="18" x14ac:dyDescent="0.35">
      <c r="A15" s="194" t="s">
        <v>1</v>
      </c>
      <c r="B15" s="194"/>
      <c r="C15" s="44">
        <f>H8</f>
        <v>1.9472163959640847</v>
      </c>
      <c r="D15" s="14"/>
      <c r="E15" s="14"/>
      <c r="F15" s="14"/>
      <c r="G15" s="14"/>
      <c r="H15" s="25"/>
      <c r="I15" s="194" t="s">
        <v>1</v>
      </c>
      <c r="J15" s="194"/>
      <c r="K15" s="44">
        <f>P8</f>
        <v>11.207075704580857</v>
      </c>
      <c r="L15" s="14"/>
      <c r="M15" s="14"/>
      <c r="N15" s="14"/>
      <c r="O15" s="14"/>
      <c r="P15" s="25"/>
      <c r="Y15" s="195" t="s">
        <v>1</v>
      </c>
      <c r="Z15" s="194"/>
      <c r="AA15" s="44">
        <f>AF8</f>
        <v>1.2129308949131254</v>
      </c>
      <c r="AB15" s="14"/>
      <c r="AC15" s="14"/>
      <c r="AD15" s="14"/>
      <c r="AE15" s="14"/>
      <c r="AF15" s="25"/>
      <c r="AG15" s="195" t="s">
        <v>1</v>
      </c>
      <c r="AH15" s="194"/>
      <c r="AI15" s="44">
        <f>AN8</f>
        <v>4.7521392104990667</v>
      </c>
      <c r="AJ15" s="14"/>
      <c r="AK15" s="14"/>
      <c r="AL15" s="14"/>
      <c r="AM15" s="14"/>
      <c r="AN15" s="25"/>
      <c r="AO15" s="195" t="s">
        <v>20</v>
      </c>
      <c r="AP15" s="194"/>
      <c r="AQ15" s="17">
        <f>LOOKUP(AU5,Reference!$A$237:$A$244,Reference!$C$237:$C$244)</f>
        <v>0.82399999999999995</v>
      </c>
      <c r="AR15" s="17">
        <f>LOOKUP(AU5,Reference!$A$237:$A$244,Reference!$D$237:$D$244)</f>
        <v>0</v>
      </c>
      <c r="AS15" s="21" t="str">
        <f>LOOKUP(AU5,Reference!$A$237:$A$244,Reference!$E$237:$E$244)</f>
        <v>-</v>
      </c>
      <c r="AT15" s="21" t="str">
        <f>LOOKUP(AU5,Reference!$A$237:$A$244,Reference!$F$237:$F$244)</f>
        <v>-</v>
      </c>
      <c r="AU15" s="14"/>
      <c r="AV15" s="25"/>
      <c r="AW15" s="195" t="s">
        <v>20</v>
      </c>
      <c r="AX15" s="194"/>
      <c r="AY15" s="17">
        <f>LOOKUP(BC5,Reference!$A$237:$A$244,Reference!$C$237:$C$244)</f>
        <v>0.82399999999999995</v>
      </c>
      <c r="AZ15" s="17">
        <f>LOOKUP(BC5,Reference!$A$237:$A$244,Reference!$D$237:$D$244)</f>
        <v>2.52E-2</v>
      </c>
      <c r="BA15" s="21">
        <f>LOOKUP(BC5,Reference!$A$237:$A$244,Reference!$E$237:$E$244)</f>
        <v>1E-3</v>
      </c>
      <c r="BB15" s="21">
        <f>LOOKUP(BC5,Reference!$A$237:$A$244,Reference!$F$237:$F$244)</f>
        <v>0</v>
      </c>
      <c r="BC15" s="14"/>
      <c r="BD15" s="25"/>
      <c r="BE15" s="195" t="s">
        <v>20</v>
      </c>
      <c r="BF15" s="194"/>
      <c r="BG15" s="17">
        <f>LOOKUP(BK5,Reference!$A$237:$A$244,Reference!$C$237:$C$244)</f>
        <v>0.82399999999999995</v>
      </c>
      <c r="BH15" s="17">
        <f>LOOKUP(BK5,Reference!$A$237:$A$244,Reference!$D$237:$D$244)</f>
        <v>0</v>
      </c>
      <c r="BI15" s="21" t="str">
        <f>LOOKUP(BK5,Reference!$A$237:$A$244,Reference!$E$237:$E$244)</f>
        <v>-</v>
      </c>
      <c r="BJ15" s="21" t="str">
        <f>LOOKUP(BK5,Reference!$A$237:$A$244,Reference!$F$237:$F$244)</f>
        <v>-</v>
      </c>
      <c r="BK15" s="14"/>
      <c r="BL15" s="25"/>
      <c r="BM15" s="195" t="s">
        <v>20</v>
      </c>
      <c r="BN15" s="194"/>
      <c r="BO15" s="17">
        <f>LOOKUP(BS5,Reference!$A$237:$A$244,Reference!$C$237:$C$244)</f>
        <v>0.82399999999999995</v>
      </c>
      <c r="BP15" s="17">
        <f>LOOKUP(BS5,Reference!$A$237:$A$244,Reference!$D$237:$D$244)</f>
        <v>2.52E-2</v>
      </c>
      <c r="BQ15" s="21">
        <f>LOOKUP(BS5,Reference!$A$237:$A$244,Reference!$E$237:$E$244)</f>
        <v>1E-3</v>
      </c>
      <c r="BR15" s="21">
        <f>LOOKUP(BS5,Reference!$A$237:$A$244,Reference!$F$237:$F$244)</f>
        <v>0</v>
      </c>
      <c r="BS15" s="14"/>
      <c r="BT15" s="25"/>
      <c r="DA15" s="195" t="s">
        <v>20</v>
      </c>
      <c r="DB15" s="194"/>
      <c r="DC15" s="17">
        <f>LOOKUP(DG5,Reference!$A$237:$A$244,Reference!$C$237:$C$244)</f>
        <v>0.82399999999999995</v>
      </c>
      <c r="DD15" s="17">
        <f>LOOKUP(DG5,Reference!$A$237:$A$244,Reference!$D$237:$D$244)</f>
        <v>0</v>
      </c>
      <c r="DE15" s="21" t="str">
        <f>LOOKUP(DG5,Reference!$A$237:$A$244,Reference!$E$237:$E$244)</f>
        <v>-</v>
      </c>
      <c r="DF15" s="21" t="str">
        <f>LOOKUP(DG5,Reference!$A$237:$A$244,Reference!$F$237:$F$244)</f>
        <v>-</v>
      </c>
      <c r="DG15" s="14"/>
      <c r="DH15" s="25"/>
      <c r="DI15" s="195" t="s">
        <v>20</v>
      </c>
      <c r="DJ15" s="194"/>
      <c r="DK15" s="17">
        <f>LOOKUP(DO5,Reference!$A$237:$A$244,Reference!$C$237:$C$244)</f>
        <v>0.82399999999999995</v>
      </c>
      <c r="DL15" s="17">
        <f>LOOKUP(DO5,Reference!$A$237:$A$244,Reference!$D$237:$D$244)</f>
        <v>2.52E-2</v>
      </c>
      <c r="DM15" s="21">
        <f>LOOKUP(DO5,Reference!$A$237:$A$244,Reference!$E$237:$E$244)</f>
        <v>1E-3</v>
      </c>
      <c r="DN15" s="21">
        <f>LOOKUP(DO5,Reference!$A$237:$A$244,Reference!$F$237:$F$244)</f>
        <v>0</v>
      </c>
      <c r="DO15" s="14"/>
      <c r="DP15" s="25"/>
      <c r="DQ15" s="195" t="s">
        <v>20</v>
      </c>
      <c r="DR15" s="194"/>
      <c r="DS15" s="17">
        <f>LOOKUP(DW5,Reference!$A$237:$A$244,Reference!$C$237:$C$244)</f>
        <v>0.82399999999999995</v>
      </c>
      <c r="DT15" s="17">
        <f>LOOKUP(DW5,Reference!$A$237:$A$244,Reference!$D$237:$D$244)</f>
        <v>0</v>
      </c>
      <c r="DU15" s="21" t="str">
        <f>LOOKUP(DW5,Reference!$A$237:$A$244,Reference!$E$237:$E$244)</f>
        <v>-</v>
      </c>
      <c r="DV15" s="21" t="str">
        <f>LOOKUP(DW5,Reference!$A$237:$A$244,Reference!$F$237:$F$244)</f>
        <v>-</v>
      </c>
      <c r="DW15" s="14"/>
      <c r="DX15" s="25"/>
      <c r="DY15" s="195" t="s">
        <v>20</v>
      </c>
      <c r="DZ15" s="194"/>
      <c r="EA15" s="17">
        <f>LOOKUP(EE5,Reference!$A$237:$A$244,Reference!$C$237:$C$244)</f>
        <v>0.82399999999999995</v>
      </c>
      <c r="EB15" s="17">
        <f>LOOKUP(EE5,Reference!$A$237:$A$244,Reference!$D$237:$D$244)</f>
        <v>2.52E-2</v>
      </c>
      <c r="EC15" s="21">
        <f>LOOKUP(EE5,Reference!$A$237:$A$244,Reference!$E$237:$E$244)</f>
        <v>1E-3</v>
      </c>
      <c r="ED15" s="21">
        <f>LOOKUP(EE5,Reference!$A$237:$A$244,Reference!$F$237:$F$244)</f>
        <v>0</v>
      </c>
      <c r="EE15" s="14"/>
      <c r="EF15" s="25"/>
      <c r="EG15" s="24"/>
      <c r="EH15" s="14"/>
      <c r="EI15" s="14"/>
      <c r="EJ15" s="14"/>
      <c r="EK15" s="14"/>
      <c r="EL15" s="14"/>
      <c r="EM15" s="14"/>
      <c r="EN15" s="25"/>
      <c r="EO15" s="24"/>
      <c r="EP15" s="14"/>
      <c r="EQ15" s="14"/>
      <c r="ER15" s="14"/>
      <c r="ES15" s="14"/>
      <c r="ET15" s="14"/>
      <c r="EU15" s="14"/>
      <c r="EV15" s="25"/>
      <c r="FM15" s="24"/>
      <c r="FN15" s="14"/>
      <c r="FO15" s="14"/>
      <c r="FP15" s="14"/>
      <c r="FQ15" s="14"/>
      <c r="FR15" s="14"/>
      <c r="FS15" s="14"/>
      <c r="FT15" s="25"/>
      <c r="FU15" s="24"/>
      <c r="FV15" s="14"/>
      <c r="FW15" s="14"/>
      <c r="FX15" s="14"/>
      <c r="FY15" s="14"/>
      <c r="FZ15" s="14"/>
      <c r="GA15" s="14"/>
      <c r="GB15" s="25"/>
      <c r="GC15" s="24"/>
      <c r="GD15" s="14"/>
      <c r="GE15" s="106" t="s">
        <v>242</v>
      </c>
      <c r="GF15" s="106" t="s">
        <v>243</v>
      </c>
      <c r="GG15" s="14"/>
      <c r="GH15" s="14"/>
      <c r="GI15" s="106" t="s">
        <v>242</v>
      </c>
      <c r="GJ15" s="32" t="s">
        <v>243</v>
      </c>
      <c r="GK15" s="24"/>
      <c r="GL15" s="14"/>
      <c r="GM15" s="106" t="s">
        <v>242</v>
      </c>
      <c r="GN15" s="106" t="s">
        <v>243</v>
      </c>
      <c r="GO15" s="14"/>
      <c r="GP15" s="14"/>
      <c r="GQ15" s="106" t="s">
        <v>242</v>
      </c>
      <c r="GR15" s="32" t="s">
        <v>243</v>
      </c>
      <c r="GS15" s="24"/>
      <c r="GT15" s="14"/>
      <c r="GU15" s="112" t="s">
        <v>242</v>
      </c>
      <c r="GV15" s="112" t="s">
        <v>243</v>
      </c>
      <c r="GW15" s="14"/>
      <c r="GX15" s="14"/>
      <c r="GY15" s="112" t="s">
        <v>242</v>
      </c>
      <c r="GZ15" s="32" t="s">
        <v>243</v>
      </c>
      <c r="HA15" s="24"/>
      <c r="HB15" s="14"/>
      <c r="HC15" s="112" t="s">
        <v>242</v>
      </c>
      <c r="HD15" s="112" t="s">
        <v>243</v>
      </c>
      <c r="HE15" s="14"/>
      <c r="HF15" s="14"/>
      <c r="HG15" s="112" t="s">
        <v>242</v>
      </c>
      <c r="HH15" s="32" t="s">
        <v>243</v>
      </c>
      <c r="HI15" s="24"/>
      <c r="HJ15" s="14"/>
      <c r="HK15" s="112" t="s">
        <v>242</v>
      </c>
      <c r="HL15" s="112" t="s">
        <v>243</v>
      </c>
      <c r="HM15" s="14"/>
      <c r="HN15" s="14"/>
      <c r="HO15" s="112" t="s">
        <v>242</v>
      </c>
      <c r="HP15" s="32" t="s">
        <v>243</v>
      </c>
    </row>
    <row r="16" spans="1:224" x14ac:dyDescent="0.25">
      <c r="A16" s="194" t="s">
        <v>2</v>
      </c>
      <c r="B16" s="194"/>
      <c r="C16" s="44">
        <f>H9</f>
        <v>4.5339982623108481</v>
      </c>
      <c r="D16" s="14"/>
      <c r="E16" s="14"/>
      <c r="F16" s="14"/>
      <c r="G16" s="14"/>
      <c r="H16" s="25"/>
      <c r="I16" s="194" t="s">
        <v>2</v>
      </c>
      <c r="J16" s="194"/>
      <c r="K16" s="44">
        <f>P9</f>
        <v>20.185650148165138</v>
      </c>
      <c r="L16" s="14"/>
      <c r="M16" s="14"/>
      <c r="N16" s="14"/>
      <c r="O16" s="14"/>
      <c r="P16" s="25"/>
      <c r="Y16" s="195" t="s">
        <v>2</v>
      </c>
      <c r="Z16" s="194"/>
      <c r="AA16" s="44">
        <f>AF9</f>
        <v>2.4531594372907586</v>
      </c>
      <c r="AB16" s="14"/>
      <c r="AC16" s="14"/>
      <c r="AD16" s="14"/>
      <c r="AE16" s="14"/>
      <c r="AF16" s="25"/>
      <c r="AG16" s="195" t="s">
        <v>2</v>
      </c>
      <c r="AH16" s="194"/>
      <c r="AI16" s="44">
        <f>AN9</f>
        <v>9.0196734055901633</v>
      </c>
      <c r="AJ16" s="14"/>
      <c r="AK16" s="14"/>
      <c r="AL16" s="14"/>
      <c r="AM16" s="14"/>
      <c r="AN16" s="25"/>
      <c r="AO16" s="24"/>
      <c r="AP16" s="14"/>
      <c r="AQ16" s="14"/>
      <c r="AR16" s="14"/>
      <c r="AS16" s="14"/>
      <c r="AT16" s="14"/>
      <c r="AU16" s="14"/>
      <c r="AV16" s="25"/>
      <c r="AW16" s="24"/>
      <c r="AX16" s="14"/>
      <c r="AY16" s="14"/>
      <c r="AZ16" s="14"/>
      <c r="BA16" s="14"/>
      <c r="BB16" s="14"/>
      <c r="BC16" s="14"/>
      <c r="BD16" s="25"/>
      <c r="BE16" s="24"/>
      <c r="BF16" s="14"/>
      <c r="BG16" s="14"/>
      <c r="BH16" s="14"/>
      <c r="BI16" s="14"/>
      <c r="BJ16" s="14"/>
      <c r="BK16" s="14"/>
      <c r="BL16" s="25"/>
      <c r="BM16" s="24"/>
      <c r="BN16" s="14"/>
      <c r="BO16" s="14"/>
      <c r="BP16" s="14"/>
      <c r="BQ16" s="14"/>
      <c r="BR16" s="14"/>
      <c r="BS16" s="14"/>
      <c r="BT16" s="25"/>
      <c r="DA16" s="24"/>
      <c r="DB16" s="14"/>
      <c r="DC16" s="14"/>
      <c r="DD16" s="14"/>
      <c r="DE16" s="14"/>
      <c r="DF16" s="14"/>
      <c r="DG16" s="14"/>
      <c r="DH16" s="25"/>
      <c r="DI16" s="24"/>
      <c r="DJ16" s="14"/>
      <c r="DK16" s="14"/>
      <c r="DL16" s="14"/>
      <c r="DM16" s="14"/>
      <c r="DN16" s="14"/>
      <c r="DO16" s="14"/>
      <c r="DP16" s="25"/>
      <c r="DQ16" s="24"/>
      <c r="DR16" s="14"/>
      <c r="DS16" s="14"/>
      <c r="DT16" s="14"/>
      <c r="DU16" s="14"/>
      <c r="DV16" s="14"/>
      <c r="DW16" s="14"/>
      <c r="DX16" s="25"/>
      <c r="DY16" s="24"/>
      <c r="DZ16" s="14"/>
      <c r="EA16" s="14"/>
      <c r="EB16" s="14"/>
      <c r="EC16" s="14"/>
      <c r="ED16" s="14"/>
      <c r="EE16" s="14"/>
      <c r="EF16" s="25"/>
      <c r="EG16" s="24"/>
      <c r="EH16" s="14"/>
      <c r="EI16" s="14"/>
      <c r="EJ16" s="14"/>
      <c r="EK16" s="14"/>
      <c r="EL16" s="14"/>
      <c r="EM16" s="14"/>
      <c r="EN16" s="25"/>
      <c r="EO16" s="24"/>
      <c r="EP16" s="14"/>
      <c r="EQ16" s="14"/>
      <c r="ER16" s="14"/>
      <c r="ES16" s="14"/>
      <c r="ET16" s="14"/>
      <c r="EU16" s="14"/>
      <c r="EV16" s="25"/>
      <c r="FM16" s="24"/>
      <c r="FN16" s="14"/>
      <c r="FO16" s="14"/>
      <c r="FP16" s="14"/>
      <c r="FQ16" s="14"/>
      <c r="FR16" s="14"/>
      <c r="FS16" s="14"/>
      <c r="FT16" s="25"/>
      <c r="FU16" s="24"/>
      <c r="FV16" s="14"/>
      <c r="FW16" s="14"/>
      <c r="FX16" s="14"/>
      <c r="FY16" s="14"/>
      <c r="FZ16" s="14"/>
      <c r="GA16" s="14"/>
      <c r="GB16" s="25"/>
      <c r="GC16" s="195" t="s">
        <v>226</v>
      </c>
      <c r="GD16" s="194"/>
      <c r="GE16" s="109">
        <v>4</v>
      </c>
      <c r="GF16" s="17">
        <f>LOOKUP(GI5,Reference!$A$101:$A$105,Reference!$C$101:$C$105)</f>
        <v>0.158</v>
      </c>
      <c r="GG16" s="194" t="s">
        <v>227</v>
      </c>
      <c r="GH16" s="194"/>
      <c r="GI16" s="109">
        <v>4</v>
      </c>
      <c r="GJ16" s="80">
        <f>LOOKUP(GI5,Reference!$A$101:$A$105,Reference!$G$101:$G$105)</f>
        <v>8.3000000000000004E-2</v>
      </c>
      <c r="GK16" s="195" t="s">
        <v>226</v>
      </c>
      <c r="GL16" s="194"/>
      <c r="GM16" s="109">
        <v>1</v>
      </c>
      <c r="GN16" s="17">
        <f>LOOKUP(GQ5,Reference!$A$101:$A$105,Reference!$C$101:$C$105)</f>
        <v>0.182</v>
      </c>
      <c r="GO16" s="194" t="s">
        <v>227</v>
      </c>
      <c r="GP16" s="194"/>
      <c r="GQ16" s="109">
        <v>2</v>
      </c>
      <c r="GR16" s="80">
        <f>LOOKUP(GQ5,Reference!$A$101:$A$105,Reference!$G$101:$G$105)</f>
        <v>9.6000000000000002E-2</v>
      </c>
      <c r="GS16" s="195" t="s">
        <v>226</v>
      </c>
      <c r="GT16" s="194"/>
      <c r="GU16" s="118">
        <v>0</v>
      </c>
      <c r="GV16" s="17">
        <f>LOOKUP(GY5,Reference!$A$101:$A$105,Reference!$C$101:$C$105)</f>
        <v>0.158</v>
      </c>
      <c r="GW16" s="194" t="s">
        <v>227</v>
      </c>
      <c r="GX16" s="194"/>
      <c r="GY16" s="118">
        <v>4</v>
      </c>
      <c r="GZ16" s="80">
        <f>LOOKUP(GY5,Reference!$A$101:$A$105,Reference!$G$101:$G$105)</f>
        <v>8.3000000000000004E-2</v>
      </c>
      <c r="HA16" s="195" t="s">
        <v>226</v>
      </c>
      <c r="HB16" s="194"/>
      <c r="HC16" s="118">
        <v>19</v>
      </c>
      <c r="HD16" s="17">
        <f>LOOKUP(HG5,Reference!$A$101:$A$105,Reference!$C$101:$C$105)</f>
        <v>0.16500000000000001</v>
      </c>
      <c r="HE16" s="194" t="s">
        <v>227</v>
      </c>
      <c r="HF16" s="194"/>
      <c r="HG16" s="118">
        <v>0</v>
      </c>
      <c r="HH16" s="80">
        <f>LOOKUP(HG5,Reference!$A$101:$A$105,Reference!$G$101:$G$105)</f>
        <v>8.6999999999999994E-2</v>
      </c>
      <c r="HI16" s="195" t="s">
        <v>226</v>
      </c>
      <c r="HJ16" s="194"/>
      <c r="HK16" s="118">
        <v>15</v>
      </c>
      <c r="HL16" s="17">
        <f>LOOKUP(HO5,Reference!$A$101:$A$105,Reference!$C$101:$C$105)</f>
        <v>0.16500000000000001</v>
      </c>
      <c r="HM16" s="194" t="s">
        <v>227</v>
      </c>
      <c r="HN16" s="194"/>
      <c r="HO16" s="118">
        <v>0</v>
      </c>
      <c r="HP16" s="80">
        <f>LOOKUP(HO5,Reference!$A$101:$A$105,Reference!$G$101:$G$105)</f>
        <v>8.6999999999999994E-2</v>
      </c>
    </row>
    <row r="17" spans="1:224" x14ac:dyDescent="0.25">
      <c r="A17" s="194" t="s">
        <v>3</v>
      </c>
      <c r="B17" s="194"/>
      <c r="C17" s="44">
        <f>C18+C19</f>
        <v>4.334910559977037</v>
      </c>
      <c r="D17" s="14"/>
      <c r="E17" s="14"/>
      <c r="F17" s="14"/>
      <c r="G17" s="14"/>
      <c r="H17" s="25"/>
      <c r="I17" s="194" t="s">
        <v>3</v>
      </c>
      <c r="J17" s="194"/>
      <c r="K17" s="44">
        <f>K18+K19</f>
        <v>37.14236889439298</v>
      </c>
      <c r="L17" s="14"/>
      <c r="M17" s="14"/>
      <c r="N17" s="14"/>
      <c r="O17" s="14"/>
      <c r="P17" s="25"/>
      <c r="Y17" s="195" t="s">
        <v>3</v>
      </c>
      <c r="Z17" s="194"/>
      <c r="AA17" s="44">
        <f>AA18+AA19</f>
        <v>3.3573801043495646</v>
      </c>
      <c r="AB17" s="14"/>
      <c r="AC17" s="14"/>
      <c r="AD17" s="14"/>
      <c r="AE17" s="14"/>
      <c r="AF17" s="25"/>
      <c r="AG17" s="195" t="s">
        <v>3</v>
      </c>
      <c r="AH17" s="194"/>
      <c r="AI17" s="44">
        <f>AI18+AI19</f>
        <v>16.213540834618012</v>
      </c>
      <c r="AJ17" s="14"/>
      <c r="AK17" s="14"/>
      <c r="AL17" s="14"/>
      <c r="AM17" s="14"/>
      <c r="AN17" s="25"/>
      <c r="AO17" s="24"/>
      <c r="AP17" s="14"/>
      <c r="AQ17" s="14"/>
      <c r="AR17" s="14"/>
      <c r="AS17" s="14"/>
      <c r="AT17" s="14"/>
      <c r="AU17" s="14"/>
      <c r="AV17" s="25"/>
      <c r="AW17" s="24"/>
      <c r="AX17" s="14"/>
      <c r="AY17" s="14"/>
      <c r="AZ17" s="14"/>
      <c r="BA17" s="14"/>
      <c r="BB17" s="14"/>
      <c r="BC17" s="14"/>
      <c r="BD17" s="25"/>
      <c r="BE17" s="24"/>
      <c r="BF17" s="14"/>
      <c r="BG17" s="14"/>
      <c r="BH17" s="14"/>
      <c r="BI17" s="14"/>
      <c r="BJ17" s="14"/>
      <c r="BK17" s="14"/>
      <c r="BL17" s="25"/>
      <c r="BM17" s="24"/>
      <c r="BN17" s="14"/>
      <c r="BO17" s="14"/>
      <c r="BP17" s="14"/>
      <c r="BQ17" s="14"/>
      <c r="BR17" s="14"/>
      <c r="BS17" s="14"/>
      <c r="BT17" s="25"/>
      <c r="DA17" s="24"/>
      <c r="DB17" s="14"/>
      <c r="DC17" s="14"/>
      <c r="DD17" s="14"/>
      <c r="DE17" s="14"/>
      <c r="DF17" s="14"/>
      <c r="DG17" s="14"/>
      <c r="DH17" s="25"/>
      <c r="DI17" s="24"/>
      <c r="DJ17" s="14"/>
      <c r="DK17" s="14"/>
      <c r="DL17" s="14"/>
      <c r="DM17" s="14"/>
      <c r="DN17" s="14"/>
      <c r="DO17" s="14"/>
      <c r="DP17" s="25"/>
      <c r="DQ17" s="24"/>
      <c r="DR17" s="14"/>
      <c r="DS17" s="14"/>
      <c r="DT17" s="14"/>
      <c r="DU17" s="14"/>
      <c r="DV17" s="14"/>
      <c r="DW17" s="14"/>
      <c r="DX17" s="25"/>
      <c r="DY17" s="24"/>
      <c r="DZ17" s="14"/>
      <c r="EA17" s="14"/>
      <c r="EB17" s="14"/>
      <c r="EC17" s="14"/>
      <c r="ED17" s="14"/>
      <c r="EE17" s="14"/>
      <c r="EF17" s="25"/>
      <c r="EG17" s="195" t="s">
        <v>108</v>
      </c>
      <c r="EH17" s="198"/>
      <c r="EI17" s="44">
        <f>SUM(EI18:EI19)</f>
        <v>18.479779888064584</v>
      </c>
      <c r="EJ17" s="14"/>
      <c r="EK17" s="14"/>
      <c r="EL17" s="14"/>
      <c r="EM17" s="14"/>
      <c r="EN17" s="25"/>
      <c r="EO17" s="195" t="s">
        <v>108</v>
      </c>
      <c r="EP17" s="198"/>
      <c r="EQ17" s="44">
        <f>SUM(EQ18:EQ19)</f>
        <v>30.725266628401723</v>
      </c>
      <c r="ER17" s="14"/>
      <c r="ES17" s="14"/>
      <c r="ET17" s="14"/>
      <c r="EU17" s="14"/>
      <c r="EV17" s="25"/>
      <c r="FM17" s="195" t="s">
        <v>108</v>
      </c>
      <c r="FN17" s="198"/>
      <c r="FO17" s="44">
        <f>SUM(FO18:FO19)</f>
        <v>23.620290252093902</v>
      </c>
      <c r="FP17" s="14"/>
      <c r="FQ17" s="14"/>
      <c r="FR17" s="14"/>
      <c r="FS17" s="14"/>
      <c r="FT17" s="25"/>
      <c r="FU17" s="195" t="s">
        <v>108</v>
      </c>
      <c r="FV17" s="198"/>
      <c r="FW17" s="44">
        <f>SUM(FW18:FW19)</f>
        <v>19.814969578871978</v>
      </c>
      <c r="FX17" s="14"/>
      <c r="FY17" s="14"/>
      <c r="FZ17" s="14"/>
      <c r="GA17" s="14"/>
      <c r="GB17" s="25"/>
      <c r="GC17" s="195" t="s">
        <v>228</v>
      </c>
      <c r="GD17" s="194"/>
      <c r="GE17" s="109">
        <v>1</v>
      </c>
      <c r="GF17" s="17">
        <f>LOOKUP(GI5,Reference!$A$101:$A$105,Reference!$D$101:$D$105)</f>
        <v>0.05</v>
      </c>
      <c r="GG17" s="194" t="s">
        <v>229</v>
      </c>
      <c r="GH17" s="194"/>
      <c r="GI17" s="109">
        <v>6</v>
      </c>
      <c r="GJ17" s="80">
        <f>LOOKUP(GI5,Reference!$A$101:$A$105,Reference!$H$101:$H$105)</f>
        <v>1.6E-2</v>
      </c>
      <c r="GK17" s="195" t="s">
        <v>228</v>
      </c>
      <c r="GL17" s="194"/>
      <c r="GM17" s="109">
        <v>0</v>
      </c>
      <c r="GN17" s="17">
        <f>LOOKUP(GQ5,Reference!$A$101:$A$105,Reference!$D$101:$D$105)</f>
        <v>5.8000000000000003E-2</v>
      </c>
      <c r="GO17" s="194" t="s">
        <v>229</v>
      </c>
      <c r="GP17" s="194"/>
      <c r="GQ17" s="109">
        <v>15</v>
      </c>
      <c r="GR17" s="80">
        <f>LOOKUP(GQ5,Reference!$A$101:$A$105,Reference!$H$101:$H$105)</f>
        <v>1.7999999999999999E-2</v>
      </c>
      <c r="GS17" s="195" t="s">
        <v>228</v>
      </c>
      <c r="GT17" s="194"/>
      <c r="GU17" s="118">
        <v>0</v>
      </c>
      <c r="GV17" s="17">
        <f>LOOKUP(GY5,Reference!$A$101:$A$105,Reference!$D$101:$D$105)</f>
        <v>0.05</v>
      </c>
      <c r="GW17" s="194" t="s">
        <v>229</v>
      </c>
      <c r="GX17" s="194"/>
      <c r="GY17" s="118">
        <v>0</v>
      </c>
      <c r="GZ17" s="80">
        <f>LOOKUP(GY5,Reference!$A$101:$A$105,Reference!$H$101:$H$105)</f>
        <v>1.6E-2</v>
      </c>
      <c r="HA17" s="195" t="s">
        <v>228</v>
      </c>
      <c r="HB17" s="194"/>
      <c r="HC17" s="118">
        <v>0</v>
      </c>
      <c r="HD17" s="17">
        <f>LOOKUP(HG5,Reference!$A$101:$A$105,Reference!$D$101:$D$105)</f>
        <v>5.2999999999999999E-2</v>
      </c>
      <c r="HE17" s="194" t="s">
        <v>229</v>
      </c>
      <c r="HF17" s="194"/>
      <c r="HG17" s="118">
        <v>0</v>
      </c>
      <c r="HH17" s="80">
        <f>LOOKUP(HG5,Reference!$A$101:$A$105,Reference!$H$101:$H$105)</f>
        <v>1.6E-2</v>
      </c>
      <c r="HI17" s="195" t="s">
        <v>228</v>
      </c>
      <c r="HJ17" s="194"/>
      <c r="HK17" s="118">
        <v>0</v>
      </c>
      <c r="HL17" s="17">
        <f>LOOKUP(HO5,Reference!$A$101:$A$105,Reference!$D$101:$D$105)</f>
        <v>5.2999999999999999E-2</v>
      </c>
      <c r="HM17" s="194" t="s">
        <v>229</v>
      </c>
      <c r="HN17" s="194"/>
      <c r="HO17" s="118">
        <v>0</v>
      </c>
      <c r="HP17" s="80">
        <f>LOOKUP(HO5,Reference!$A$101:$A$105,Reference!$H$101:$H$105)</f>
        <v>1.6E-2</v>
      </c>
    </row>
    <row r="18" spans="1:224" x14ac:dyDescent="0.25">
      <c r="A18" s="194" t="s">
        <v>4</v>
      </c>
      <c r="B18" s="194"/>
      <c r="C18" s="44">
        <f>H10</f>
        <v>1.296334299012172</v>
      </c>
      <c r="D18" s="14"/>
      <c r="E18" s="14"/>
      <c r="F18" s="14"/>
      <c r="G18" s="14"/>
      <c r="H18" s="25"/>
      <c r="I18" s="194" t="s">
        <v>4</v>
      </c>
      <c r="J18" s="194"/>
      <c r="K18" s="44">
        <f>P10</f>
        <v>12.169692755422014</v>
      </c>
      <c r="L18" s="14"/>
      <c r="M18" s="14"/>
      <c r="N18" s="14"/>
      <c r="O18" s="14"/>
      <c r="P18" s="25"/>
      <c r="Y18" s="195" t="s">
        <v>4</v>
      </c>
      <c r="Z18" s="194"/>
      <c r="AA18" s="44">
        <f>AF10</f>
        <v>1.0561038582022935</v>
      </c>
      <c r="AB18" s="14"/>
      <c r="AC18" s="14"/>
      <c r="AD18" s="14"/>
      <c r="AE18" s="14"/>
      <c r="AF18" s="25"/>
      <c r="AG18" s="195" t="s">
        <v>4</v>
      </c>
      <c r="AH18" s="194"/>
      <c r="AI18" s="44">
        <f>AN10</f>
        <v>5.0914304450469858</v>
      </c>
      <c r="AJ18" s="14"/>
      <c r="AK18" s="14"/>
      <c r="AL18" s="14"/>
      <c r="AM18" s="14"/>
      <c r="AN18" s="25"/>
      <c r="AO18" s="24"/>
      <c r="AP18" s="14"/>
      <c r="AQ18" s="14"/>
      <c r="AR18" s="14"/>
      <c r="AS18" s="14"/>
      <c r="AT18" s="14"/>
      <c r="AU18" s="14"/>
      <c r="AV18" s="25"/>
      <c r="AW18" s="24"/>
      <c r="AX18" s="14"/>
      <c r="AY18" s="14"/>
      <c r="AZ18" s="14"/>
      <c r="BA18" s="14"/>
      <c r="BB18" s="14"/>
      <c r="BC18" s="14"/>
      <c r="BD18" s="25"/>
      <c r="BE18" s="24"/>
      <c r="BF18" s="14"/>
      <c r="BG18" s="14"/>
      <c r="BH18" s="14"/>
      <c r="BI18" s="14"/>
      <c r="BJ18" s="14"/>
      <c r="BK18" s="14"/>
      <c r="BL18" s="25"/>
      <c r="BM18" s="24"/>
      <c r="BN18" s="14"/>
      <c r="BO18" s="14"/>
      <c r="BP18" s="14"/>
      <c r="BQ18" s="14"/>
      <c r="BR18" s="14"/>
      <c r="BS18" s="14"/>
      <c r="BT18" s="25"/>
      <c r="DA18" s="24"/>
      <c r="DB18" s="14"/>
      <c r="DC18" s="14"/>
      <c r="DD18" s="14"/>
      <c r="DE18" s="14"/>
      <c r="DF18" s="14"/>
      <c r="DG18" s="14"/>
      <c r="DH18" s="25"/>
      <c r="DI18" s="24"/>
      <c r="DJ18" s="14"/>
      <c r="DK18" s="14"/>
      <c r="DL18" s="14"/>
      <c r="DM18" s="14"/>
      <c r="DN18" s="14"/>
      <c r="DO18" s="14"/>
      <c r="DP18" s="25"/>
      <c r="DQ18" s="24"/>
      <c r="DR18" s="14"/>
      <c r="DS18" s="14"/>
      <c r="DT18" s="14"/>
      <c r="DU18" s="14"/>
      <c r="DV18" s="14"/>
      <c r="DW18" s="14"/>
      <c r="DX18" s="25"/>
      <c r="DY18" s="24"/>
      <c r="DZ18" s="14"/>
      <c r="EA18" s="14"/>
      <c r="EB18" s="14"/>
      <c r="EC18" s="14"/>
      <c r="ED18" s="14"/>
      <c r="EE18" s="14"/>
      <c r="EF18" s="25"/>
      <c r="EG18" s="195" t="s">
        <v>109</v>
      </c>
      <c r="EH18" s="198"/>
      <c r="EI18" s="44">
        <f>EXP(EI13+EJ13*LN(EK13*EH5)+EL13*LN(EK13*SUM(EH6:EH7)))</f>
        <v>6.9168453795879685</v>
      </c>
      <c r="EJ18" s="14"/>
      <c r="EK18" s="14"/>
      <c r="EL18" s="14"/>
      <c r="EM18" s="14"/>
      <c r="EN18" s="25"/>
      <c r="EO18" s="195" t="s">
        <v>109</v>
      </c>
      <c r="EP18" s="198"/>
      <c r="EQ18" s="44">
        <f>EXP(EQ13+ER13*LN(ES13*EP5)+ET13*LN(ES13*SUM(EP6:EP7)))</f>
        <v>11.771855310919367</v>
      </c>
      <c r="ER18" s="14"/>
      <c r="ES18" s="14"/>
      <c r="ET18" s="14"/>
      <c r="EU18" s="14"/>
      <c r="EV18" s="25"/>
      <c r="FM18" s="195" t="s">
        <v>109</v>
      </c>
      <c r="FN18" s="198"/>
      <c r="FO18" s="44">
        <f>EXP(FO13+FP13*LN(FQ13*FN5)+FR13*LN(FQ13*SUM(FN6:FN7)))</f>
        <v>9.5833754223154966</v>
      </c>
      <c r="FP18" s="14"/>
      <c r="FQ18" s="14"/>
      <c r="FR18" s="14"/>
      <c r="FS18" s="14"/>
      <c r="FT18" s="25"/>
      <c r="FU18" s="195" t="s">
        <v>109</v>
      </c>
      <c r="FV18" s="198"/>
      <c r="FW18" s="44">
        <f>EXP(FW13+FX13*LN(FY13*FV5)+FZ13*LN(FY13*SUM(FV6:FV7)))</f>
        <v>7.7799254250774039</v>
      </c>
      <c r="FX18" s="14"/>
      <c r="FY18" s="14"/>
      <c r="FZ18" s="14"/>
      <c r="GA18" s="14"/>
      <c r="GB18" s="25"/>
      <c r="GC18" s="195" t="s">
        <v>343</v>
      </c>
      <c r="GD18" s="194"/>
      <c r="GE18" s="109">
        <v>0</v>
      </c>
      <c r="GF18" s="17">
        <f>LOOKUP(GI5,Reference!$A$101:$A$105,Reference!$E$101:$E$105)</f>
        <v>0.17199999999999999</v>
      </c>
      <c r="GG18" s="194" t="s">
        <v>237</v>
      </c>
      <c r="GH18" s="194"/>
      <c r="GI18" s="109">
        <v>0</v>
      </c>
      <c r="GJ18" s="80">
        <f>LOOKUP(GI5,Reference!$A$101:$A$105,Reference!$I$101:$I$105)</f>
        <v>2.5000000000000001E-2</v>
      </c>
      <c r="GK18" s="195" t="s">
        <v>343</v>
      </c>
      <c r="GL18" s="194"/>
      <c r="GM18" s="109">
        <v>1</v>
      </c>
      <c r="GN18" s="17">
        <f>LOOKUP(GQ5,Reference!$A$101:$A$105,Reference!$E$101:$E$105)</f>
        <v>0.19800000000000001</v>
      </c>
      <c r="GO18" s="194" t="s">
        <v>237</v>
      </c>
      <c r="GP18" s="194"/>
      <c r="GQ18" s="109">
        <v>0</v>
      </c>
      <c r="GR18" s="80">
        <f>LOOKUP(GQ5,Reference!$A$101:$A$105,Reference!$I$101:$I$105)</f>
        <v>2.9000000000000001E-2</v>
      </c>
      <c r="GS18" s="195" t="s">
        <v>343</v>
      </c>
      <c r="GT18" s="194"/>
      <c r="GU18" s="118">
        <v>0</v>
      </c>
      <c r="GV18" s="17">
        <f>LOOKUP(GY5,Reference!$A$101:$A$105,Reference!$E$101:$E$105)</f>
        <v>0.17199999999999999</v>
      </c>
      <c r="GW18" s="194" t="s">
        <v>237</v>
      </c>
      <c r="GX18" s="194"/>
      <c r="GY18" s="118">
        <v>0</v>
      </c>
      <c r="GZ18" s="80">
        <f>LOOKUP(GY5,Reference!$A$101:$A$105,Reference!$I$101:$I$105)</f>
        <v>2.5000000000000001E-2</v>
      </c>
      <c r="HA18" s="195" t="s">
        <v>343</v>
      </c>
      <c r="HB18" s="194"/>
      <c r="HC18" s="118">
        <v>7</v>
      </c>
      <c r="HD18" s="17">
        <f>LOOKUP(HG5,Reference!$A$101:$A$105,Reference!$E$101:$E$105)</f>
        <v>0.18099999999999999</v>
      </c>
      <c r="HE18" s="194" t="s">
        <v>237</v>
      </c>
      <c r="HF18" s="194"/>
      <c r="HG18" s="118">
        <v>0</v>
      </c>
      <c r="HH18" s="80">
        <f>LOOKUP(HG5,Reference!$A$101:$A$105,Reference!$I$101:$I$105)</f>
        <v>2.7E-2</v>
      </c>
      <c r="HI18" s="195" t="s">
        <v>343</v>
      </c>
      <c r="HJ18" s="194"/>
      <c r="HK18" s="118">
        <v>1</v>
      </c>
      <c r="HL18" s="17">
        <f>LOOKUP(HO5,Reference!$A$101:$A$105,Reference!$E$101:$E$105)</f>
        <v>0.18099999999999999</v>
      </c>
      <c r="HM18" s="194" t="s">
        <v>237</v>
      </c>
      <c r="HN18" s="194"/>
      <c r="HO18" s="118">
        <v>0</v>
      </c>
      <c r="HP18" s="80">
        <f>LOOKUP(HO5,Reference!$A$101:$A$105,Reference!$I$101:$I$105)</f>
        <v>2.7E-2</v>
      </c>
    </row>
    <row r="19" spans="1:224" x14ac:dyDescent="0.25">
      <c r="A19" s="194" t="s">
        <v>5</v>
      </c>
      <c r="B19" s="194"/>
      <c r="C19" s="44">
        <f>H11</f>
        <v>3.0385762609648648</v>
      </c>
      <c r="D19" s="14"/>
      <c r="E19" s="14"/>
      <c r="F19" s="14"/>
      <c r="G19" s="14"/>
      <c r="H19" s="25"/>
      <c r="I19" s="194" t="s">
        <v>5</v>
      </c>
      <c r="J19" s="194"/>
      <c r="K19" s="44">
        <f>P11</f>
        <v>24.972676138970968</v>
      </c>
      <c r="L19" s="14"/>
      <c r="M19" s="14"/>
      <c r="N19" s="14"/>
      <c r="O19" s="14"/>
      <c r="P19" s="25"/>
      <c r="Y19" s="195" t="s">
        <v>5</v>
      </c>
      <c r="Z19" s="194"/>
      <c r="AA19" s="44">
        <f>AF11</f>
        <v>2.3012762461472711</v>
      </c>
      <c r="AB19" s="14"/>
      <c r="AC19" s="14"/>
      <c r="AD19" s="14"/>
      <c r="AE19" s="14"/>
      <c r="AF19" s="25"/>
      <c r="AG19" s="195" t="s">
        <v>5</v>
      </c>
      <c r="AH19" s="194"/>
      <c r="AI19" s="44">
        <f>AN11</f>
        <v>11.122110389571025</v>
      </c>
      <c r="AJ19" s="14"/>
      <c r="AK19" s="14"/>
      <c r="AL19" s="14"/>
      <c r="AM19" s="14"/>
      <c r="AN19" s="25"/>
      <c r="AO19" s="24"/>
      <c r="AP19" s="14"/>
      <c r="AQ19" s="14"/>
      <c r="AR19" s="14"/>
      <c r="AS19" s="14"/>
      <c r="AT19" s="14"/>
      <c r="AU19" s="14"/>
      <c r="AV19" s="25"/>
      <c r="AW19" s="24"/>
      <c r="AX19" s="14"/>
      <c r="AY19" s="14"/>
      <c r="AZ19" s="14"/>
      <c r="BA19" s="14"/>
      <c r="BB19" s="14"/>
      <c r="BC19" s="14"/>
      <c r="BD19" s="25"/>
      <c r="BE19" s="24"/>
      <c r="BF19" s="14"/>
      <c r="BG19" s="14"/>
      <c r="BH19" s="14"/>
      <c r="BI19" s="14"/>
      <c r="BJ19" s="14"/>
      <c r="BK19" s="14"/>
      <c r="BL19" s="25"/>
      <c r="BM19" s="24"/>
      <c r="BN19" s="14"/>
      <c r="BO19" s="14"/>
      <c r="BP19" s="14"/>
      <c r="BQ19" s="14"/>
      <c r="BR19" s="14"/>
      <c r="BS19" s="14"/>
      <c r="BT19" s="25"/>
      <c r="DA19" s="24"/>
      <c r="DB19" s="14"/>
      <c r="DC19" s="14"/>
      <c r="DD19" s="14"/>
      <c r="DE19" s="14"/>
      <c r="DF19" s="14"/>
      <c r="DG19" s="14"/>
      <c r="DH19" s="25"/>
      <c r="DI19" s="24"/>
      <c r="DJ19" s="14"/>
      <c r="DK19" s="14"/>
      <c r="DL19" s="14"/>
      <c r="DM19" s="14"/>
      <c r="DN19" s="14"/>
      <c r="DO19" s="14"/>
      <c r="DP19" s="25"/>
      <c r="DQ19" s="24"/>
      <c r="DR19" s="14"/>
      <c r="DS19" s="14"/>
      <c r="DT19" s="14"/>
      <c r="DU19" s="14"/>
      <c r="DV19" s="14"/>
      <c r="DW19" s="14"/>
      <c r="DX19" s="25"/>
      <c r="DY19" s="24"/>
      <c r="DZ19" s="14"/>
      <c r="EA19" s="14"/>
      <c r="EB19" s="14"/>
      <c r="EC19" s="14"/>
      <c r="ED19" s="14"/>
      <c r="EE19" s="14"/>
      <c r="EF19" s="25"/>
      <c r="EG19" s="195" t="s">
        <v>110</v>
      </c>
      <c r="EH19" s="198"/>
      <c r="EI19" s="44">
        <f>EXP(EI14+EJ14*LN(EK14*EH5)+EL14*LN(EK14*SUM(EH6:EH7)))</f>
        <v>11.562934508476618</v>
      </c>
      <c r="EJ19" s="14"/>
      <c r="EK19" s="14"/>
      <c r="EL19" s="14"/>
      <c r="EM19" s="14"/>
      <c r="EN19" s="25"/>
      <c r="EO19" s="195" t="s">
        <v>110</v>
      </c>
      <c r="EP19" s="198"/>
      <c r="EQ19" s="44">
        <f>EXP(EQ14+ER14*LN(ES14*EP5)+ET14*LN(ES14*SUM(EP6:EP7)))</f>
        <v>18.953411317482356</v>
      </c>
      <c r="ER19" s="14"/>
      <c r="ES19" s="14"/>
      <c r="ET19" s="14"/>
      <c r="EU19" s="14"/>
      <c r="EV19" s="25"/>
      <c r="FM19" s="195" t="s">
        <v>110</v>
      </c>
      <c r="FN19" s="198"/>
      <c r="FO19" s="44">
        <f>EXP(FO14+FP14*LN(FQ14*FN5)+FR14*LN(FQ14*SUM(FN6:FN7)))</f>
        <v>14.036914829778405</v>
      </c>
      <c r="FP19" s="14"/>
      <c r="FQ19" s="14"/>
      <c r="FR19" s="14"/>
      <c r="FS19" s="14"/>
      <c r="FT19" s="25"/>
      <c r="FU19" s="195" t="s">
        <v>110</v>
      </c>
      <c r="FV19" s="198"/>
      <c r="FW19" s="44">
        <f>EXP(FW14+FX14*LN(FY14*FV5)+FZ14*LN(FY14*SUM(FV6:FV7)))</f>
        <v>12.035044153794573</v>
      </c>
      <c r="FX19" s="14"/>
      <c r="FY19" s="14"/>
      <c r="FZ19" s="14"/>
      <c r="GA19" s="14"/>
      <c r="GB19" s="25"/>
      <c r="GC19" s="195" t="s">
        <v>344</v>
      </c>
      <c r="GD19" s="194"/>
      <c r="GE19" s="109">
        <v>0</v>
      </c>
      <c r="GF19" s="17">
        <f>LOOKUP(GI5,Reference!$A$101:$A$105,Reference!$F$101:$F$105)</f>
        <v>2.3E-2</v>
      </c>
      <c r="GG19" s="194" t="s">
        <v>241</v>
      </c>
      <c r="GH19" s="194"/>
      <c r="GI19" s="14"/>
      <c r="GJ19" s="80">
        <f>LOOKUP(GI5,Reference!$A$101:$A$105,Reference!$J$101:$J$105)</f>
        <v>1</v>
      </c>
      <c r="GK19" s="195" t="s">
        <v>344</v>
      </c>
      <c r="GL19" s="194"/>
      <c r="GM19" s="109">
        <v>4</v>
      </c>
      <c r="GN19" s="17">
        <f>LOOKUP(GQ5,Reference!$A$101:$A$105,Reference!$F$101:$F$105)</f>
        <v>2.5999999999999999E-2</v>
      </c>
      <c r="GO19" s="194" t="s">
        <v>241</v>
      </c>
      <c r="GP19" s="194"/>
      <c r="GQ19" s="14"/>
      <c r="GR19" s="80">
        <f>LOOKUP(GQ5,Reference!$A$101:$A$105,Reference!$J$101:$J$105)</f>
        <v>1.1719999999999999</v>
      </c>
      <c r="GS19" s="195" t="s">
        <v>344</v>
      </c>
      <c r="GT19" s="194"/>
      <c r="GU19" s="118">
        <v>0</v>
      </c>
      <c r="GV19" s="17">
        <f>LOOKUP(GY5,Reference!$A$101:$A$105,Reference!$F$101:$F$105)</f>
        <v>2.3E-2</v>
      </c>
      <c r="GW19" s="194" t="s">
        <v>241</v>
      </c>
      <c r="GX19" s="194"/>
      <c r="GY19" s="14"/>
      <c r="GZ19" s="80">
        <f>LOOKUP(GY5,Reference!$A$101:$A$105,Reference!$J$101:$J$105)</f>
        <v>1</v>
      </c>
      <c r="HA19" s="195" t="s">
        <v>344</v>
      </c>
      <c r="HB19" s="194"/>
      <c r="HC19" s="118">
        <v>0</v>
      </c>
      <c r="HD19" s="17">
        <f>LOOKUP(HG5,Reference!$A$101:$A$105,Reference!$F$101:$F$105)</f>
        <v>2.4E-2</v>
      </c>
      <c r="HE19" s="194" t="s">
        <v>241</v>
      </c>
      <c r="HF19" s="194"/>
      <c r="HG19" s="14"/>
      <c r="HH19" s="80">
        <f>LOOKUP(HG5,Reference!$A$101:$A$105,Reference!$J$101:$J$105)</f>
        <v>1.1719999999999999</v>
      </c>
      <c r="HI19" s="195" t="s">
        <v>344</v>
      </c>
      <c r="HJ19" s="194"/>
      <c r="HK19" s="118">
        <v>1</v>
      </c>
      <c r="HL19" s="17">
        <f>LOOKUP(HO5,Reference!$A$101:$A$105,Reference!$F$101:$F$105)</f>
        <v>2.4E-2</v>
      </c>
      <c r="HM19" s="194" t="s">
        <v>241</v>
      </c>
      <c r="HN19" s="194"/>
      <c r="HO19" s="14"/>
      <c r="HP19" s="80">
        <f>LOOKUP(HO5,Reference!$A$101:$A$105,Reference!$J$101:$J$105)</f>
        <v>1.1719999999999999</v>
      </c>
    </row>
    <row r="20" spans="1:224" x14ac:dyDescent="0.25">
      <c r="A20" s="14"/>
      <c r="B20" s="14"/>
      <c r="C20" s="14"/>
      <c r="D20" s="14"/>
      <c r="E20" s="14"/>
      <c r="F20" s="14"/>
      <c r="G20" s="14"/>
      <c r="H20" s="25"/>
      <c r="I20" s="14"/>
      <c r="J20" s="14"/>
      <c r="K20" s="14"/>
      <c r="L20" s="14"/>
      <c r="M20" s="14"/>
      <c r="N20" s="14"/>
      <c r="O20" s="14"/>
      <c r="P20" s="25"/>
      <c r="Y20" s="24"/>
      <c r="Z20" s="14"/>
      <c r="AA20" s="14"/>
      <c r="AB20" s="14"/>
      <c r="AC20" s="14"/>
      <c r="AD20" s="14"/>
      <c r="AE20" s="14"/>
      <c r="AF20" s="25"/>
      <c r="AG20" s="24"/>
      <c r="AH20" s="14"/>
      <c r="AI20" s="14"/>
      <c r="AJ20" s="14"/>
      <c r="AK20" s="14"/>
      <c r="AL20" s="14"/>
      <c r="AM20" s="14"/>
      <c r="AN20" s="25"/>
      <c r="AO20" s="24"/>
      <c r="AP20" s="14"/>
      <c r="AQ20" s="14"/>
      <c r="AR20" s="14"/>
      <c r="AS20" s="14"/>
      <c r="AT20" s="14"/>
      <c r="AU20" s="14"/>
      <c r="AV20" s="25"/>
      <c r="AW20" s="24"/>
      <c r="AX20" s="14"/>
      <c r="AY20" s="14"/>
      <c r="AZ20" s="14"/>
      <c r="BA20" s="14"/>
      <c r="BB20" s="14"/>
      <c r="BC20" s="14"/>
      <c r="BD20" s="25"/>
      <c r="BE20" s="24"/>
      <c r="BF20" s="14"/>
      <c r="BG20" s="14"/>
      <c r="BH20" s="14"/>
      <c r="BI20" s="14"/>
      <c r="BJ20" s="14"/>
      <c r="BK20" s="14"/>
      <c r="BL20" s="25"/>
      <c r="BM20" s="24"/>
      <c r="BN20" s="14"/>
      <c r="BO20" s="14"/>
      <c r="BP20" s="14"/>
      <c r="BQ20" s="14"/>
      <c r="BR20" s="14"/>
      <c r="BS20" s="14"/>
      <c r="BT20" s="25"/>
      <c r="DA20" s="24"/>
      <c r="DB20" s="14"/>
      <c r="DC20" s="14"/>
      <c r="DD20" s="14"/>
      <c r="DE20" s="14"/>
      <c r="DF20" s="14"/>
      <c r="DG20" s="14"/>
      <c r="DH20" s="25"/>
      <c r="DI20" s="24"/>
      <c r="DJ20" s="14"/>
      <c r="DK20" s="14"/>
      <c r="DL20" s="14"/>
      <c r="DM20" s="14"/>
      <c r="DN20" s="14"/>
      <c r="DO20" s="14"/>
      <c r="DP20" s="25"/>
      <c r="DQ20" s="24"/>
      <c r="DR20" s="14"/>
      <c r="DS20" s="14"/>
      <c r="DT20" s="14"/>
      <c r="DU20" s="14"/>
      <c r="DV20" s="14"/>
      <c r="DW20" s="14"/>
      <c r="DX20" s="25"/>
      <c r="DY20" s="24"/>
      <c r="DZ20" s="14"/>
      <c r="EA20" s="14"/>
      <c r="EB20" s="14"/>
      <c r="EC20" s="14"/>
      <c r="ED20" s="14"/>
      <c r="EE20" s="14"/>
      <c r="EF20" s="25"/>
      <c r="EG20" s="24"/>
      <c r="EH20" s="14"/>
      <c r="EI20" s="14"/>
      <c r="EJ20" s="14"/>
      <c r="EK20" s="14"/>
      <c r="EL20" s="14"/>
      <c r="EM20" s="14"/>
      <c r="EN20" s="25"/>
      <c r="EO20" s="24"/>
      <c r="EP20" s="14"/>
      <c r="EQ20" s="14"/>
      <c r="ER20" s="14"/>
      <c r="ES20" s="14"/>
      <c r="ET20" s="14"/>
      <c r="EU20" s="14"/>
      <c r="EV20" s="25"/>
      <c r="FM20" s="24"/>
      <c r="FN20" s="14"/>
      <c r="FO20" s="14"/>
      <c r="FP20" s="14"/>
      <c r="FQ20" s="14"/>
      <c r="FR20" s="14"/>
      <c r="FS20" s="14"/>
      <c r="FT20" s="25"/>
      <c r="FU20" s="24"/>
      <c r="FV20" s="14"/>
      <c r="FW20" s="14"/>
      <c r="FX20" s="14"/>
      <c r="FY20" s="14"/>
      <c r="FZ20" s="14"/>
      <c r="GA20" s="14"/>
      <c r="GB20" s="25"/>
      <c r="GC20" s="81"/>
      <c r="GD20" s="13"/>
      <c r="GE20" s="14"/>
      <c r="GF20" s="14"/>
      <c r="GG20" s="14"/>
      <c r="GH20" s="14"/>
      <c r="GI20" s="14"/>
      <c r="GJ20" s="25"/>
      <c r="GK20" s="81"/>
      <c r="GL20" s="13"/>
      <c r="GM20" s="14"/>
      <c r="GN20" s="14"/>
      <c r="GO20" s="14"/>
      <c r="GP20" s="14"/>
      <c r="GQ20" s="14"/>
      <c r="GR20" s="25"/>
      <c r="GS20" s="81"/>
      <c r="GT20" s="13"/>
      <c r="GU20" s="14"/>
      <c r="GV20" s="14"/>
      <c r="GW20" s="14"/>
      <c r="GX20" s="14"/>
      <c r="GY20" s="14"/>
      <c r="GZ20" s="25"/>
      <c r="HA20" s="81"/>
      <c r="HB20" s="13"/>
      <c r="HC20" s="14"/>
      <c r="HD20" s="14"/>
      <c r="HE20" s="14"/>
      <c r="HF20" s="14"/>
      <c r="HG20" s="14"/>
      <c r="HH20" s="25"/>
      <c r="HI20" s="81"/>
      <c r="HJ20" s="13"/>
      <c r="HK20" s="14"/>
      <c r="HL20" s="14"/>
      <c r="HM20" s="14"/>
      <c r="HN20" s="14"/>
      <c r="HO20" s="14"/>
      <c r="HP20" s="25"/>
    </row>
    <row r="21" spans="1:224" ht="18" x14ac:dyDescent="0.35">
      <c r="A21" s="194" t="s">
        <v>18</v>
      </c>
      <c r="B21" s="194"/>
      <c r="C21" s="44">
        <f>C22+C23</f>
        <v>10.816125218251969</v>
      </c>
      <c r="D21" s="14"/>
      <c r="E21" s="14"/>
      <c r="F21" s="14"/>
      <c r="G21" s="14"/>
      <c r="H21" s="25"/>
      <c r="I21" s="194" t="s">
        <v>18</v>
      </c>
      <c r="J21" s="194"/>
      <c r="K21" s="44">
        <f>K22+K23</f>
        <v>68.53509474713897</v>
      </c>
      <c r="L21" s="14"/>
      <c r="M21" s="14"/>
      <c r="N21" s="14"/>
      <c r="O21" s="14"/>
      <c r="P21" s="25"/>
      <c r="Y21" s="195" t="s">
        <v>18</v>
      </c>
      <c r="Z21" s="194"/>
      <c r="AA21" s="44">
        <f>AA22+AA23</f>
        <v>7.023470436553449</v>
      </c>
      <c r="AB21" s="14"/>
      <c r="AC21" s="14"/>
      <c r="AD21" s="14"/>
      <c r="AE21" s="14"/>
      <c r="AF21" s="25"/>
      <c r="AG21" s="195" t="s">
        <v>18</v>
      </c>
      <c r="AH21" s="194"/>
      <c r="AI21" s="44">
        <f>AI22+AI23</f>
        <v>29.98535345070724</v>
      </c>
      <c r="AJ21" s="14"/>
      <c r="AK21" s="14"/>
      <c r="AL21" s="14"/>
      <c r="AM21" s="14"/>
      <c r="AN21" s="25"/>
      <c r="AO21" s="24"/>
      <c r="AP21" s="14"/>
      <c r="AQ21" s="14"/>
      <c r="AR21" s="14"/>
      <c r="AS21" s="14"/>
      <c r="AT21" s="14"/>
      <c r="AU21" s="14"/>
      <c r="AV21" s="25"/>
      <c r="AW21" s="24"/>
      <c r="AX21" s="14"/>
      <c r="AY21" s="14"/>
      <c r="AZ21" s="14"/>
      <c r="BA21" s="14"/>
      <c r="BB21" s="14"/>
      <c r="BC21" s="14"/>
      <c r="BD21" s="25"/>
      <c r="BE21" s="24"/>
      <c r="BF21" s="14"/>
      <c r="BG21" s="14"/>
      <c r="BH21" s="14"/>
      <c r="BI21" s="14"/>
      <c r="BJ21" s="14"/>
      <c r="BK21" s="14"/>
      <c r="BL21" s="25"/>
      <c r="BM21" s="24"/>
      <c r="BN21" s="14"/>
      <c r="BO21" s="14"/>
      <c r="BP21" s="14"/>
      <c r="BQ21" s="14"/>
      <c r="BR21" s="14"/>
      <c r="BS21" s="14"/>
      <c r="BT21" s="25"/>
      <c r="DA21" s="24"/>
      <c r="DB21" s="14"/>
      <c r="DC21" s="14"/>
      <c r="DD21" s="14"/>
      <c r="DE21" s="14"/>
      <c r="DF21" s="14"/>
      <c r="DG21" s="14"/>
      <c r="DH21" s="25"/>
      <c r="DI21" s="24"/>
      <c r="DJ21" s="14"/>
      <c r="DK21" s="14"/>
      <c r="DL21" s="14"/>
      <c r="DM21" s="14"/>
      <c r="DN21" s="14"/>
      <c r="DO21" s="14"/>
      <c r="DP21" s="25"/>
      <c r="DQ21" s="24"/>
      <c r="DR21" s="14"/>
      <c r="DS21" s="14"/>
      <c r="DT21" s="14"/>
      <c r="DU21" s="14"/>
      <c r="DV21" s="14"/>
      <c r="DW21" s="14"/>
      <c r="DX21" s="25"/>
      <c r="DY21" s="24"/>
      <c r="DZ21" s="14"/>
      <c r="EA21" s="14"/>
      <c r="EB21" s="14"/>
      <c r="EC21" s="14"/>
      <c r="ED21" s="14"/>
      <c r="EE21" s="14"/>
      <c r="EF21" s="25"/>
      <c r="EG21" s="24"/>
      <c r="EH21" s="14"/>
      <c r="EI21" s="14"/>
      <c r="EJ21" s="14"/>
      <c r="EK21" s="14"/>
      <c r="EL21" s="14"/>
      <c r="EM21" s="14"/>
      <c r="EN21" s="25"/>
      <c r="EO21" s="24"/>
      <c r="EP21" s="14"/>
      <c r="EQ21" s="14"/>
      <c r="ER21" s="14"/>
      <c r="ES21" s="14"/>
      <c r="ET21" s="14"/>
      <c r="EU21" s="14"/>
      <c r="EV21" s="25"/>
      <c r="FM21" s="24"/>
      <c r="FN21" s="14"/>
      <c r="FO21" s="14"/>
      <c r="FP21" s="14"/>
      <c r="FQ21" s="14"/>
      <c r="FR21" s="14"/>
      <c r="FS21" s="14"/>
      <c r="FT21" s="25"/>
      <c r="FU21" s="24"/>
      <c r="FV21" s="14"/>
      <c r="FW21" s="14"/>
      <c r="FX21" s="14"/>
      <c r="FY21" s="14"/>
      <c r="FZ21" s="14"/>
      <c r="GA21" s="14"/>
      <c r="GB21" s="25"/>
      <c r="GC21" s="107"/>
      <c r="GD21" s="106"/>
      <c r="GE21" s="106" t="s">
        <v>101</v>
      </c>
      <c r="GF21" s="14"/>
      <c r="GG21" s="14"/>
      <c r="GH21" s="14"/>
      <c r="GI21" s="106" t="s">
        <v>104</v>
      </c>
      <c r="GJ21" s="25"/>
      <c r="GK21" s="107"/>
      <c r="GL21" s="106"/>
      <c r="GM21" s="106" t="s">
        <v>101</v>
      </c>
      <c r="GN21" s="14"/>
      <c r="GO21" s="14"/>
      <c r="GP21" s="14"/>
      <c r="GQ21" s="106" t="s">
        <v>104</v>
      </c>
      <c r="GR21" s="25"/>
      <c r="GS21" s="116"/>
      <c r="GT21" s="112"/>
      <c r="GU21" s="112" t="s">
        <v>101</v>
      </c>
      <c r="GV21" s="14"/>
      <c r="GW21" s="14"/>
      <c r="GX21" s="14"/>
      <c r="GY21" s="112" t="s">
        <v>104</v>
      </c>
      <c r="GZ21" s="25"/>
      <c r="HA21" s="116"/>
      <c r="HB21" s="112"/>
      <c r="HC21" s="112" t="s">
        <v>101</v>
      </c>
      <c r="HD21" s="14"/>
      <c r="HE21" s="14"/>
      <c r="HF21" s="14"/>
      <c r="HG21" s="112" t="s">
        <v>104</v>
      </c>
      <c r="HH21" s="25"/>
      <c r="HI21" s="116"/>
      <c r="HJ21" s="112"/>
      <c r="HK21" s="112" t="s">
        <v>101</v>
      </c>
      <c r="HL21" s="14"/>
      <c r="HM21" s="14"/>
      <c r="HN21" s="14"/>
      <c r="HO21" s="112" t="s">
        <v>104</v>
      </c>
      <c r="HP21" s="25"/>
    </row>
    <row r="22" spans="1:224" x14ac:dyDescent="0.25">
      <c r="A22" s="194" t="s">
        <v>19</v>
      </c>
      <c r="B22" s="194"/>
      <c r="C22" s="44">
        <f>H8+H10</f>
        <v>3.2435506949762569</v>
      </c>
      <c r="D22" s="14"/>
      <c r="E22" s="14"/>
      <c r="F22" s="14"/>
      <c r="G22" s="14"/>
      <c r="H22" s="25"/>
      <c r="I22" s="194" t="s">
        <v>19</v>
      </c>
      <c r="J22" s="194"/>
      <c r="K22" s="44">
        <f>P8+P10</f>
        <v>23.376768460002872</v>
      </c>
      <c r="L22" s="14"/>
      <c r="M22" s="14"/>
      <c r="N22" s="14"/>
      <c r="O22" s="14"/>
      <c r="P22" s="25"/>
      <c r="Y22" s="195" t="s">
        <v>19</v>
      </c>
      <c r="Z22" s="194"/>
      <c r="AA22" s="44">
        <f>AF8+AF10</f>
        <v>2.2690347531154189</v>
      </c>
      <c r="AB22" s="14"/>
      <c r="AC22" s="14"/>
      <c r="AD22" s="14"/>
      <c r="AE22" s="14"/>
      <c r="AF22" s="25"/>
      <c r="AG22" s="195" t="s">
        <v>19</v>
      </c>
      <c r="AH22" s="194"/>
      <c r="AI22" s="44">
        <f>AN8+AN10</f>
        <v>9.8435696555460517</v>
      </c>
      <c r="AJ22" s="14"/>
      <c r="AK22" s="14"/>
      <c r="AL22" s="14"/>
      <c r="AM22" s="14"/>
      <c r="AN22" s="25"/>
      <c r="AO22" s="24"/>
      <c r="AP22" s="14"/>
      <c r="AQ22" s="14"/>
      <c r="AR22" s="14"/>
      <c r="AS22" s="14"/>
      <c r="AT22" s="14"/>
      <c r="AU22" s="14"/>
      <c r="AV22" s="25"/>
      <c r="AW22" s="24"/>
      <c r="AX22" s="14"/>
      <c r="AY22" s="14"/>
      <c r="AZ22" s="14"/>
      <c r="BA22" s="14"/>
      <c r="BB22" s="14"/>
      <c r="BC22" s="14"/>
      <c r="BD22" s="25"/>
      <c r="BE22" s="24"/>
      <c r="BF22" s="14"/>
      <c r="BG22" s="14"/>
      <c r="BH22" s="14"/>
      <c r="BI22" s="14"/>
      <c r="BJ22" s="14"/>
      <c r="BK22" s="14"/>
      <c r="BL22" s="25"/>
      <c r="BM22" s="24"/>
      <c r="BN22" s="14"/>
      <c r="BO22" s="14"/>
      <c r="BP22" s="14"/>
      <c r="BQ22" s="14"/>
      <c r="BR22" s="14"/>
      <c r="BS22" s="14"/>
      <c r="BT22" s="25"/>
      <c r="DA22" s="24"/>
      <c r="DB22" s="14"/>
      <c r="DC22" s="14"/>
      <c r="DD22" s="14"/>
      <c r="DE22" s="14"/>
      <c r="DF22" s="14"/>
      <c r="DG22" s="14"/>
      <c r="DH22" s="25"/>
      <c r="DI22" s="24"/>
      <c r="DJ22" s="14"/>
      <c r="DK22" s="14"/>
      <c r="DL22" s="14"/>
      <c r="DM22" s="14"/>
      <c r="DN22" s="14"/>
      <c r="DO22" s="14"/>
      <c r="DP22" s="25"/>
      <c r="DQ22" s="24"/>
      <c r="DR22" s="14"/>
      <c r="DS22" s="14"/>
      <c r="DT22" s="14"/>
      <c r="DU22" s="14"/>
      <c r="DV22" s="14"/>
      <c r="DW22" s="14"/>
      <c r="DX22" s="25"/>
      <c r="DY22" s="24"/>
      <c r="DZ22" s="14"/>
      <c r="EA22" s="14"/>
      <c r="EB22" s="14"/>
      <c r="EC22" s="14"/>
      <c r="ED22" s="14"/>
      <c r="EE22" s="14"/>
      <c r="EF22" s="25"/>
      <c r="EG22" s="24"/>
      <c r="EH22" s="14"/>
      <c r="EI22" s="14"/>
      <c r="EJ22" s="14"/>
      <c r="EK22" s="14"/>
      <c r="EL22" s="72"/>
      <c r="EM22" s="14"/>
      <c r="EN22" s="25"/>
      <c r="EO22" s="24"/>
      <c r="EP22" s="14"/>
      <c r="EQ22" s="14"/>
      <c r="ER22" s="14"/>
      <c r="ES22" s="14"/>
      <c r="ET22" s="72"/>
      <c r="EU22" s="14"/>
      <c r="EV22" s="25"/>
      <c r="FM22" s="24"/>
      <c r="FN22" s="14"/>
      <c r="FO22" s="14"/>
      <c r="FP22" s="14"/>
      <c r="FQ22" s="14"/>
      <c r="FR22" s="72"/>
      <c r="FS22" s="14"/>
      <c r="FT22" s="25"/>
      <c r="FU22" s="24"/>
      <c r="FV22" s="14"/>
      <c r="FW22" s="14"/>
      <c r="FX22" s="14"/>
      <c r="FY22" s="14"/>
      <c r="FZ22" s="72"/>
      <c r="GA22" s="14"/>
      <c r="GB22" s="25"/>
      <c r="GC22" s="195" t="s">
        <v>356</v>
      </c>
      <c r="GD22" s="194"/>
      <c r="GE22" s="17">
        <f>LOOKUP(GI5,Reference!$A$109:$A$113,IF(GI6="Greater Than 30 MPH",Reference!$D$109:$D$113,Reference!$C$109:$C$113))</f>
        <v>3.5999999999999997E-2</v>
      </c>
      <c r="GF22" s="14"/>
      <c r="GG22" s="194" t="s">
        <v>103</v>
      </c>
      <c r="GH22" s="197"/>
      <c r="GI22" s="17">
        <f>LOOKUP(GI5,Reference!$A$109:$A$113,IF(GI6="Greater Than 30 MPH",Reference!$F$109:$F$113,Reference!$E$109:$E$113))</f>
        <v>1.7999999999999999E-2</v>
      </c>
      <c r="GJ22" s="25"/>
      <c r="GK22" s="195" t="s">
        <v>356</v>
      </c>
      <c r="GL22" s="194"/>
      <c r="GM22" s="17">
        <f>LOOKUP(GQ5,Reference!$A$109:$A$113,IF(GQ6="Greater Than 30 MPH",Reference!$D$109:$D$113,Reference!$C$109:$C$113))</f>
        <v>2.1999999999999999E-2</v>
      </c>
      <c r="GN22" s="14"/>
      <c r="GO22" s="194" t="s">
        <v>103</v>
      </c>
      <c r="GP22" s="197"/>
      <c r="GQ22" s="17">
        <f>LOOKUP(GQ5,Reference!$A$109:$A$113,IF(GQ6="Greater Than 30 MPH",Reference!$F$109:$F$113,Reference!$E$109:$E$113))</f>
        <v>1.0999999999999999E-2</v>
      </c>
      <c r="GR22" s="25"/>
      <c r="GS22" s="195" t="s">
        <v>100</v>
      </c>
      <c r="GT22" s="194"/>
      <c r="GU22" s="17">
        <f>LOOKUP(GY5,Reference!$A$109:$A$113,IF(GY6="Greater Than 30 MPH",Reference!$D$109:$D$113,Reference!$C$109:$C$113))</f>
        <v>3.5999999999999997E-2</v>
      </c>
      <c r="GV22" s="14"/>
      <c r="GW22" s="194" t="s">
        <v>103</v>
      </c>
      <c r="GX22" s="197"/>
      <c r="GY22" s="17">
        <f>LOOKUP(GY5,Reference!$A$109:$A$113,IF(GY6="Greater Than 30 MPH",Reference!$F$109:$F$113,Reference!$E$109:$E$113))</f>
        <v>1.7999999999999999E-2</v>
      </c>
      <c r="GZ22" s="25"/>
      <c r="HA22" s="195" t="s">
        <v>356</v>
      </c>
      <c r="HB22" s="194"/>
      <c r="HC22" s="17">
        <f>LOOKUP(HG5,Reference!$A$109:$A$113,IF(HG6="Greater Than 30 MPH",Reference!$D$109:$D$113,Reference!$C$109:$C$113))</f>
        <v>2.3E-2</v>
      </c>
      <c r="HD22" s="14"/>
      <c r="HE22" s="194" t="s">
        <v>103</v>
      </c>
      <c r="HF22" s="197"/>
      <c r="HG22" s="17">
        <f>LOOKUP(HG5,Reference!$A$109:$A$113,IF(HG6="Greater Than 30 MPH",Reference!$F$109:$F$113,Reference!$E$109:$E$113))</f>
        <v>1.2E-2</v>
      </c>
      <c r="HH22" s="25"/>
      <c r="HI22" s="195" t="s">
        <v>356</v>
      </c>
      <c r="HJ22" s="194"/>
      <c r="HK22" s="17">
        <f>LOOKUP(HO5,Reference!$A$109:$A$113,IF(HO6="Greater Than 30 MPH",Reference!$D$109:$D$113,Reference!$C$109:$C$113))</f>
        <v>2.3E-2</v>
      </c>
      <c r="HL22" s="14"/>
      <c r="HM22" s="194" t="s">
        <v>103</v>
      </c>
      <c r="HN22" s="197"/>
      <c r="HO22" s="17">
        <f>LOOKUP(HO5,Reference!$A$109:$A$113,IF(HO6="Greater Than 30 MPH",Reference!$F$109:$F$113,Reference!$E$109:$E$113))</f>
        <v>1.2E-2</v>
      </c>
      <c r="HP22" s="25"/>
    </row>
    <row r="23" spans="1:224" x14ac:dyDescent="0.25">
      <c r="A23" s="194" t="s">
        <v>20</v>
      </c>
      <c r="B23" s="198"/>
      <c r="C23" s="44">
        <f>H9+H11</f>
        <v>7.5725745232757129</v>
      </c>
      <c r="D23" s="14"/>
      <c r="E23" s="14"/>
      <c r="F23" s="14"/>
      <c r="G23" s="14"/>
      <c r="H23" s="25"/>
      <c r="I23" s="194" t="s">
        <v>20</v>
      </c>
      <c r="J23" s="198"/>
      <c r="K23" s="44">
        <f>P9+P11</f>
        <v>45.158326287136106</v>
      </c>
      <c r="L23" s="14"/>
      <c r="M23" s="14"/>
      <c r="N23" s="14"/>
      <c r="O23" s="14"/>
      <c r="P23" s="25"/>
      <c r="Y23" s="195" t="s">
        <v>20</v>
      </c>
      <c r="Z23" s="198"/>
      <c r="AA23" s="44">
        <f>AF9+AF11</f>
        <v>4.7544356834380297</v>
      </c>
      <c r="AB23" s="14"/>
      <c r="AC23" s="14"/>
      <c r="AD23" s="14"/>
      <c r="AE23" s="14"/>
      <c r="AF23" s="25"/>
      <c r="AG23" s="195" t="s">
        <v>20</v>
      </c>
      <c r="AH23" s="198"/>
      <c r="AI23" s="44">
        <f>AN9+AN11</f>
        <v>20.141783795161189</v>
      </c>
      <c r="AJ23" s="14"/>
      <c r="AK23" s="14"/>
      <c r="AL23" s="14"/>
      <c r="AM23" s="14"/>
      <c r="AN23" s="25"/>
      <c r="AO23" s="24"/>
      <c r="AP23" s="14"/>
      <c r="AQ23" s="14"/>
      <c r="AR23" s="14"/>
      <c r="AS23" s="14"/>
      <c r="AT23" s="14"/>
      <c r="AU23" s="14"/>
      <c r="AV23" s="25"/>
      <c r="AW23" s="24"/>
      <c r="AX23" s="14"/>
      <c r="AY23" s="14"/>
      <c r="AZ23" s="14"/>
      <c r="BA23" s="14"/>
      <c r="BB23" s="14"/>
      <c r="BC23" s="14"/>
      <c r="BD23" s="25"/>
      <c r="BE23" s="24"/>
      <c r="BF23" s="14"/>
      <c r="BG23" s="14"/>
      <c r="BH23" s="14"/>
      <c r="BI23" s="14"/>
      <c r="BJ23" s="14"/>
      <c r="BK23" s="14"/>
      <c r="BL23" s="25"/>
      <c r="BM23" s="24"/>
      <c r="BN23" s="14"/>
      <c r="BO23" s="14"/>
      <c r="BP23" s="14"/>
      <c r="BQ23" s="14"/>
      <c r="BR23" s="14"/>
      <c r="BS23" s="14"/>
      <c r="BT23" s="25"/>
      <c r="DA23" s="24"/>
      <c r="DB23" s="14"/>
      <c r="DC23" s="14"/>
      <c r="DD23" s="14"/>
      <c r="DE23" s="14"/>
      <c r="DF23" s="14"/>
      <c r="DG23" s="14"/>
      <c r="DH23" s="25"/>
      <c r="DI23" s="24"/>
      <c r="DJ23" s="14"/>
      <c r="DK23" s="14"/>
      <c r="DL23" s="14"/>
      <c r="DM23" s="14"/>
      <c r="DN23" s="14"/>
      <c r="DO23" s="14"/>
      <c r="DP23" s="25"/>
      <c r="DQ23" s="24"/>
      <c r="DR23" s="14"/>
      <c r="DS23" s="14"/>
      <c r="DT23" s="14"/>
      <c r="DU23" s="14"/>
      <c r="DV23" s="14"/>
      <c r="DW23" s="14"/>
      <c r="DX23" s="25"/>
      <c r="DY23" s="24"/>
      <c r="DZ23" s="14"/>
      <c r="EA23" s="14"/>
      <c r="EB23" s="14"/>
      <c r="EC23" s="14"/>
      <c r="ED23" s="14"/>
      <c r="EE23" s="14"/>
      <c r="EF23" s="25"/>
      <c r="EG23" s="24"/>
      <c r="EH23" s="14"/>
      <c r="EI23" s="14"/>
      <c r="EJ23" s="14"/>
      <c r="EK23" s="14"/>
      <c r="EL23" s="14"/>
      <c r="EM23" s="14"/>
      <c r="EN23" s="25"/>
      <c r="EO23" s="24"/>
      <c r="EP23" s="14"/>
      <c r="EQ23" s="14"/>
      <c r="ER23" s="14"/>
      <c r="ES23" s="14"/>
      <c r="ET23" s="14"/>
      <c r="EU23" s="14"/>
      <c r="EV23" s="25"/>
      <c r="FM23" s="24"/>
      <c r="FN23" s="14"/>
      <c r="FO23" s="14"/>
      <c r="FP23" s="14"/>
      <c r="FQ23" s="14"/>
      <c r="FR23" s="14"/>
      <c r="FS23" s="14"/>
      <c r="FT23" s="25"/>
      <c r="FU23" s="24"/>
      <c r="FV23" s="14"/>
      <c r="FW23" s="14"/>
      <c r="FX23" s="14"/>
      <c r="FY23" s="14"/>
      <c r="FZ23" s="14"/>
      <c r="GA23" s="14"/>
      <c r="GB23" s="25"/>
      <c r="GC23" s="24"/>
      <c r="GD23" s="14"/>
      <c r="GE23" s="14"/>
      <c r="GF23" s="14"/>
      <c r="GG23" s="14"/>
      <c r="GH23" s="14"/>
      <c r="GI23" s="14"/>
      <c r="GJ23" s="25"/>
      <c r="GK23" s="24"/>
      <c r="GL23" s="14"/>
      <c r="GM23" s="14"/>
      <c r="GN23" s="14"/>
      <c r="GO23" s="14"/>
      <c r="GP23" s="14"/>
      <c r="GQ23" s="14"/>
      <c r="GR23" s="25"/>
      <c r="GS23" s="24"/>
      <c r="GT23" s="14"/>
      <c r="GU23" s="14"/>
      <c r="GV23" s="14"/>
      <c r="GW23" s="14"/>
      <c r="GX23" s="14"/>
      <c r="GY23" s="14"/>
      <c r="GZ23" s="25"/>
      <c r="HA23" s="24"/>
      <c r="HB23" s="14"/>
      <c r="HC23" s="14"/>
      <c r="HD23" s="14"/>
      <c r="HE23" s="14"/>
      <c r="HF23" s="14"/>
      <c r="HG23" s="14"/>
      <c r="HH23" s="25"/>
      <c r="HI23" s="24"/>
      <c r="HJ23" s="14"/>
      <c r="HK23" s="14"/>
      <c r="HL23" s="14"/>
      <c r="HM23" s="14"/>
      <c r="HN23" s="14"/>
      <c r="HO23" s="14"/>
      <c r="HP23" s="25"/>
    </row>
    <row r="24" spans="1:224" x14ac:dyDescent="0.25">
      <c r="A24" s="14"/>
      <c r="B24" s="14"/>
      <c r="C24" s="14"/>
      <c r="D24" s="14"/>
      <c r="E24" s="14"/>
      <c r="F24" s="14"/>
      <c r="G24" s="14"/>
      <c r="H24" s="25"/>
      <c r="I24" s="14"/>
      <c r="J24" s="14"/>
      <c r="K24" s="14"/>
      <c r="L24" s="14"/>
      <c r="M24" s="14"/>
      <c r="N24" s="14"/>
      <c r="O24" s="14"/>
      <c r="P24" s="25"/>
      <c r="Y24" s="24"/>
      <c r="Z24" s="14"/>
      <c r="AA24" s="14"/>
      <c r="AB24" s="14"/>
      <c r="AC24" s="14"/>
      <c r="AD24" s="14"/>
      <c r="AE24" s="14"/>
      <c r="AF24" s="25"/>
      <c r="AG24" s="24"/>
      <c r="AH24" s="14"/>
      <c r="AI24" s="14"/>
      <c r="AJ24" s="14"/>
      <c r="AK24" s="14"/>
      <c r="AL24" s="14"/>
      <c r="AM24" s="14"/>
      <c r="AN24" s="25"/>
      <c r="AO24" s="195" t="s">
        <v>18</v>
      </c>
      <c r="AP24" s="194"/>
      <c r="AQ24" s="16">
        <f>AQ25+AQ26</f>
        <v>1.6991295229233589</v>
      </c>
      <c r="AR24" s="14"/>
      <c r="AS24" s="14"/>
      <c r="AT24" s="14"/>
      <c r="AU24" s="14"/>
      <c r="AV24" s="25"/>
      <c r="AW24" s="195" t="s">
        <v>18</v>
      </c>
      <c r="AX24" s="194"/>
      <c r="AY24" s="16">
        <f>AY25+AY26</f>
        <v>1.0106306127117519</v>
      </c>
      <c r="AZ24" s="14"/>
      <c r="BA24" s="14"/>
      <c r="BB24" s="14"/>
      <c r="BC24" s="14"/>
      <c r="BD24" s="25"/>
      <c r="BE24" s="195" t="s">
        <v>18</v>
      </c>
      <c r="BF24" s="194"/>
      <c r="BG24" s="16">
        <f>BG25+BG26</f>
        <v>1.3349182922990162</v>
      </c>
      <c r="BH24" s="14"/>
      <c r="BI24" s="14"/>
      <c r="BJ24" s="14"/>
      <c r="BK24" s="14"/>
      <c r="BL24" s="25"/>
      <c r="BM24" s="195" t="s">
        <v>18</v>
      </c>
      <c r="BN24" s="194"/>
      <c r="BO24" s="16">
        <f>BO25+BO26</f>
        <v>1.3841302042656383</v>
      </c>
      <c r="BP24" s="14"/>
      <c r="BQ24" s="14"/>
      <c r="BR24" s="14"/>
      <c r="BS24" s="14"/>
      <c r="BT24" s="25"/>
      <c r="DA24" s="195" t="s">
        <v>18</v>
      </c>
      <c r="DB24" s="194"/>
      <c r="DC24" s="16">
        <f>DC25+DC26</f>
        <v>2.3140452608113109</v>
      </c>
      <c r="DD24" s="14"/>
      <c r="DE24" s="14"/>
      <c r="DF24" s="14"/>
      <c r="DG24" s="14"/>
      <c r="DH24" s="25"/>
      <c r="DI24" s="195" t="s">
        <v>18</v>
      </c>
      <c r="DJ24" s="194"/>
      <c r="DK24" s="16">
        <f>DK25+DK26</f>
        <v>2.0285293332557086</v>
      </c>
      <c r="DL24" s="14"/>
      <c r="DM24" s="14"/>
      <c r="DN24" s="14"/>
      <c r="DO24" s="14"/>
      <c r="DP24" s="25"/>
      <c r="DQ24" s="195" t="s">
        <v>18</v>
      </c>
      <c r="DR24" s="194"/>
      <c r="DS24" s="16">
        <f>DS25+DS26</f>
        <v>2.2780458700638739</v>
      </c>
      <c r="DT24" s="14"/>
      <c r="DU24" s="14"/>
      <c r="DV24" s="14"/>
      <c r="DW24" s="14"/>
      <c r="DX24" s="25"/>
      <c r="DY24" s="195" t="s">
        <v>18</v>
      </c>
      <c r="DZ24" s="194"/>
      <c r="EA24" s="16">
        <f>EA25+EA26</f>
        <v>2.0704208316925272</v>
      </c>
      <c r="EB24" s="14"/>
      <c r="EC24" s="14"/>
      <c r="ED24" s="14"/>
      <c r="EE24" s="14"/>
      <c r="EF24" s="25"/>
      <c r="EG24" s="24"/>
      <c r="EH24" s="14"/>
      <c r="EI24" s="14"/>
      <c r="EJ24" s="14"/>
      <c r="EK24" s="14"/>
      <c r="EL24" s="14"/>
      <c r="EM24" s="14"/>
      <c r="EN24" s="25"/>
      <c r="EO24" s="24"/>
      <c r="EP24" s="14"/>
      <c r="EQ24" s="14"/>
      <c r="ER24" s="14"/>
      <c r="ES24" s="14"/>
      <c r="ET24" s="14"/>
      <c r="EU24" s="14"/>
      <c r="EV24" s="25"/>
      <c r="FM24" s="24"/>
      <c r="FN24" s="14"/>
      <c r="FO24" s="14"/>
      <c r="FP24" s="14"/>
      <c r="FQ24" s="14"/>
      <c r="FR24" s="14"/>
      <c r="FS24" s="14"/>
      <c r="FT24" s="25"/>
      <c r="FU24" s="24"/>
      <c r="FV24" s="14"/>
      <c r="FW24" s="14"/>
      <c r="FX24" s="14"/>
      <c r="FY24" s="14"/>
      <c r="FZ24" s="14"/>
      <c r="GA24" s="14"/>
      <c r="GB24" s="25"/>
      <c r="GC24" s="195" t="s">
        <v>342</v>
      </c>
      <c r="GD24" s="194"/>
      <c r="GE24" s="44">
        <f>GJ8</f>
        <v>1.3255987301562893</v>
      </c>
      <c r="GF24" s="14"/>
      <c r="GG24" s="194" t="s">
        <v>345</v>
      </c>
      <c r="GH24" s="198"/>
      <c r="GI24" s="44">
        <f>(SUMPRODUCT(GE16:GE19,GF16:GF19)+SUMPRODUCT(GI16:GI18,GJ16:GJ18))*(GD5/15000)^GJ19</f>
        <v>1.4060000000000001</v>
      </c>
      <c r="GJ24" s="25"/>
      <c r="GK24" s="195" t="s">
        <v>342</v>
      </c>
      <c r="GL24" s="194"/>
      <c r="GM24" s="44">
        <f>GR8</f>
        <v>34.939770246171733</v>
      </c>
      <c r="GN24" s="14"/>
      <c r="GO24" s="194" t="s">
        <v>345</v>
      </c>
      <c r="GP24" s="198"/>
      <c r="GQ24" s="44">
        <f>(SUMPRODUCT(GM16:GM19,GN16:GN19)+SUMPRODUCT(GQ16:GQ18,GR16:GR18))*(GL5/15000)^GR19</f>
        <v>3.5177450413019833</v>
      </c>
      <c r="GR24" s="25"/>
      <c r="GS24" s="195" t="s">
        <v>342</v>
      </c>
      <c r="GT24" s="194"/>
      <c r="GU24" s="44">
        <f>GZ8</f>
        <v>0.75931222205861948</v>
      </c>
      <c r="GV24" s="14"/>
      <c r="GW24" s="194" t="s">
        <v>345</v>
      </c>
      <c r="GX24" s="198"/>
      <c r="GY24" s="44">
        <f>(SUMPRODUCT(GU16:GU19,GV16:GV19)+SUMPRODUCT(GY16:GY18,GZ16:GZ18))*(GT5/15000)^GZ19</f>
        <v>0.16157333333333335</v>
      </c>
      <c r="GZ24" s="25"/>
      <c r="HA24" s="195" t="s">
        <v>342</v>
      </c>
      <c r="HB24" s="194"/>
      <c r="HC24" s="44">
        <f>HH8</f>
        <v>4.0668747503337128</v>
      </c>
      <c r="HD24" s="14"/>
      <c r="HE24" s="194" t="s">
        <v>345</v>
      </c>
      <c r="HF24" s="198"/>
      <c r="HG24" s="44">
        <f>(SUMPRODUCT(HC16:HC19,HD16:HD19)+SUMPRODUCT(HG16:HG18,HH16:HH18))*(HB5/15000)^HH19</f>
        <v>12.68246005745247</v>
      </c>
      <c r="HH24" s="25"/>
      <c r="HI24" s="195" t="s">
        <v>342</v>
      </c>
      <c r="HJ24" s="194"/>
      <c r="HK24" s="44">
        <f>HP8</f>
        <v>2.691433150831958</v>
      </c>
      <c r="HL24" s="14"/>
      <c r="HM24" s="194" t="s">
        <v>345</v>
      </c>
      <c r="HN24" s="198"/>
      <c r="HO24" s="44">
        <f>(SUMPRODUCT(HK16:HK19,HL16:HL19)+SUMPRODUCT(HO16:HO18,HP16:HP18))*(HJ5/15000)^HP19</f>
        <v>5.1062797274790492</v>
      </c>
      <c r="HP24" s="25"/>
    </row>
    <row r="25" spans="1:224" x14ac:dyDescent="0.25">
      <c r="A25" s="14"/>
      <c r="B25" s="14"/>
      <c r="C25" s="14"/>
      <c r="D25" s="14"/>
      <c r="E25" s="14"/>
      <c r="F25" s="14"/>
      <c r="G25" s="14"/>
      <c r="H25" s="25"/>
      <c r="I25" s="14"/>
      <c r="J25" s="14"/>
      <c r="K25" s="14"/>
      <c r="L25" s="14"/>
      <c r="M25" s="14"/>
      <c r="N25" s="14"/>
      <c r="O25" s="14"/>
      <c r="P25" s="25"/>
      <c r="Y25" s="24"/>
      <c r="Z25" s="14"/>
      <c r="AA25" s="14"/>
      <c r="AB25" s="14"/>
      <c r="AC25" s="14"/>
      <c r="AD25" s="14"/>
      <c r="AE25" s="14"/>
      <c r="AF25" s="25"/>
      <c r="AG25" s="24"/>
      <c r="AH25" s="14"/>
      <c r="AI25" s="14"/>
      <c r="AJ25" s="14"/>
      <c r="AK25" s="14"/>
      <c r="AL25" s="14"/>
      <c r="AM25" s="14"/>
      <c r="AN25" s="25"/>
      <c r="AO25" s="195" t="s">
        <v>19</v>
      </c>
      <c r="AP25" s="194"/>
      <c r="AQ25" s="16">
        <f>AV8</f>
        <v>0.46141699292702282</v>
      </c>
      <c r="AR25" s="14"/>
      <c r="AS25" s="14"/>
      <c r="AT25" s="14"/>
      <c r="AU25" s="14"/>
      <c r="AV25" s="25"/>
      <c r="AW25" s="195" t="s">
        <v>19</v>
      </c>
      <c r="AX25" s="194"/>
      <c r="AY25" s="16">
        <f>BD8</f>
        <v>0.2489745535755615</v>
      </c>
      <c r="AZ25" s="14"/>
      <c r="BA25" s="14"/>
      <c r="BB25" s="14"/>
      <c r="BC25" s="14"/>
      <c r="BD25" s="25"/>
      <c r="BE25" s="195" t="s">
        <v>19</v>
      </c>
      <c r="BF25" s="194"/>
      <c r="BG25" s="16">
        <f>BL8</f>
        <v>0.36451413347528844</v>
      </c>
      <c r="BH25" s="14"/>
      <c r="BI25" s="14"/>
      <c r="BJ25" s="14"/>
      <c r="BK25" s="14"/>
      <c r="BL25" s="25"/>
      <c r="BM25" s="195" t="s">
        <v>19</v>
      </c>
      <c r="BN25" s="194"/>
      <c r="BO25" s="16">
        <f>BT8</f>
        <v>0.33817842678314514</v>
      </c>
      <c r="BP25" s="14"/>
      <c r="BQ25" s="14"/>
      <c r="BR25" s="14"/>
      <c r="BS25" s="14"/>
      <c r="BT25" s="25"/>
      <c r="DA25" s="195" t="s">
        <v>19</v>
      </c>
      <c r="DB25" s="194"/>
      <c r="DC25" s="16">
        <f>DH8</f>
        <v>0.62397696419617421</v>
      </c>
      <c r="DD25" s="14"/>
      <c r="DE25" s="14"/>
      <c r="DF25" s="14"/>
      <c r="DG25" s="14"/>
      <c r="DH25" s="25"/>
      <c r="DI25" s="195" t="s">
        <v>19</v>
      </c>
      <c r="DJ25" s="194"/>
      <c r="DK25" s="16">
        <f>DP8</f>
        <v>0.49064798032638196</v>
      </c>
      <c r="DL25" s="14"/>
      <c r="DM25" s="14"/>
      <c r="DN25" s="14"/>
      <c r="DO25" s="14"/>
      <c r="DP25" s="25"/>
      <c r="DQ25" s="195" t="s">
        <v>19</v>
      </c>
      <c r="DR25" s="194"/>
      <c r="DS25" s="16">
        <f>DX8</f>
        <v>0.61449056441553151</v>
      </c>
      <c r="DT25" s="14"/>
      <c r="DU25" s="14"/>
      <c r="DV25" s="14"/>
      <c r="DW25" s="14"/>
      <c r="DX25" s="25"/>
      <c r="DY25" s="195" t="s">
        <v>19</v>
      </c>
      <c r="DZ25" s="194"/>
      <c r="EA25" s="16">
        <f>EF8</f>
        <v>0.50050995961564604</v>
      </c>
      <c r="EB25" s="14"/>
      <c r="EC25" s="14"/>
      <c r="ED25" s="14"/>
      <c r="EE25" s="14"/>
      <c r="EF25" s="25"/>
      <c r="EG25" s="24"/>
      <c r="EH25" s="14"/>
      <c r="EI25" s="14"/>
      <c r="EJ25" s="14"/>
      <c r="EK25" s="14"/>
      <c r="EL25" s="14"/>
      <c r="EM25" s="14"/>
      <c r="EN25" s="25"/>
      <c r="EO25" s="24"/>
      <c r="EP25" s="14"/>
      <c r="EQ25" s="14"/>
      <c r="ER25" s="14"/>
      <c r="ES25" s="14"/>
      <c r="ET25" s="14"/>
      <c r="EU25" s="14"/>
      <c r="EV25" s="25"/>
      <c r="FM25" s="24"/>
      <c r="FN25" s="14"/>
      <c r="FO25" s="14"/>
      <c r="FP25" s="14"/>
      <c r="FQ25" s="14"/>
      <c r="FR25" s="14"/>
      <c r="FS25" s="14"/>
      <c r="FT25" s="25"/>
      <c r="FU25" s="24"/>
      <c r="FV25" s="14"/>
      <c r="FW25" s="14"/>
      <c r="FX25" s="14"/>
      <c r="FY25" s="14"/>
      <c r="FZ25" s="14"/>
      <c r="GA25" s="14"/>
      <c r="GB25" s="25"/>
      <c r="GC25" s="195" t="s">
        <v>217</v>
      </c>
      <c r="GD25" s="194"/>
      <c r="GE25" s="44">
        <f>GJ8*(GJ9/(GJ9+GJ10))</f>
        <v>0.38437401827645518</v>
      </c>
      <c r="GF25" s="14"/>
      <c r="GG25" s="194" t="s">
        <v>219</v>
      </c>
      <c r="GH25" s="198"/>
      <c r="GI25" s="44">
        <f>GI24*GJ25</f>
        <v>0.45413800000000004</v>
      </c>
      <c r="GJ25" s="82">
        <f>LOOKUP(GI5,Reference!$A$101:$A$105,Reference!$K$101:$K$105)</f>
        <v>0.32300000000000001</v>
      </c>
      <c r="GK25" s="195" t="s">
        <v>217</v>
      </c>
      <c r="GL25" s="194"/>
      <c r="GM25" s="44">
        <f>GR8*(GR9/(GR9+GR10))</f>
        <v>9.7741927584494093</v>
      </c>
      <c r="GN25" s="14"/>
      <c r="GO25" s="194" t="s">
        <v>219</v>
      </c>
      <c r="GP25" s="198"/>
      <c r="GQ25" s="44">
        <f>GQ24*GR25</f>
        <v>1.2030688041252784</v>
      </c>
      <c r="GR25" s="82">
        <f>LOOKUP(GQ5,Reference!$A$101:$A$105,Reference!$K$101:$K$105)</f>
        <v>0.34200000000000003</v>
      </c>
      <c r="GS25" s="195" t="s">
        <v>217</v>
      </c>
      <c r="GT25" s="194"/>
      <c r="GU25" s="44">
        <f>GZ8*(GZ9/(GZ9+GZ10))</f>
        <v>0.22468522349297537</v>
      </c>
      <c r="GV25" s="14"/>
      <c r="GW25" s="194" t="s">
        <v>219</v>
      </c>
      <c r="GX25" s="198"/>
      <c r="GY25" s="44">
        <f>GY24*GZ25</f>
        <v>5.2188186666666671E-2</v>
      </c>
      <c r="GZ25" s="82">
        <f>LOOKUP(GY5,Reference!$A$101:$A$105,Reference!$K$101:$K$105)</f>
        <v>0.32300000000000001</v>
      </c>
      <c r="HA25" s="195" t="s">
        <v>217</v>
      </c>
      <c r="HB25" s="194"/>
      <c r="HC25" s="44">
        <f>HH8*(HH9/(HH9+HH10))</f>
        <v>1.0731392876935073</v>
      </c>
      <c r="HD25" s="14"/>
      <c r="HE25" s="194" t="s">
        <v>219</v>
      </c>
      <c r="HF25" s="198"/>
      <c r="HG25" s="44">
        <f>HG24*HH25</f>
        <v>3.4115817554547148</v>
      </c>
      <c r="HH25" s="82">
        <f>LOOKUP(HG5,Reference!$A$101:$A$105,Reference!$K$101:$K$105)</f>
        <v>0.26900000000000002</v>
      </c>
      <c r="HI25" s="195" t="s">
        <v>217</v>
      </c>
      <c r="HJ25" s="194"/>
      <c r="HK25" s="44">
        <f>HP8*(HP9/(HP9+HP10))</f>
        <v>0.71945810146442091</v>
      </c>
      <c r="HL25" s="14"/>
      <c r="HM25" s="194" t="s">
        <v>219</v>
      </c>
      <c r="HN25" s="198"/>
      <c r="HO25" s="44">
        <f>HO24*HP25</f>
        <v>1.3735892466918644</v>
      </c>
      <c r="HP25" s="82">
        <f>LOOKUP(HO5,Reference!$A$101:$A$105,Reference!$K$101:$K$105)</f>
        <v>0.26900000000000002</v>
      </c>
    </row>
    <row r="26" spans="1:224" x14ac:dyDescent="0.25">
      <c r="A26" s="43"/>
      <c r="B26" s="204" t="s">
        <v>45</v>
      </c>
      <c r="C26" s="204"/>
      <c r="D26" s="204"/>
      <c r="E26" s="204"/>
      <c r="F26" s="204"/>
      <c r="G26" s="106" t="s">
        <v>19</v>
      </c>
      <c r="H26" s="32" t="s">
        <v>20</v>
      </c>
      <c r="I26" s="43"/>
      <c r="J26" s="204" t="s">
        <v>45</v>
      </c>
      <c r="K26" s="204"/>
      <c r="L26" s="204"/>
      <c r="M26" s="204"/>
      <c r="N26" s="204"/>
      <c r="O26" s="106" t="s">
        <v>19</v>
      </c>
      <c r="P26" s="32" t="s">
        <v>20</v>
      </c>
      <c r="Y26" s="31"/>
      <c r="Z26" s="204" t="s">
        <v>45</v>
      </c>
      <c r="AA26" s="204"/>
      <c r="AB26" s="204"/>
      <c r="AC26" s="204"/>
      <c r="AD26" s="204"/>
      <c r="AE26" s="106" t="s">
        <v>19</v>
      </c>
      <c r="AF26" s="32" t="s">
        <v>20</v>
      </c>
      <c r="AG26" s="31"/>
      <c r="AH26" s="204" t="s">
        <v>45</v>
      </c>
      <c r="AI26" s="204"/>
      <c r="AJ26" s="204"/>
      <c r="AK26" s="204"/>
      <c r="AL26" s="204"/>
      <c r="AM26" s="106" t="s">
        <v>19</v>
      </c>
      <c r="AN26" s="32" t="s">
        <v>20</v>
      </c>
      <c r="AO26" s="195" t="s">
        <v>20</v>
      </c>
      <c r="AP26" s="198"/>
      <c r="AQ26" s="16">
        <f>AV9</f>
        <v>1.2377125299963361</v>
      </c>
      <c r="AR26" s="14"/>
      <c r="AS26" s="14"/>
      <c r="AT26" s="14"/>
      <c r="AU26" s="14"/>
      <c r="AV26" s="25"/>
      <c r="AW26" s="195" t="s">
        <v>20</v>
      </c>
      <c r="AX26" s="198"/>
      <c r="AY26" s="16">
        <f>BD9</f>
        <v>0.76165605913619039</v>
      </c>
      <c r="AZ26" s="14"/>
      <c r="BA26" s="14"/>
      <c r="BB26" s="14"/>
      <c r="BC26" s="14"/>
      <c r="BD26" s="25"/>
      <c r="BE26" s="195" t="s">
        <v>20</v>
      </c>
      <c r="BF26" s="198"/>
      <c r="BG26" s="16">
        <f>BL9</f>
        <v>0.97040415882372777</v>
      </c>
      <c r="BH26" s="14"/>
      <c r="BI26" s="14"/>
      <c r="BJ26" s="14"/>
      <c r="BK26" s="14"/>
      <c r="BL26" s="25"/>
      <c r="BM26" s="195" t="s">
        <v>20</v>
      </c>
      <c r="BN26" s="198"/>
      <c r="BO26" s="16">
        <f>BT9</f>
        <v>1.0459517774824931</v>
      </c>
      <c r="BP26" s="14"/>
      <c r="BQ26" s="14"/>
      <c r="BR26" s="14"/>
      <c r="BS26" s="14"/>
      <c r="BT26" s="25"/>
      <c r="DA26" s="195" t="s">
        <v>20</v>
      </c>
      <c r="DB26" s="198"/>
      <c r="DC26" s="16">
        <f>DH9</f>
        <v>1.6900682966151368</v>
      </c>
      <c r="DD26" s="14"/>
      <c r="DE26" s="14"/>
      <c r="DF26" s="14"/>
      <c r="DG26" s="14"/>
      <c r="DH26" s="25"/>
      <c r="DI26" s="195" t="s">
        <v>20</v>
      </c>
      <c r="DJ26" s="198"/>
      <c r="DK26" s="16">
        <f>DP9</f>
        <v>1.5378813529293267</v>
      </c>
      <c r="DL26" s="14"/>
      <c r="DM26" s="14"/>
      <c r="DN26" s="14"/>
      <c r="DO26" s="14"/>
      <c r="DP26" s="25"/>
      <c r="DQ26" s="195" t="s">
        <v>20</v>
      </c>
      <c r="DR26" s="198"/>
      <c r="DS26" s="16">
        <f>DX9</f>
        <v>1.6635553056483425</v>
      </c>
      <c r="DT26" s="14"/>
      <c r="DU26" s="14"/>
      <c r="DV26" s="14"/>
      <c r="DW26" s="14"/>
      <c r="DX26" s="25"/>
      <c r="DY26" s="195" t="s">
        <v>20</v>
      </c>
      <c r="DZ26" s="198"/>
      <c r="EA26" s="16">
        <f>EF9</f>
        <v>1.5699108720768811</v>
      </c>
      <c r="EB26" s="14"/>
      <c r="EC26" s="14"/>
      <c r="ED26" s="14"/>
      <c r="EE26" s="14"/>
      <c r="EF26" s="25"/>
      <c r="EG26" s="24"/>
      <c r="EH26" s="14"/>
      <c r="EI26" s="14"/>
      <c r="EJ26" s="14"/>
      <c r="EK26" s="14"/>
      <c r="EL26" s="14"/>
      <c r="EM26" s="14"/>
      <c r="EN26" s="25"/>
      <c r="EO26" s="24"/>
      <c r="EP26" s="14"/>
      <c r="EQ26" s="14"/>
      <c r="ER26" s="14"/>
      <c r="ES26" s="14"/>
      <c r="ET26" s="14"/>
      <c r="EU26" s="14"/>
      <c r="EV26" s="25"/>
      <c r="FM26" s="24"/>
      <c r="FN26" s="14"/>
      <c r="FO26" s="14"/>
      <c r="FP26" s="14"/>
      <c r="FQ26" s="14"/>
      <c r="FR26" s="14"/>
      <c r="FS26" s="14"/>
      <c r="FT26" s="25"/>
      <c r="FU26" s="24"/>
      <c r="FV26" s="14"/>
      <c r="FW26" s="14"/>
      <c r="FX26" s="14"/>
      <c r="FY26" s="14"/>
      <c r="FZ26" s="14"/>
      <c r="GA26" s="14"/>
      <c r="GB26" s="25"/>
      <c r="GC26" s="195" t="s">
        <v>218</v>
      </c>
      <c r="GD26" s="194"/>
      <c r="GE26" s="44">
        <f>GE24-GE25</f>
        <v>0.94122471187983403</v>
      </c>
      <c r="GF26" s="14"/>
      <c r="GG26" s="194" t="s">
        <v>220</v>
      </c>
      <c r="GH26" s="198"/>
      <c r="GI26" s="44">
        <f>GJ26*GI24</f>
        <v>0.95186200000000021</v>
      </c>
      <c r="GJ26" s="82">
        <f>1-GJ25</f>
        <v>0.67700000000000005</v>
      </c>
      <c r="GK26" s="195" t="s">
        <v>218</v>
      </c>
      <c r="GL26" s="194"/>
      <c r="GM26" s="44">
        <f>GM24-GM25</f>
        <v>25.165577487722324</v>
      </c>
      <c r="GN26" s="14"/>
      <c r="GO26" s="194" t="s">
        <v>220</v>
      </c>
      <c r="GP26" s="198"/>
      <c r="GQ26" s="44">
        <f>GR26*GQ24</f>
        <v>2.3146762371767049</v>
      </c>
      <c r="GR26" s="82">
        <f>1-GR25</f>
        <v>0.65799999999999992</v>
      </c>
      <c r="GS26" s="195" t="s">
        <v>218</v>
      </c>
      <c r="GT26" s="194"/>
      <c r="GU26" s="44">
        <f>GU24-GU25</f>
        <v>0.53462699856564411</v>
      </c>
      <c r="GV26" s="14"/>
      <c r="GW26" s="194" t="s">
        <v>220</v>
      </c>
      <c r="GX26" s="198"/>
      <c r="GY26" s="44">
        <f>GZ26*GY24</f>
        <v>0.10938514666666668</v>
      </c>
      <c r="GZ26" s="82">
        <f>1-GZ25</f>
        <v>0.67700000000000005</v>
      </c>
      <c r="HA26" s="195" t="s">
        <v>218</v>
      </c>
      <c r="HB26" s="194"/>
      <c r="HC26" s="44">
        <f>HC24-HC25</f>
        <v>2.9937354626402053</v>
      </c>
      <c r="HD26" s="14"/>
      <c r="HE26" s="194" t="s">
        <v>220</v>
      </c>
      <c r="HF26" s="198"/>
      <c r="HG26" s="44">
        <f>HH26*HG24</f>
        <v>9.2708783019977563</v>
      </c>
      <c r="HH26" s="82">
        <f>1-HH25</f>
        <v>0.73099999999999998</v>
      </c>
      <c r="HI26" s="195" t="s">
        <v>218</v>
      </c>
      <c r="HJ26" s="194"/>
      <c r="HK26" s="44">
        <f>HK24-HK25</f>
        <v>1.9719750493675372</v>
      </c>
      <c r="HL26" s="14"/>
      <c r="HM26" s="194" t="s">
        <v>220</v>
      </c>
      <c r="HN26" s="198"/>
      <c r="HO26" s="44">
        <f>HP26*HO24</f>
        <v>3.732690480787185</v>
      </c>
      <c r="HP26" s="82">
        <f>1-HP25</f>
        <v>0.73099999999999998</v>
      </c>
    </row>
    <row r="27" spans="1:224" x14ac:dyDescent="0.25">
      <c r="A27" s="106">
        <v>1</v>
      </c>
      <c r="B27" s="223" t="s">
        <v>346</v>
      </c>
      <c r="C27" s="223"/>
      <c r="D27" s="223"/>
      <c r="E27" s="223"/>
      <c r="F27" s="223"/>
      <c r="G27" s="47">
        <v>1</v>
      </c>
      <c r="H27" s="48">
        <v>1</v>
      </c>
      <c r="I27" s="106">
        <v>1</v>
      </c>
      <c r="J27" s="223" t="s">
        <v>346</v>
      </c>
      <c r="K27" s="223"/>
      <c r="L27" s="223"/>
      <c r="M27" s="223"/>
      <c r="N27" s="223"/>
      <c r="O27" s="47">
        <v>1</v>
      </c>
      <c r="P27" s="48">
        <v>1</v>
      </c>
      <c r="Y27" s="107">
        <v>1</v>
      </c>
      <c r="Z27" s="223" t="s">
        <v>346</v>
      </c>
      <c r="AA27" s="223"/>
      <c r="AB27" s="223"/>
      <c r="AC27" s="223"/>
      <c r="AD27" s="223"/>
      <c r="AE27" s="47">
        <v>1</v>
      </c>
      <c r="AF27" s="48">
        <v>1</v>
      </c>
      <c r="AG27" s="107">
        <v>1</v>
      </c>
      <c r="AH27" s="223" t="s">
        <v>346</v>
      </c>
      <c r="AI27" s="223"/>
      <c r="AJ27" s="223"/>
      <c r="AK27" s="223"/>
      <c r="AL27" s="223"/>
      <c r="AM27" s="47">
        <v>1</v>
      </c>
      <c r="AN27" s="48">
        <v>1</v>
      </c>
      <c r="AO27" s="24"/>
      <c r="AP27" s="14"/>
      <c r="AQ27" s="14"/>
      <c r="AR27" s="14"/>
      <c r="AS27" s="14"/>
      <c r="AT27" s="14"/>
      <c r="AU27" s="14"/>
      <c r="AV27" s="25"/>
      <c r="AW27" s="24"/>
      <c r="AX27" s="14"/>
      <c r="AY27" s="14"/>
      <c r="AZ27" s="14"/>
      <c r="BA27" s="14"/>
      <c r="BB27" s="14"/>
      <c r="BC27" s="14"/>
      <c r="BD27" s="25"/>
      <c r="BE27" s="24"/>
      <c r="BF27" s="14"/>
      <c r="BG27" s="14"/>
      <c r="BH27" s="14"/>
      <c r="BI27" s="14"/>
      <c r="BJ27" s="14"/>
      <c r="BK27" s="14"/>
      <c r="BL27" s="25"/>
      <c r="BM27" s="24"/>
      <c r="BN27" s="14"/>
      <c r="BO27" s="14"/>
      <c r="BP27" s="14"/>
      <c r="BQ27" s="14"/>
      <c r="BR27" s="14"/>
      <c r="BS27" s="14"/>
      <c r="BT27" s="25"/>
      <c r="DA27" s="24"/>
      <c r="DB27" s="14"/>
      <c r="DC27" s="14"/>
      <c r="DD27" s="14"/>
      <c r="DE27" s="14"/>
      <c r="DF27" s="14"/>
      <c r="DG27" s="14"/>
      <c r="DH27" s="25"/>
      <c r="DI27" s="24"/>
      <c r="DJ27" s="14"/>
      <c r="DK27" s="14"/>
      <c r="DL27" s="14"/>
      <c r="DM27" s="14"/>
      <c r="DN27" s="14"/>
      <c r="DO27" s="14"/>
      <c r="DP27" s="25"/>
      <c r="DQ27" s="24"/>
      <c r="DR27" s="14"/>
      <c r="DS27" s="14"/>
      <c r="DT27" s="14"/>
      <c r="DU27" s="14"/>
      <c r="DV27" s="14"/>
      <c r="DW27" s="14"/>
      <c r="DX27" s="25"/>
      <c r="DY27" s="24"/>
      <c r="DZ27" s="14"/>
      <c r="EA27" s="14"/>
      <c r="EB27" s="14"/>
      <c r="EC27" s="14"/>
      <c r="ED27" s="14"/>
      <c r="EE27" s="14"/>
      <c r="EF27" s="25"/>
      <c r="EG27" s="24"/>
      <c r="EH27" s="14"/>
      <c r="EI27" s="14"/>
      <c r="EJ27" s="14"/>
      <c r="EK27" s="14"/>
      <c r="EL27" s="14"/>
      <c r="EM27" s="14"/>
      <c r="EN27" s="25"/>
      <c r="EO27" s="24"/>
      <c r="EP27" s="14"/>
      <c r="EQ27" s="14"/>
      <c r="ER27" s="14"/>
      <c r="ES27" s="14"/>
      <c r="ET27" s="14"/>
      <c r="EU27" s="14"/>
      <c r="EV27" s="25"/>
      <c r="FM27" s="24"/>
      <c r="FN27" s="14"/>
      <c r="FO27" s="14"/>
      <c r="FP27" s="14"/>
      <c r="FQ27" s="14"/>
      <c r="FR27" s="14"/>
      <c r="FS27" s="14"/>
      <c r="FT27" s="25"/>
      <c r="FU27" s="24"/>
      <c r="FV27" s="14"/>
      <c r="FW27" s="14"/>
      <c r="FX27" s="14"/>
      <c r="FY27" s="14"/>
      <c r="FZ27" s="14"/>
      <c r="GA27" s="14"/>
      <c r="GB27" s="25"/>
      <c r="GC27" s="195" t="s">
        <v>3</v>
      </c>
      <c r="GD27" s="194"/>
      <c r="GE27" s="44">
        <f>GJ11</f>
        <v>0.36692664072693226</v>
      </c>
      <c r="GF27" s="14"/>
      <c r="GG27" s="14"/>
      <c r="GH27" s="14"/>
      <c r="GI27" s="14"/>
      <c r="GJ27" s="25"/>
      <c r="GK27" s="195" t="s">
        <v>3</v>
      </c>
      <c r="GL27" s="194"/>
      <c r="GM27" s="44">
        <f>GR11</f>
        <v>5.0063117071026628</v>
      </c>
      <c r="GN27" s="14"/>
      <c r="GO27" s="14"/>
      <c r="GP27" s="14"/>
      <c r="GQ27" s="14"/>
      <c r="GR27" s="25"/>
      <c r="GS27" s="195" t="s">
        <v>3</v>
      </c>
      <c r="GT27" s="194"/>
      <c r="GU27" s="44">
        <f>GZ11</f>
        <v>0.61357829129304819</v>
      </c>
      <c r="GV27" s="14"/>
      <c r="GW27" s="14"/>
      <c r="GX27" s="14"/>
      <c r="GY27" s="14"/>
      <c r="GZ27" s="25"/>
      <c r="HA27" s="195" t="s">
        <v>3</v>
      </c>
      <c r="HB27" s="194"/>
      <c r="HC27" s="44">
        <f>HH11</f>
        <v>0.70900742440490894</v>
      </c>
      <c r="HD27" s="14"/>
      <c r="HE27" s="14"/>
      <c r="HF27" s="14"/>
      <c r="HG27" s="14"/>
      <c r="HH27" s="25"/>
      <c r="HI27" s="195" t="s">
        <v>3</v>
      </c>
      <c r="HJ27" s="194"/>
      <c r="HK27" s="44">
        <f>HP11</f>
        <v>0.58601328257956198</v>
      </c>
      <c r="HL27" s="14"/>
      <c r="HM27" s="14"/>
      <c r="HN27" s="14"/>
      <c r="HO27" s="14"/>
      <c r="HP27" s="25"/>
    </row>
    <row r="28" spans="1:224" x14ac:dyDescent="0.25">
      <c r="A28" s="106">
        <v>2</v>
      </c>
      <c r="B28" s="215" t="s">
        <v>195</v>
      </c>
      <c r="C28" s="216"/>
      <c r="D28" s="216"/>
      <c r="E28" s="217"/>
      <c r="F28" s="62">
        <v>13</v>
      </c>
      <c r="G28" s="47">
        <f>IF(F28&gt;=13,0.963,EXP(-0.0376*(F28-12)))</f>
        <v>0.96299999999999997</v>
      </c>
      <c r="H28" s="48">
        <v>1</v>
      </c>
      <c r="I28" s="106">
        <v>2</v>
      </c>
      <c r="J28" s="215" t="s">
        <v>195</v>
      </c>
      <c r="K28" s="216"/>
      <c r="L28" s="216"/>
      <c r="M28" s="217"/>
      <c r="N28" s="62">
        <v>13</v>
      </c>
      <c r="O28" s="47">
        <f>IF(N28&gt;=13,0.963,EXP(-0.0376*(N28-12)))</f>
        <v>0.96299999999999997</v>
      </c>
      <c r="P28" s="48">
        <v>1</v>
      </c>
      <c r="Y28" s="107">
        <v>2</v>
      </c>
      <c r="Z28" s="215" t="s">
        <v>195</v>
      </c>
      <c r="AA28" s="216"/>
      <c r="AB28" s="216"/>
      <c r="AC28" s="217"/>
      <c r="AD28" s="62">
        <v>13</v>
      </c>
      <c r="AE28" s="47">
        <f>IF(AD28&gt;=13,0.963,EXP(-0.0376*(AD28-12)))</f>
        <v>0.96299999999999997</v>
      </c>
      <c r="AF28" s="48">
        <v>1</v>
      </c>
      <c r="AG28" s="107">
        <v>2</v>
      </c>
      <c r="AH28" s="215" t="s">
        <v>195</v>
      </c>
      <c r="AI28" s="216"/>
      <c r="AJ28" s="216"/>
      <c r="AK28" s="217"/>
      <c r="AL28" s="62">
        <v>13</v>
      </c>
      <c r="AM28" s="47">
        <f>IF(AL28&gt;=13,0.963,EXP(-0.0376*(AL28-12)))</f>
        <v>0.96299999999999997</v>
      </c>
      <c r="AN28" s="48">
        <v>1</v>
      </c>
      <c r="AO28" s="24"/>
      <c r="AP28" s="14"/>
      <c r="AQ28" s="14"/>
      <c r="AR28" s="14"/>
      <c r="AS28" s="14"/>
      <c r="AT28" s="14"/>
      <c r="AU28" s="14"/>
      <c r="AV28" s="25"/>
      <c r="AW28" s="24"/>
      <c r="AX28" s="14"/>
      <c r="AY28" s="14"/>
      <c r="AZ28" s="14"/>
      <c r="BA28" s="14"/>
      <c r="BB28" s="14"/>
      <c r="BC28" s="14"/>
      <c r="BD28" s="25"/>
      <c r="BE28" s="24"/>
      <c r="BF28" s="14"/>
      <c r="BG28" s="14"/>
      <c r="BH28" s="14"/>
      <c r="BI28" s="14"/>
      <c r="BJ28" s="14"/>
      <c r="BK28" s="14"/>
      <c r="BL28" s="25"/>
      <c r="BM28" s="24"/>
      <c r="BN28" s="14"/>
      <c r="BO28" s="14"/>
      <c r="BP28" s="14"/>
      <c r="BQ28" s="14"/>
      <c r="BR28" s="14"/>
      <c r="BS28" s="14"/>
      <c r="BT28" s="25"/>
      <c r="DA28" s="24"/>
      <c r="DB28" s="14"/>
      <c r="DC28" s="14"/>
      <c r="DD28" s="14"/>
      <c r="DE28" s="14"/>
      <c r="DF28" s="14"/>
      <c r="DG28" s="14"/>
      <c r="DH28" s="25"/>
      <c r="DI28" s="24"/>
      <c r="DJ28" s="14"/>
      <c r="DK28" s="14"/>
      <c r="DL28" s="14"/>
      <c r="DM28" s="14"/>
      <c r="DN28" s="14"/>
      <c r="DO28" s="14"/>
      <c r="DP28" s="25"/>
      <c r="DQ28" s="24"/>
      <c r="DR28" s="14"/>
      <c r="DS28" s="14"/>
      <c r="DT28" s="14"/>
      <c r="DU28" s="14"/>
      <c r="DV28" s="14"/>
      <c r="DW28" s="14"/>
      <c r="DX28" s="25"/>
      <c r="DY28" s="24"/>
      <c r="DZ28" s="14"/>
      <c r="EA28" s="14"/>
      <c r="EB28" s="14"/>
      <c r="EC28" s="14"/>
      <c r="ED28" s="14"/>
      <c r="EE28" s="14"/>
      <c r="EF28" s="25"/>
      <c r="EG28" s="24"/>
      <c r="EH28" s="14"/>
      <c r="EI28" s="14"/>
      <c r="EJ28" s="14"/>
      <c r="EK28" s="14"/>
      <c r="EL28" s="14"/>
      <c r="EM28" s="14"/>
      <c r="EN28" s="25"/>
      <c r="EO28" s="24"/>
      <c r="EP28" s="14"/>
      <c r="EQ28" s="14"/>
      <c r="ER28" s="14"/>
      <c r="ES28" s="14"/>
      <c r="ET28" s="14"/>
      <c r="EU28" s="14"/>
      <c r="EV28" s="25"/>
      <c r="FM28" s="24"/>
      <c r="FN28" s="14"/>
      <c r="FO28" s="14"/>
      <c r="FP28" s="14"/>
      <c r="FQ28" s="14"/>
      <c r="FR28" s="14"/>
      <c r="FS28" s="14"/>
      <c r="FT28" s="25"/>
      <c r="FU28" s="24"/>
      <c r="FV28" s="14"/>
      <c r="FW28" s="14"/>
      <c r="FX28" s="14"/>
      <c r="FY28" s="14"/>
      <c r="FZ28" s="14"/>
      <c r="GA28" s="14"/>
      <c r="GB28" s="25"/>
      <c r="GC28" s="195" t="s">
        <v>4</v>
      </c>
      <c r="GD28" s="194"/>
      <c r="GE28" s="44">
        <f>IF(GE12=0,GJ12,GJ11*(GJ12/(GJ12+GJ13)))</f>
        <v>6.7518851585951042E-2</v>
      </c>
      <c r="GF28" s="14"/>
      <c r="GG28" s="194" t="s">
        <v>111</v>
      </c>
      <c r="GH28" s="198"/>
      <c r="GI28" s="44">
        <f>GI51*GE22</f>
        <v>0.10587244026508086</v>
      </c>
      <c r="GJ28" s="25"/>
      <c r="GK28" s="195" t="s">
        <v>4</v>
      </c>
      <c r="GL28" s="194"/>
      <c r="GM28" s="44">
        <f>IF(GM12=0,GR12,GR11*(GR12/(GR12+GR13)))</f>
        <v>1.0393777839169984</v>
      </c>
      <c r="GN28" s="14"/>
      <c r="GO28" s="194" t="s">
        <v>111</v>
      </c>
      <c r="GP28" s="198"/>
      <c r="GQ28" s="44">
        <f>GQ51*GM22</f>
        <v>0.88740722277035855</v>
      </c>
      <c r="GR28" s="25"/>
      <c r="GS28" s="195" t="s">
        <v>4</v>
      </c>
      <c r="GT28" s="194"/>
      <c r="GU28" s="44">
        <f>IF(GU12=0,GZ12,GZ11*(GZ12/(GZ12+GZ13)))</f>
        <v>0.15355617029217256</v>
      </c>
      <c r="GV28" s="14"/>
      <c r="GW28" s="194" t="s">
        <v>111</v>
      </c>
      <c r="GX28" s="198"/>
      <c r="GY28" s="44">
        <f>GY51*GU22</f>
        <v>5.243056373644478E-2</v>
      </c>
      <c r="GZ28" s="25"/>
      <c r="HA28" s="195" t="s">
        <v>4</v>
      </c>
      <c r="HB28" s="194"/>
      <c r="HC28" s="44">
        <f>IF(HC12=0,HH12,HH11*(HH12/(HH12+HH13)))</f>
        <v>0.14772695792813165</v>
      </c>
      <c r="HD28" s="14"/>
      <c r="HE28" s="194" t="s">
        <v>111</v>
      </c>
      <c r="HF28" s="198"/>
      <c r="HG28" s="44">
        <f>HG51*HC22</f>
        <v>0.37954314515771953</v>
      </c>
      <c r="HH28" s="25"/>
      <c r="HI28" s="195" t="s">
        <v>4</v>
      </c>
      <c r="HJ28" s="194"/>
      <c r="HK28" s="44">
        <f>IF(HK12=0,HP12,HP11*(HP12/(HP12+HP13)))</f>
        <v>0.13120433966344661</v>
      </c>
      <c r="HL28" s="14"/>
      <c r="HM28" s="194" t="s">
        <v>111</v>
      </c>
      <c r="HN28" s="198"/>
      <c r="HO28" s="44">
        <f>HO51*HK22</f>
        <v>0.18226162329309017</v>
      </c>
      <c r="HP28" s="25"/>
    </row>
    <row r="29" spans="1:224" x14ac:dyDescent="0.25">
      <c r="A29" s="106">
        <v>3</v>
      </c>
      <c r="B29" s="215" t="s">
        <v>202</v>
      </c>
      <c r="C29" s="216"/>
      <c r="D29" s="216"/>
      <c r="E29" s="217"/>
      <c r="F29" s="60">
        <v>10</v>
      </c>
      <c r="G29" s="47">
        <f>EXP(-0.0172*(F29-6))</f>
        <v>0.9335133640819957</v>
      </c>
      <c r="H29" s="48">
        <f>EXP(-0.0153*(F29-6))</f>
        <v>0.94063509394326494</v>
      </c>
      <c r="I29" s="106">
        <v>3</v>
      </c>
      <c r="J29" s="215" t="s">
        <v>202</v>
      </c>
      <c r="K29" s="216"/>
      <c r="L29" s="216"/>
      <c r="M29" s="217"/>
      <c r="N29" s="60">
        <v>10</v>
      </c>
      <c r="O29" s="47">
        <f>EXP(-0.0172*(N29-6))</f>
        <v>0.9335133640819957</v>
      </c>
      <c r="P29" s="48">
        <f>EXP(-0.0153*(N29-6))</f>
        <v>0.94063509394326494</v>
      </c>
      <c r="Y29" s="107">
        <v>3</v>
      </c>
      <c r="Z29" s="215" t="s">
        <v>202</v>
      </c>
      <c r="AA29" s="216"/>
      <c r="AB29" s="216"/>
      <c r="AC29" s="217"/>
      <c r="AD29" s="60">
        <v>10</v>
      </c>
      <c r="AE29" s="47">
        <f>EXP(-0.0172*(AD29-6))</f>
        <v>0.9335133640819957</v>
      </c>
      <c r="AF29" s="48">
        <f>EXP(-0.0153*(AD29-6))</f>
        <v>0.94063509394326494</v>
      </c>
      <c r="AG29" s="107">
        <v>3</v>
      </c>
      <c r="AH29" s="215" t="s">
        <v>202</v>
      </c>
      <c r="AI29" s="216"/>
      <c r="AJ29" s="216"/>
      <c r="AK29" s="217"/>
      <c r="AL29" s="60">
        <v>10</v>
      </c>
      <c r="AM29" s="47">
        <f>EXP(-0.0172*(AL29-6))</f>
        <v>0.9335133640819957</v>
      </c>
      <c r="AN29" s="48">
        <f>EXP(-0.0153*(AL29-6))</f>
        <v>0.94063509394326494</v>
      </c>
      <c r="AO29" s="31"/>
      <c r="AP29" s="204" t="s">
        <v>45</v>
      </c>
      <c r="AQ29" s="204"/>
      <c r="AR29" s="204"/>
      <c r="AS29" s="204"/>
      <c r="AT29" s="204"/>
      <c r="AU29" s="112" t="s">
        <v>19</v>
      </c>
      <c r="AV29" s="32" t="s">
        <v>20</v>
      </c>
      <c r="AW29" s="31"/>
      <c r="AX29" s="204" t="s">
        <v>45</v>
      </c>
      <c r="AY29" s="204"/>
      <c r="AZ29" s="204"/>
      <c r="BA29" s="204"/>
      <c r="BB29" s="204"/>
      <c r="BC29" s="112" t="s">
        <v>19</v>
      </c>
      <c r="BD29" s="32" t="s">
        <v>20</v>
      </c>
      <c r="BE29" s="31"/>
      <c r="BF29" s="204" t="s">
        <v>45</v>
      </c>
      <c r="BG29" s="204"/>
      <c r="BH29" s="204"/>
      <c r="BI29" s="204"/>
      <c r="BJ29" s="204"/>
      <c r="BK29" s="112" t="s">
        <v>19</v>
      </c>
      <c r="BL29" s="32" t="s">
        <v>20</v>
      </c>
      <c r="BM29" s="31"/>
      <c r="BN29" s="204" t="s">
        <v>45</v>
      </c>
      <c r="BO29" s="204"/>
      <c r="BP29" s="204"/>
      <c r="BQ29" s="204"/>
      <c r="BR29" s="204"/>
      <c r="BS29" s="112" t="s">
        <v>19</v>
      </c>
      <c r="BT29" s="32" t="s">
        <v>20</v>
      </c>
      <c r="DA29" s="31"/>
      <c r="DB29" s="204" t="s">
        <v>45</v>
      </c>
      <c r="DC29" s="204"/>
      <c r="DD29" s="204"/>
      <c r="DE29" s="204"/>
      <c r="DF29" s="204"/>
      <c r="DG29" s="112" t="s">
        <v>19</v>
      </c>
      <c r="DH29" s="32" t="s">
        <v>20</v>
      </c>
      <c r="DI29" s="31"/>
      <c r="DJ29" s="204" t="s">
        <v>45</v>
      </c>
      <c r="DK29" s="204"/>
      <c r="DL29" s="204"/>
      <c r="DM29" s="204"/>
      <c r="DN29" s="204"/>
      <c r="DO29" s="112" t="s">
        <v>19</v>
      </c>
      <c r="DP29" s="32" t="s">
        <v>20</v>
      </c>
      <c r="DQ29" s="31"/>
      <c r="DR29" s="204" t="s">
        <v>45</v>
      </c>
      <c r="DS29" s="204"/>
      <c r="DT29" s="204"/>
      <c r="DU29" s="204"/>
      <c r="DV29" s="204"/>
      <c r="DW29" s="112" t="s">
        <v>19</v>
      </c>
      <c r="DX29" s="32" t="s">
        <v>20</v>
      </c>
      <c r="DY29" s="31"/>
      <c r="DZ29" s="204" t="s">
        <v>45</v>
      </c>
      <c r="EA29" s="204"/>
      <c r="EB29" s="204"/>
      <c r="EC29" s="204"/>
      <c r="ED29" s="204"/>
      <c r="EE29" s="112" t="s">
        <v>19</v>
      </c>
      <c r="EF29" s="32" t="s">
        <v>20</v>
      </c>
      <c r="EG29" s="31"/>
      <c r="EH29" s="204" t="s">
        <v>45</v>
      </c>
      <c r="EI29" s="204"/>
      <c r="EJ29" s="204"/>
      <c r="EK29" s="204"/>
      <c r="EL29" s="204"/>
      <c r="EM29" s="112" t="s">
        <v>19</v>
      </c>
      <c r="EN29" s="32" t="s">
        <v>20</v>
      </c>
      <c r="EO29" s="31"/>
      <c r="EP29" s="204" t="s">
        <v>45</v>
      </c>
      <c r="EQ29" s="204"/>
      <c r="ER29" s="204"/>
      <c r="ES29" s="204"/>
      <c r="ET29" s="204"/>
      <c r="EU29" s="112" t="s">
        <v>19</v>
      </c>
      <c r="EV29" s="32" t="s">
        <v>20</v>
      </c>
      <c r="FM29" s="31"/>
      <c r="FN29" s="204" t="s">
        <v>45</v>
      </c>
      <c r="FO29" s="204"/>
      <c r="FP29" s="204"/>
      <c r="FQ29" s="204"/>
      <c r="FR29" s="204"/>
      <c r="FS29" s="112" t="s">
        <v>19</v>
      </c>
      <c r="FT29" s="32" t="s">
        <v>20</v>
      </c>
      <c r="FU29" s="31"/>
      <c r="FV29" s="204" t="s">
        <v>45</v>
      </c>
      <c r="FW29" s="204"/>
      <c r="FX29" s="204"/>
      <c r="FY29" s="204"/>
      <c r="FZ29" s="204"/>
      <c r="GA29" s="112" t="s">
        <v>19</v>
      </c>
      <c r="GB29" s="32" t="s">
        <v>20</v>
      </c>
      <c r="GC29" s="195" t="s">
        <v>5</v>
      </c>
      <c r="GD29" s="194"/>
      <c r="GE29" s="44">
        <f>GE27-GE28</f>
        <v>0.29940778914098121</v>
      </c>
      <c r="GF29" s="14"/>
      <c r="GG29" s="194" t="s">
        <v>112</v>
      </c>
      <c r="GH29" s="198"/>
      <c r="GI29" s="44">
        <f>GI51*GI22</f>
        <v>5.2936220132540429E-2</v>
      </c>
      <c r="GJ29" s="25"/>
      <c r="GK29" s="195" t="s">
        <v>5</v>
      </c>
      <c r="GL29" s="194"/>
      <c r="GM29" s="44">
        <f>GM27-GM28</f>
        <v>3.9669339231856644</v>
      </c>
      <c r="GN29" s="14"/>
      <c r="GO29" s="194" t="s">
        <v>112</v>
      </c>
      <c r="GP29" s="198"/>
      <c r="GQ29" s="44">
        <f>GQ51*GQ22</f>
        <v>0.44370361138517928</v>
      </c>
      <c r="GR29" s="25"/>
      <c r="GS29" s="195" t="s">
        <v>5</v>
      </c>
      <c r="GT29" s="194"/>
      <c r="GU29" s="44">
        <f>GU27-GU28</f>
        <v>0.46002212100087564</v>
      </c>
      <c r="GV29" s="14"/>
      <c r="GW29" s="194" t="s">
        <v>112</v>
      </c>
      <c r="GX29" s="198"/>
      <c r="GY29" s="44">
        <f>GY51*GY22</f>
        <v>2.621528186822239E-2</v>
      </c>
      <c r="GZ29" s="25"/>
      <c r="HA29" s="195" t="s">
        <v>5</v>
      </c>
      <c r="HB29" s="194"/>
      <c r="HC29" s="44">
        <f>HC27-HC28</f>
        <v>0.56128046647677732</v>
      </c>
      <c r="HD29" s="14"/>
      <c r="HE29" s="194" t="s">
        <v>112</v>
      </c>
      <c r="HF29" s="198"/>
      <c r="HG29" s="44">
        <f>HG51*HG22</f>
        <v>0.19802251051707107</v>
      </c>
      <c r="HH29" s="25"/>
      <c r="HI29" s="195" t="s">
        <v>5</v>
      </c>
      <c r="HJ29" s="194"/>
      <c r="HK29" s="44">
        <f>HK27-HK28</f>
        <v>0.4548089429161154</v>
      </c>
      <c r="HL29" s="14"/>
      <c r="HM29" s="194" t="s">
        <v>112</v>
      </c>
      <c r="HN29" s="198"/>
      <c r="HO29" s="44">
        <f>HO51*HO22</f>
        <v>9.5093020848568799E-2</v>
      </c>
      <c r="HP29" s="25"/>
    </row>
    <row r="30" spans="1:224" x14ac:dyDescent="0.25">
      <c r="A30" s="106">
        <v>5</v>
      </c>
      <c r="B30" s="215" t="s">
        <v>204</v>
      </c>
      <c r="C30" s="216"/>
      <c r="D30" s="217"/>
      <c r="E30" s="59">
        <v>1</v>
      </c>
      <c r="F30" s="61">
        <v>13</v>
      </c>
      <c r="G30" s="47">
        <f>(1-E30)+E30*EXP(0.131/F30)</f>
        <v>1.0101278662392577</v>
      </c>
      <c r="H30" s="48">
        <f>(1-E30)+E30*EXP(0.169/F30)</f>
        <v>1.0130848673598092</v>
      </c>
      <c r="I30" s="106">
        <v>5</v>
      </c>
      <c r="J30" s="215" t="s">
        <v>204</v>
      </c>
      <c r="K30" s="216"/>
      <c r="L30" s="217"/>
      <c r="M30" s="59">
        <v>1</v>
      </c>
      <c r="N30" s="61">
        <v>13</v>
      </c>
      <c r="O30" s="47">
        <f>(1-M30)+M30*EXP(0.131/N30)</f>
        <v>1.0101278662392577</v>
      </c>
      <c r="P30" s="48">
        <f>(1-M30)+M30*EXP(0.169/N30)</f>
        <v>1.0130848673598092</v>
      </c>
      <c r="Y30" s="107">
        <v>5</v>
      </c>
      <c r="Z30" s="215" t="s">
        <v>204</v>
      </c>
      <c r="AA30" s="216"/>
      <c r="AB30" s="217"/>
      <c r="AC30" s="59">
        <v>1</v>
      </c>
      <c r="AD30" s="61">
        <v>13</v>
      </c>
      <c r="AE30" s="47">
        <f>(1-AC30)+AC30*EXP(0.131/AD30)</f>
        <v>1.0101278662392577</v>
      </c>
      <c r="AF30" s="48">
        <f>(1-AC30)+AC30*EXP(0.169/AD30)</f>
        <v>1.0130848673598092</v>
      </c>
      <c r="AG30" s="107">
        <v>5</v>
      </c>
      <c r="AH30" s="215" t="s">
        <v>204</v>
      </c>
      <c r="AI30" s="216"/>
      <c r="AJ30" s="217"/>
      <c r="AK30" s="59">
        <v>0.5</v>
      </c>
      <c r="AL30" s="61">
        <v>13</v>
      </c>
      <c r="AM30" s="47">
        <f>(1-AK30)+AK30*EXP(0.131/AL30)</f>
        <v>1.0050639331196289</v>
      </c>
      <c r="AN30" s="48">
        <f>(1-AK30)+AK30*EXP(0.169/AL30)</f>
        <v>1.0065424336799045</v>
      </c>
      <c r="AO30" s="116">
        <v>1</v>
      </c>
      <c r="AP30" s="199" t="s">
        <v>279</v>
      </c>
      <c r="AQ30" s="199"/>
      <c r="AR30" s="199"/>
      <c r="AS30" s="199"/>
      <c r="AT30" s="199"/>
      <c r="AU30" s="47">
        <f>IF(OR(AU5="1 (Merge, 4 Through Lanes)",AU5="2 (Merge, 6 Through Lanes)"),EXP(AQ14*IF(AR6="Left",1,0)+AR14/AR5+AT14*LN(AS14*AP6)),EXP(AQ14*IF(AR6="Left",1,0)+AR14/AR5))</f>
        <v>1.0474933244984428</v>
      </c>
      <c r="AV30" s="48">
        <f>IF(OR(AU5="1 (Merge, 4 Through Lanes)",AU5="2 (Merge, 6 Through Lanes)"),EXP(AQ15*IF(AR6="Left",1,0)+AR15/AR5+AT15*LN(AS15*AP6)),EXP(AQ15*IF(AR6="Left",1,0)+AR15/AR5))</f>
        <v>1</v>
      </c>
      <c r="AW30" s="116">
        <v>1</v>
      </c>
      <c r="AX30" s="199" t="s">
        <v>279</v>
      </c>
      <c r="AY30" s="199"/>
      <c r="AZ30" s="199"/>
      <c r="BA30" s="199"/>
      <c r="BB30" s="199"/>
      <c r="BC30" s="47">
        <f>IF(OR(BC5="1 (Merge, 4 Through Lanes)",BC5="2 (Merge, 6 Through Lanes)"),EXP(AY14*IF(AZ6="Left",1,0)+AZ14/AZ5+BB14*LN(BA14*AX6)),EXP(AY14*IF(AZ6="Left",1,0)+AZ14/AZ5))</f>
        <v>1.6298056259523892</v>
      </c>
      <c r="BD30" s="48">
        <f>IF(OR(BC5="1 (Merge, 4 Through Lanes)",BC5="2 (Merge, 6 Through Lanes)"),EXP(AY15*IF(AZ6="Left",1,0)+AZ15/AZ5+BB15*LN(BA15*AX6)),EXP(AY15*IF(AZ6="Left",1,0)+AZ15/AZ5))</f>
        <v>1.1060554085591288</v>
      </c>
      <c r="BE30" s="116">
        <v>1</v>
      </c>
      <c r="BF30" s="199" t="s">
        <v>279</v>
      </c>
      <c r="BG30" s="199"/>
      <c r="BH30" s="199"/>
      <c r="BI30" s="199"/>
      <c r="BJ30" s="199"/>
      <c r="BK30" s="47">
        <f>IF(OR(BK5="1 (Merge, 4 Through Lanes)",BK5="2 (Merge, 6 Through Lanes)"),EXP(BG14*IF(BH6="Left",1,0)+BH14/BH5+BJ14*LN(BI14*BF6)),EXP(BG14*IF(BH6="Left",1,0)+BH14/BH5))</f>
        <v>1.0474933244984428</v>
      </c>
      <c r="BL30" s="48">
        <f>IF(OR(BK5="1 (Merge, 4 Through Lanes)",BK5="2 (Merge, 6 Through Lanes)"),EXP(BG15*IF(BH6="Left",1,0)+BH15/BH5+BJ15*LN(BI15*BF6)),EXP(BG15*IF(BH6="Left",1,0)+BH15/BH5))</f>
        <v>1</v>
      </c>
      <c r="BM30" s="116">
        <v>1</v>
      </c>
      <c r="BN30" s="199" t="s">
        <v>279</v>
      </c>
      <c r="BO30" s="199"/>
      <c r="BP30" s="199"/>
      <c r="BQ30" s="199"/>
      <c r="BR30" s="199"/>
      <c r="BS30" s="47">
        <f>IF(OR(BS5="1 (Merge, 4 Through Lanes)",BS5="2 (Merge, 6 Through Lanes)"),EXP(BO14*IF(BP6="Left",1,0)+BP14/BP5+BR14*LN(BQ14*BN6)),EXP(BO14*IF(BP6="Left",1,0)+BP14/BP5))</f>
        <v>1.9413700590325762</v>
      </c>
      <c r="BT30" s="48">
        <f>IF(OR(BS5="1 (Merge, 4 Through Lanes)",BS5="2 (Merge, 6 Through Lanes)"),EXP(BO15*IF(BP6="Left",1,0)+BP15/BP5+BR15*LN(BQ15*BN6)),EXP(BO15*IF(BP6="Left",1,0)+BP15/BP5))</f>
        <v>1.1060554085591288</v>
      </c>
      <c r="DA30" s="116">
        <v>1</v>
      </c>
      <c r="DB30" s="199" t="s">
        <v>279</v>
      </c>
      <c r="DC30" s="199"/>
      <c r="DD30" s="199"/>
      <c r="DE30" s="199"/>
      <c r="DF30" s="199"/>
      <c r="DG30" s="47">
        <f>IF(OR(DG5="1 (Merge, 4 Through Lanes)",DG5="2 (Merge, 6 Through Lanes)"),EXP(DC14*IF(DD6="Left",1,0)+DD14/DD5+DF14*LN(DE14*DB6)),EXP(DC14*IF(DD6="Left",1,0)+DD14/DD5))</f>
        <v>1.0474933244984428</v>
      </c>
      <c r="DH30" s="48">
        <f>IF(OR(DG5="1 (Merge, 4 Through Lanes)",DG5="2 (Merge, 6 Through Lanes)"),EXP(DC15*IF(DD6="Left",1,0)+DD15/DD5+DF15*LN(DE15*DB6)),EXP(DC15*IF(DD6="Left",1,0)+DD15/DD5))</f>
        <v>1</v>
      </c>
      <c r="DI30" s="116">
        <v>1</v>
      </c>
      <c r="DJ30" s="199" t="s">
        <v>279</v>
      </c>
      <c r="DK30" s="199"/>
      <c r="DL30" s="199"/>
      <c r="DM30" s="199"/>
      <c r="DN30" s="199"/>
      <c r="DO30" s="47">
        <f>IF(OR(DO5="1 (Merge, 4 Through Lanes)",DO5="2 (Merge, 6 Through Lanes)"),EXP(DK14*IF(DL6="Left",1,0)+DL14/DL5+DN14*LN(DM14*DJ6)),EXP(DK14*IF(DL6="Left",1,0)+DL14/DL5))</f>
        <v>1.7584598379814973</v>
      </c>
      <c r="DP30" s="48">
        <f>IF(OR(DO5="1 (Merge, 4 Through Lanes)",DO5="2 (Merge, 6 Through Lanes)"),EXP(DK15*IF(DL6="Left",1,0)+DL15/DL5+DN15*LN(DM15*DJ6)),EXP(DK15*IF(DL6="Left",1,0)+DL15/DL5))</f>
        <v>1.1060554085591288</v>
      </c>
      <c r="DQ30" s="116">
        <v>1</v>
      </c>
      <c r="DR30" s="199" t="s">
        <v>279</v>
      </c>
      <c r="DS30" s="199"/>
      <c r="DT30" s="199"/>
      <c r="DU30" s="199"/>
      <c r="DV30" s="199"/>
      <c r="DW30" s="47">
        <f>IF(OR(DW5="1 (Merge, 4 Through Lanes)",DW5="2 (Merge, 6 Through Lanes)"),EXP(DS14*IF(DT6="Left",1,0)+DT14/DT5+DV14*LN(DU14*DR6)),EXP(DS14*IF(DT6="Left",1,0)+DT14/DT5))</f>
        <v>1.0474933244984428</v>
      </c>
      <c r="DX30" s="48">
        <f>IF(OR(DW5="1 (Merge, 4 Through Lanes)",DW5="2 (Merge, 6 Through Lanes)"),EXP(DS15*IF(DT6="Left",1,0)+DT15/DT5+DV15*LN(DU15*DR6)),EXP(DS15*IF(DT6="Left",1,0)+DT15/DT5))</f>
        <v>1</v>
      </c>
      <c r="DY30" s="116">
        <v>1</v>
      </c>
      <c r="DZ30" s="199" t="s">
        <v>279</v>
      </c>
      <c r="EA30" s="199"/>
      <c r="EB30" s="199"/>
      <c r="EC30" s="199"/>
      <c r="ED30" s="199"/>
      <c r="EE30" s="47">
        <f>IF(OR(EE5="1 (Merge, 4 Through Lanes)",EE5="2 (Merge, 6 Through Lanes)"),EXP(EA14*IF(EB6="Left",1,0)+EB14/EB5+ED14*LN(EC14*DZ6)),EXP(EA14*IF(EB6="Left",1,0)+EB14/EB5))</f>
        <v>1.791604968224433</v>
      </c>
      <c r="EF30" s="48">
        <f>IF(OR(EE5="1 (Merge, 4 Through Lanes)",EE5="2 (Merge, 6 Through Lanes)"),EXP(EA15*IF(EB6="Left",1,0)+EB15/EB5+ED15*LN(EC15*DZ6)),EXP(EA15*IF(EB6="Left",1,0)+EB15/EB5))</f>
        <v>1.1060554085591288</v>
      </c>
      <c r="EG30" s="114">
        <v>10</v>
      </c>
      <c r="EH30" s="218" t="s">
        <v>171</v>
      </c>
      <c r="EI30" s="219"/>
      <c r="EJ30" s="220"/>
      <c r="EK30" s="91">
        <v>1</v>
      </c>
      <c r="EL30" s="118" t="s">
        <v>172</v>
      </c>
      <c r="EM30" s="47">
        <f>(1-(EH6/SUM(EH6:EH9)))+(EH6/SUM(EH6:EH9))*EXP(IF(EK9="Signalized",0.0668,0.151)*(0.001*EH6)/IF(EL30="Merge/Freeflow",0.5*(EK30-1)+1,0.5*EK30))</f>
        <v>1.1099684874231395</v>
      </c>
      <c r="EN30" s="48">
        <f>(1-(EH6/SUM(EH6:EH9)))+(EH6/SUM(EH6:EH9))*EXP(IF(EK9="Signalized",0.0668,0.151)*(0.001*EH6)/IF(EL30="Merge/Freeflow",0.5*(EK30-1)+1,0.5*EK30))</f>
        <v>1.1099684874231395</v>
      </c>
      <c r="EO30" s="114">
        <v>10</v>
      </c>
      <c r="EP30" s="218" t="s">
        <v>171</v>
      </c>
      <c r="EQ30" s="219"/>
      <c r="ER30" s="220"/>
      <c r="ES30" s="91">
        <v>1</v>
      </c>
      <c r="ET30" s="118" t="s">
        <v>172</v>
      </c>
      <c r="EU30" s="185"/>
      <c r="EV30" s="185"/>
      <c r="FM30" s="114">
        <v>10</v>
      </c>
      <c r="FN30" s="218" t="s">
        <v>171</v>
      </c>
      <c r="FO30" s="219"/>
      <c r="FP30" s="220"/>
      <c r="FQ30" s="91">
        <v>1</v>
      </c>
      <c r="FR30" s="118" t="s">
        <v>172</v>
      </c>
      <c r="FS30" s="47">
        <f>(1-(FN6/SUM(FN6:FN9)))+(FN6/SUM(FN6:FN9))*EXP(IF(FQ9="Signalized",0.0668,0.151)*(0.001*FN6)/IF(FR30="Merge/Freeflow",0.5*(FQ30-1)+1,0.5*FQ30))</f>
        <v>1.2464953629991118</v>
      </c>
      <c r="FT30" s="48">
        <f>(1-(FN6/SUM(FN6:FN9)))+(FN6/SUM(FN6:FN9))*EXP(IF(FQ9="Signalized",0.0668,0.151)*(0.001*FN6)/IF(FR30="Merge/Freeflow",0.5*(FQ30-1)+1,0.5*FQ30))</f>
        <v>1.2464953629991118</v>
      </c>
      <c r="FU30" s="114">
        <v>10</v>
      </c>
      <c r="FV30" s="218" t="s">
        <v>171</v>
      </c>
      <c r="FW30" s="219"/>
      <c r="FX30" s="220"/>
      <c r="FY30" s="91">
        <v>1</v>
      </c>
      <c r="FZ30" s="118" t="s">
        <v>172</v>
      </c>
      <c r="GA30" s="47">
        <f>(1-(FV6/SUM(FV6:FV9)))+(FV6/SUM(FV6:FV9))*EXP(IF(FY9="Signalized",0.0668,0.151)*(0.001*FV6)/IF(FZ30="Merge/Freeflow",0.5*(FY30-1)+1,0.5*FY30))</f>
        <v>1.3660310499996284</v>
      </c>
      <c r="GB30" s="48">
        <f>(1-(FV6/SUM(FV6:FV9)))+(FV6/SUM(FV6:FV9))*EXP(IF(FY9="Signalized",0.0668,0.151)*(0.001*FV6)/IF(FZ30="Merge/Freeflow",0.5*(FY30-1)+1,0.5*FY30))</f>
        <v>1.3660310499996284</v>
      </c>
      <c r="GC30" s="24"/>
      <c r="GD30" s="14"/>
      <c r="GE30" s="14"/>
      <c r="GF30" s="14"/>
      <c r="GG30" s="14"/>
      <c r="GH30" s="14"/>
      <c r="GI30" s="14"/>
      <c r="GJ30" s="25"/>
      <c r="GK30" s="24"/>
      <c r="GL30" s="14"/>
      <c r="GM30" s="14"/>
      <c r="GN30" s="14"/>
      <c r="GO30" s="14"/>
      <c r="GP30" s="14"/>
      <c r="GQ30" s="14"/>
      <c r="GR30" s="25"/>
      <c r="GS30" s="24"/>
      <c r="GT30" s="14"/>
      <c r="GU30" s="14"/>
      <c r="GV30" s="14"/>
      <c r="GW30" s="14"/>
      <c r="GX30" s="14"/>
      <c r="GY30" s="14"/>
      <c r="GZ30" s="25"/>
      <c r="HA30" s="24"/>
      <c r="HB30" s="14"/>
      <c r="HC30" s="14"/>
      <c r="HD30" s="14"/>
      <c r="HE30" s="14"/>
      <c r="HF30" s="14"/>
      <c r="HG30" s="14"/>
      <c r="HH30" s="25"/>
      <c r="HI30" s="24"/>
      <c r="HJ30" s="14"/>
      <c r="HK30" s="14"/>
      <c r="HL30" s="14"/>
      <c r="HM30" s="14"/>
      <c r="HN30" s="14"/>
      <c r="HO30" s="14"/>
      <c r="HP30" s="25"/>
    </row>
    <row r="31" spans="1:224" x14ac:dyDescent="0.25">
      <c r="A31" s="106" t="s">
        <v>208</v>
      </c>
      <c r="B31" s="199"/>
      <c r="C31" s="199"/>
      <c r="D31" s="199"/>
      <c r="E31" s="199"/>
      <c r="F31" s="199"/>
      <c r="G31" s="47"/>
      <c r="H31" s="48"/>
      <c r="I31" s="106" t="s">
        <v>208</v>
      </c>
      <c r="J31" s="199"/>
      <c r="K31" s="199"/>
      <c r="L31" s="199"/>
      <c r="M31" s="199"/>
      <c r="N31" s="199"/>
      <c r="O31" s="47"/>
      <c r="P31" s="48"/>
      <c r="Y31" s="107" t="s">
        <v>208</v>
      </c>
      <c r="Z31" s="199"/>
      <c r="AA31" s="199"/>
      <c r="AB31" s="199"/>
      <c r="AC31" s="199"/>
      <c r="AD31" s="199"/>
      <c r="AE31" s="47"/>
      <c r="AF31" s="48"/>
      <c r="AG31" s="107" t="s">
        <v>208</v>
      </c>
      <c r="AH31" s="199"/>
      <c r="AI31" s="199"/>
      <c r="AJ31" s="199"/>
      <c r="AK31" s="199"/>
      <c r="AL31" s="199"/>
      <c r="AM31" s="47"/>
      <c r="AN31" s="48"/>
      <c r="AO31" s="116">
        <v>2</v>
      </c>
      <c r="AP31" s="199"/>
      <c r="AQ31" s="199"/>
      <c r="AR31" s="199"/>
      <c r="AS31" s="199"/>
      <c r="AT31" s="199"/>
      <c r="AU31" s="118"/>
      <c r="AV31" s="121"/>
      <c r="AW31" s="116">
        <v>2</v>
      </c>
      <c r="AX31" s="199"/>
      <c r="AY31" s="199"/>
      <c r="AZ31" s="199"/>
      <c r="BA31" s="199"/>
      <c r="BB31" s="199"/>
      <c r="BC31" s="118"/>
      <c r="BD31" s="121"/>
      <c r="BE31" s="116">
        <v>2</v>
      </c>
      <c r="BF31" s="199"/>
      <c r="BG31" s="199"/>
      <c r="BH31" s="199"/>
      <c r="BI31" s="199"/>
      <c r="BJ31" s="199"/>
      <c r="BK31" s="118"/>
      <c r="BL31" s="121"/>
      <c r="BM31" s="116">
        <v>2</v>
      </c>
      <c r="BN31" s="199"/>
      <c r="BO31" s="199"/>
      <c r="BP31" s="199"/>
      <c r="BQ31" s="199"/>
      <c r="BR31" s="199"/>
      <c r="BS31" s="118"/>
      <c r="BT31" s="121"/>
      <c r="DA31" s="116">
        <v>2</v>
      </c>
      <c r="DB31" s="199"/>
      <c r="DC31" s="199"/>
      <c r="DD31" s="199"/>
      <c r="DE31" s="199"/>
      <c r="DF31" s="199"/>
      <c r="DG31" s="118"/>
      <c r="DH31" s="121"/>
      <c r="DI31" s="116">
        <v>2</v>
      </c>
      <c r="DJ31" s="199"/>
      <c r="DK31" s="199"/>
      <c r="DL31" s="199"/>
      <c r="DM31" s="199"/>
      <c r="DN31" s="199"/>
      <c r="DO31" s="118"/>
      <c r="DP31" s="121"/>
      <c r="DQ31" s="116">
        <v>2</v>
      </c>
      <c r="DR31" s="199"/>
      <c r="DS31" s="199"/>
      <c r="DT31" s="199"/>
      <c r="DU31" s="199"/>
      <c r="DV31" s="199"/>
      <c r="DW31" s="118"/>
      <c r="DX31" s="121"/>
      <c r="DY31" s="116">
        <v>2</v>
      </c>
      <c r="DZ31" s="199"/>
      <c r="EA31" s="199"/>
      <c r="EB31" s="199"/>
      <c r="EC31" s="199"/>
      <c r="ED31" s="199"/>
      <c r="EE31" s="118"/>
      <c r="EF31" s="121"/>
      <c r="EG31" s="229">
        <v>11</v>
      </c>
      <c r="EH31" s="199" t="s">
        <v>174</v>
      </c>
      <c r="EI31" s="199"/>
      <c r="EJ31" s="199"/>
      <c r="EK31" s="199"/>
      <c r="EL31" s="118" t="s">
        <v>128</v>
      </c>
      <c r="EM31" s="47">
        <f>IF(EL31="Present",(1-(EH8/SUM(EH6:EH9)))+(EH8/SUM(EH6:EH9))*IF(EK9="Signalized",IF(EK5="Rural",0.44,0.65),IF(EK5="Rural",0.36,0.59)),1)</f>
        <v>0.84353507565337005</v>
      </c>
      <c r="EN31" s="48">
        <f>IF(EL31="Present",(1-(EH8/SUM(EH6:EH9)))+(EH8/SUM(EH6:EH9))*IF(EK9="Signalized",IF(EK5="Rural",0.66,0.68),IF(EK5="Rural",0.55,0.58)),1)</f>
        <v>0.85694635488308113</v>
      </c>
      <c r="EO31" s="229">
        <v>11</v>
      </c>
      <c r="EP31" s="199" t="s">
        <v>174</v>
      </c>
      <c r="EQ31" s="199"/>
      <c r="ER31" s="199"/>
      <c r="ES31" s="199"/>
      <c r="ET31" s="118" t="s">
        <v>128</v>
      </c>
      <c r="EU31" s="47">
        <f>IF(ET31="Present",(1-(EP8/SUM(EP6:EP9)))+(EP8/SUM(EP6:EP9))*IF(ES9="Signalized",IF(ES5="Rural",0.44,0.65),IF(ES5="Rural",0.36,0.59)),1)</f>
        <v>0.89176974310180779</v>
      </c>
      <c r="EV31" s="48">
        <f>IF(ET31="Present",(1-(EP8/SUM(EP6:EP9)))+(EP8/SUM(EP6:EP9))*IF(ES9="Signalized",IF(ES5="Rural",0.66,0.68),IF(ES5="Rural",0.55,0.58)),1)</f>
        <v>0.90104662226450993</v>
      </c>
      <c r="FM31" s="229">
        <v>11</v>
      </c>
      <c r="FN31" s="199" t="s">
        <v>174</v>
      </c>
      <c r="FO31" s="199"/>
      <c r="FP31" s="199"/>
      <c r="FQ31" s="199"/>
      <c r="FR31" s="118" t="s">
        <v>128</v>
      </c>
      <c r="FS31" s="47">
        <f>IF(FR31="Present",(1-(FN8/SUM(FN6:FN9)))+(FN8/SUM(FN6:FN9))*IF(FQ9="Signalized",IF(FQ5="Rural",0.44,0.65),IF(FQ5="Rural",0.36,0.59)),1)</f>
        <v>0.87414383561643838</v>
      </c>
      <c r="FT31" s="48">
        <f>IF(FR31="Present",(1-(FN8/SUM(FN6:FN9)))+(FN8/SUM(FN6:FN9))*IF(FQ9="Signalized",IF(FQ5="Rural",0.66,0.68),IF(FQ5="Rural",0.55,0.58)),1)</f>
        <v>0.8849315068493151</v>
      </c>
      <c r="FU31" s="229">
        <v>11</v>
      </c>
      <c r="FV31" s="199" t="s">
        <v>174</v>
      </c>
      <c r="FW31" s="199"/>
      <c r="FX31" s="199"/>
      <c r="FY31" s="199"/>
      <c r="FZ31" s="118" t="s">
        <v>128</v>
      </c>
      <c r="GA31" s="47">
        <f>IF(FZ31="Present",(1-(FV8/SUM(FV6:FV9)))+(FV8/SUM(FV6:FV9))*IF(FY9="Signalized",IF(FY5="Rural",0.44,0.65),IF(FY5="Rural",0.36,0.59)),1)</f>
        <v>0.8560704960835509</v>
      </c>
      <c r="GB31" s="48">
        <f>IF(FZ31="Present",(1-(FV8/SUM(FV6:FV9)))+(FV8/SUM(FV6:FV9))*IF(FY9="Signalized",IF(FY5="Rural",0.66,0.68),IF(FY5="Rural",0.55,0.58)),1)</f>
        <v>0.8684073107049608</v>
      </c>
      <c r="GC31" s="195" t="s">
        <v>108</v>
      </c>
      <c r="GD31" s="194"/>
      <c r="GE31" s="44">
        <f>GE24+GE27+GI24</f>
        <v>3.0985253708832214</v>
      </c>
      <c r="GF31" s="14"/>
      <c r="GG31" s="14"/>
      <c r="GH31" s="14"/>
      <c r="GI31" s="14"/>
      <c r="GJ31" s="25"/>
      <c r="GK31" s="195" t="s">
        <v>108</v>
      </c>
      <c r="GL31" s="194"/>
      <c r="GM31" s="44">
        <f>GM24+GM27+GQ24</f>
        <v>43.46382699457638</v>
      </c>
      <c r="GN31" s="14"/>
      <c r="GO31" s="14"/>
      <c r="GP31" s="14"/>
      <c r="GQ31" s="14"/>
      <c r="GR31" s="25"/>
      <c r="GS31" s="195" t="s">
        <v>108</v>
      </c>
      <c r="GT31" s="194"/>
      <c r="GU31" s="44">
        <f>GU24+GU27+GY24</f>
        <v>1.5344638466850011</v>
      </c>
      <c r="GV31" s="14"/>
      <c r="GW31" s="14"/>
      <c r="GX31" s="14"/>
      <c r="GY31" s="14"/>
      <c r="GZ31" s="25"/>
      <c r="HA31" s="195" t="s">
        <v>108</v>
      </c>
      <c r="HB31" s="194"/>
      <c r="HC31" s="44">
        <f>HC24+HC27+HG24</f>
        <v>17.458342232191093</v>
      </c>
      <c r="HD31" s="14"/>
      <c r="HE31" s="14"/>
      <c r="HF31" s="14"/>
      <c r="HG31" s="14"/>
      <c r="HH31" s="25"/>
      <c r="HI31" s="195" t="s">
        <v>108</v>
      </c>
      <c r="HJ31" s="194"/>
      <c r="HK31" s="44">
        <f>HK24+HK27+HO24</f>
        <v>8.3837261608905695</v>
      </c>
      <c r="HL31" s="14"/>
      <c r="HM31" s="14"/>
      <c r="HN31" s="14"/>
      <c r="HO31" s="14"/>
      <c r="HP31" s="25"/>
    </row>
    <row r="32" spans="1:224" x14ac:dyDescent="0.25">
      <c r="A32" s="106"/>
      <c r="B32" s="232"/>
      <c r="C32" s="232"/>
      <c r="D32" s="232"/>
      <c r="E32" s="232"/>
      <c r="F32" s="232"/>
      <c r="G32" s="18">
        <f>IF(G27=0,1,G27)*IF(G28=0,1,G28)*IF(G29=0,1,G29)*IF(G30=0,1,G30)*IF(G31=0,1,G31)</f>
        <v>0.90807805165103639</v>
      </c>
      <c r="H32" s="33">
        <f>IF(H27=0,1,H27)*IF(H28=0,1,H28)*IF(H29=0,1,H29)*IF(H30=0,1,H30)*IF(H31=0,1,H31)</f>
        <v>0.9529431793814942</v>
      </c>
      <c r="I32" s="106"/>
      <c r="J32" s="232"/>
      <c r="K32" s="232"/>
      <c r="L32" s="232"/>
      <c r="M32" s="232"/>
      <c r="N32" s="232"/>
      <c r="O32" s="18">
        <f>IF(O27=0,1,O27)*IF(O28=0,1,O28)*IF(O29=0,1,O29)*IF(O30=0,1,O30)*IF(O31=0,1,O31)</f>
        <v>0.90807805165103639</v>
      </c>
      <c r="P32" s="33">
        <f>IF(P27=0,1,P27)*IF(P28=0,1,P28)*IF(P29=0,1,P29)*IF(P30=0,1,P30)*IF(P31=0,1,P31)</f>
        <v>0.9529431793814942</v>
      </c>
      <c r="Y32" s="107"/>
      <c r="Z32" s="232"/>
      <c r="AA32" s="232"/>
      <c r="AB32" s="232"/>
      <c r="AC32" s="232"/>
      <c r="AD32" s="232"/>
      <c r="AE32" s="18">
        <f>IF(AE27=0,1,AE27)*IF(AE28=0,1,AE28)*IF(AE29=0,1,AE29)*IF(AE30=0,1,AE30)*IF(AE31=0,1,AE31)</f>
        <v>0.90807805165103639</v>
      </c>
      <c r="AF32" s="33">
        <f>IF(AF27=0,1,AF27)*IF(AF28=0,1,AF28)*IF(AF29=0,1,AF29)*IF(AF30=0,1,AF30)*IF(AF31=0,1,AF31)</f>
        <v>0.9529431793814942</v>
      </c>
      <c r="AG32" s="107"/>
      <c r="AH32" s="232"/>
      <c r="AI32" s="232"/>
      <c r="AJ32" s="232"/>
      <c r="AK32" s="232"/>
      <c r="AL32" s="232"/>
      <c r="AM32" s="18">
        <f>IF(AM27=0,1,AM27)*IF(AM28=0,1,AM28)*IF(AM29=0,1,AM29)*IF(AM30=0,1,AM30)*IF(AM31=0,1,AM31)</f>
        <v>0.90352571063099929</v>
      </c>
      <c r="AN32" s="33">
        <f>IF(AN27=0,1,AN27)*IF(AN28=0,1,AN28)*IF(AN29=0,1,AN29)*IF(AN30=0,1,AN30)*IF(AN31=0,1,AN31)</f>
        <v>0.94678913666237952</v>
      </c>
      <c r="AO32" s="116">
        <v>3</v>
      </c>
      <c r="AP32" s="199"/>
      <c r="AQ32" s="199"/>
      <c r="AR32" s="199"/>
      <c r="AS32" s="199"/>
      <c r="AT32" s="199"/>
      <c r="AU32" s="118"/>
      <c r="AV32" s="121"/>
      <c r="AW32" s="116">
        <v>3</v>
      </c>
      <c r="AX32" s="199"/>
      <c r="AY32" s="199"/>
      <c r="AZ32" s="199"/>
      <c r="BA32" s="199"/>
      <c r="BB32" s="199"/>
      <c r="BC32" s="118"/>
      <c r="BD32" s="121"/>
      <c r="BE32" s="116">
        <v>3</v>
      </c>
      <c r="BF32" s="199"/>
      <c r="BG32" s="199"/>
      <c r="BH32" s="199"/>
      <c r="BI32" s="199"/>
      <c r="BJ32" s="199"/>
      <c r="BK32" s="118"/>
      <c r="BL32" s="121"/>
      <c r="BM32" s="116">
        <v>3</v>
      </c>
      <c r="BN32" s="199"/>
      <c r="BO32" s="199"/>
      <c r="BP32" s="199"/>
      <c r="BQ32" s="199"/>
      <c r="BR32" s="199"/>
      <c r="BS32" s="118"/>
      <c r="BT32" s="121"/>
      <c r="DA32" s="116">
        <v>3</v>
      </c>
      <c r="DB32" s="199"/>
      <c r="DC32" s="199"/>
      <c r="DD32" s="199"/>
      <c r="DE32" s="199"/>
      <c r="DF32" s="199"/>
      <c r="DG32" s="118"/>
      <c r="DH32" s="121"/>
      <c r="DI32" s="116">
        <v>3</v>
      </c>
      <c r="DJ32" s="199"/>
      <c r="DK32" s="199"/>
      <c r="DL32" s="199"/>
      <c r="DM32" s="199"/>
      <c r="DN32" s="199"/>
      <c r="DO32" s="118"/>
      <c r="DP32" s="121"/>
      <c r="DQ32" s="116">
        <v>3</v>
      </c>
      <c r="DR32" s="199"/>
      <c r="DS32" s="199"/>
      <c r="DT32" s="199"/>
      <c r="DU32" s="199"/>
      <c r="DV32" s="199"/>
      <c r="DW32" s="118"/>
      <c r="DX32" s="121"/>
      <c r="DY32" s="116">
        <v>3</v>
      </c>
      <c r="DZ32" s="199"/>
      <c r="EA32" s="199"/>
      <c r="EB32" s="199"/>
      <c r="EC32" s="199"/>
      <c r="ED32" s="199"/>
      <c r="EE32" s="118"/>
      <c r="EF32" s="121"/>
      <c r="EG32" s="229"/>
      <c r="EH32" s="199" t="s">
        <v>173</v>
      </c>
      <c r="EI32" s="199"/>
      <c r="EJ32" s="199"/>
      <c r="EK32" s="199"/>
      <c r="EL32" s="118" t="s">
        <v>129</v>
      </c>
      <c r="EM32" s="47">
        <f>IF(EL32="Present",(1-(EH9/SUM(EH6:EH9)))+(EH9/SUM(EH6:EH9))*IF(EK9="Signalized",IF(EK5="Rural",0.44,0.65),IF(EK5="Rural",0.36,0.59)),1)</f>
        <v>1</v>
      </c>
      <c r="EN32" s="48">
        <f>IF(EL32="Present",(1-(EH9/SUM(EH6:EH9)))+(EH9/SUM(EH6:EH9))*IF(EK9="Signalized",IF(EK5="Rural",0.66,0.68),IF(EK5="Rural",0.55,0.58)),1)</f>
        <v>1</v>
      </c>
      <c r="EO32" s="229"/>
      <c r="EP32" s="199" t="s">
        <v>173</v>
      </c>
      <c r="EQ32" s="199"/>
      <c r="ER32" s="199"/>
      <c r="ES32" s="199"/>
      <c r="ET32" s="118" t="s">
        <v>129</v>
      </c>
      <c r="EU32" s="47">
        <f>IF(ET32="Present",(1-(EP9/SUM(EP6:EP9)))+(EP9/SUM(EP6:EP9))*IF(ES9="Signalized",IF(ES5="Rural",0.44,0.65),IF(ES5="Rural",0.36,0.59)),1)</f>
        <v>1</v>
      </c>
      <c r="EV32" s="48">
        <f>IF(ET32="Present",(1-(EP9/SUM(EP6:EP9)))+(EP9/SUM(EP6:EP9))*IF(ES9="Signalized",IF(ES5="Rural",0.66,0.68),IF(ES5="Rural",0.55,0.58)),1)</f>
        <v>1</v>
      </c>
      <c r="FM32" s="229"/>
      <c r="FN32" s="199" t="s">
        <v>173</v>
      </c>
      <c r="FO32" s="199"/>
      <c r="FP32" s="199"/>
      <c r="FQ32" s="199"/>
      <c r="FR32" s="118" t="s">
        <v>129</v>
      </c>
      <c r="FS32" s="47">
        <f>IF(FR32="Present",(1-(FN9/SUM(FN6:FN9)))+(FN9/SUM(FN6:FN9))*IF(FQ9="Signalized",IF(FQ5="Rural",0.44,0.65),IF(FQ5="Rural",0.36,0.59)),1)</f>
        <v>1</v>
      </c>
      <c r="FT32" s="48">
        <f>IF(FR32="Present",(1-(FN9/SUM(FN6:FN9)))+(FN9/SUM(FN6:FN9))*IF(FQ9="Signalized",IF(FQ5="Rural",0.66,0.68),IF(FQ5="Rural",0.55,0.58)),1)</f>
        <v>1</v>
      </c>
      <c r="FU32" s="229"/>
      <c r="FV32" s="199" t="s">
        <v>173</v>
      </c>
      <c r="FW32" s="199"/>
      <c r="FX32" s="199"/>
      <c r="FY32" s="199"/>
      <c r="FZ32" s="118" t="s">
        <v>129</v>
      </c>
      <c r="GA32" s="47">
        <f>IF(FZ32="Present",(1-(FV9/SUM(FV6:FV9)))+(FV9/SUM(FV6:FV9))*IF(FY9="Signalized",IF(FY5="Rural",0.44,0.65),IF(FY5="Rural",0.36,0.59)),1)</f>
        <v>1</v>
      </c>
      <c r="GB32" s="48">
        <f>IF(FZ32="Present",(1-(FV9/SUM(FV6:FV9)))+(FV9/SUM(FV6:FV9))*IF(FY9="Signalized",IF(FY5="Rural",0.66,0.68),IF(FY5="Rural",0.55,0.58)),1)</f>
        <v>1</v>
      </c>
      <c r="GC32" s="195" t="s">
        <v>109</v>
      </c>
      <c r="GD32" s="194"/>
      <c r="GE32" s="44">
        <f>GE25+GE28+GI25</f>
        <v>0.90603086986240622</v>
      </c>
      <c r="GF32" s="14"/>
      <c r="GG32" s="14"/>
      <c r="GH32" s="14"/>
      <c r="GI32" s="14"/>
      <c r="GJ32" s="25"/>
      <c r="GK32" s="195" t="s">
        <v>109</v>
      </c>
      <c r="GL32" s="194"/>
      <c r="GM32" s="44">
        <f>GM25+GM28+GQ25</f>
        <v>12.016639346491687</v>
      </c>
      <c r="GN32" s="14"/>
      <c r="GO32" s="14"/>
      <c r="GP32" s="14"/>
      <c r="GQ32" s="14"/>
      <c r="GR32" s="25"/>
      <c r="GS32" s="195" t="s">
        <v>109</v>
      </c>
      <c r="GT32" s="194"/>
      <c r="GU32" s="44">
        <f>GU25+GU28+GY25</f>
        <v>0.43042958045181462</v>
      </c>
      <c r="GV32" s="14"/>
      <c r="GW32" s="14"/>
      <c r="GX32" s="14"/>
      <c r="GY32" s="14"/>
      <c r="GZ32" s="25"/>
      <c r="HA32" s="195" t="s">
        <v>109</v>
      </c>
      <c r="HB32" s="194"/>
      <c r="HC32" s="44">
        <f>HC25+HC28+HG25</f>
        <v>4.6324480010763533</v>
      </c>
      <c r="HD32" s="14"/>
      <c r="HE32" s="14"/>
      <c r="HF32" s="14"/>
      <c r="HG32" s="14"/>
      <c r="HH32" s="25"/>
      <c r="HI32" s="195" t="s">
        <v>109</v>
      </c>
      <c r="HJ32" s="194"/>
      <c r="HK32" s="44">
        <f>HK25+HK28+HO25</f>
        <v>2.224251687819732</v>
      </c>
      <c r="HL32" s="14"/>
      <c r="HM32" s="14"/>
      <c r="HN32" s="14"/>
      <c r="HO32" s="14"/>
      <c r="HP32" s="25"/>
    </row>
    <row r="33" spans="1:224" x14ac:dyDescent="0.25">
      <c r="A33" s="106"/>
      <c r="B33" s="204" t="s">
        <v>207</v>
      </c>
      <c r="C33" s="204"/>
      <c r="D33" s="204"/>
      <c r="E33" s="204"/>
      <c r="F33" s="204"/>
      <c r="G33" s="106" t="s">
        <v>19</v>
      </c>
      <c r="H33" s="32" t="s">
        <v>20</v>
      </c>
      <c r="I33" s="106"/>
      <c r="J33" s="204" t="s">
        <v>207</v>
      </c>
      <c r="K33" s="204"/>
      <c r="L33" s="204"/>
      <c r="M33" s="204"/>
      <c r="N33" s="204"/>
      <c r="O33" s="106" t="s">
        <v>19</v>
      </c>
      <c r="P33" s="32" t="s">
        <v>20</v>
      </c>
      <c r="Y33" s="107"/>
      <c r="Z33" s="204" t="s">
        <v>207</v>
      </c>
      <c r="AA33" s="204"/>
      <c r="AB33" s="204"/>
      <c r="AC33" s="204"/>
      <c r="AD33" s="204"/>
      <c r="AE33" s="106" t="s">
        <v>19</v>
      </c>
      <c r="AF33" s="32" t="s">
        <v>20</v>
      </c>
      <c r="AG33" s="107"/>
      <c r="AH33" s="204" t="s">
        <v>207</v>
      </c>
      <c r="AI33" s="204"/>
      <c r="AJ33" s="204"/>
      <c r="AK33" s="204"/>
      <c r="AL33" s="204"/>
      <c r="AM33" s="106" t="s">
        <v>19</v>
      </c>
      <c r="AN33" s="32" t="s">
        <v>20</v>
      </c>
      <c r="AO33" s="116">
        <v>4</v>
      </c>
      <c r="AP33" s="199"/>
      <c r="AQ33" s="199"/>
      <c r="AR33" s="199"/>
      <c r="AS33" s="199"/>
      <c r="AT33" s="199"/>
      <c r="AU33" s="118"/>
      <c r="AV33" s="121"/>
      <c r="AW33" s="116">
        <v>4</v>
      </c>
      <c r="AX33" s="199"/>
      <c r="AY33" s="199"/>
      <c r="AZ33" s="199"/>
      <c r="BA33" s="199"/>
      <c r="BB33" s="199"/>
      <c r="BC33" s="118"/>
      <c r="BD33" s="121"/>
      <c r="BE33" s="116">
        <v>4</v>
      </c>
      <c r="BF33" s="199"/>
      <c r="BG33" s="199"/>
      <c r="BH33" s="199"/>
      <c r="BI33" s="199"/>
      <c r="BJ33" s="199"/>
      <c r="BK33" s="118"/>
      <c r="BL33" s="121"/>
      <c r="BM33" s="116">
        <v>4</v>
      </c>
      <c r="BN33" s="199"/>
      <c r="BO33" s="199"/>
      <c r="BP33" s="199"/>
      <c r="BQ33" s="199"/>
      <c r="BR33" s="199"/>
      <c r="BS33" s="118"/>
      <c r="BT33" s="121"/>
      <c r="DA33" s="116">
        <v>4</v>
      </c>
      <c r="DB33" s="199"/>
      <c r="DC33" s="199"/>
      <c r="DD33" s="199"/>
      <c r="DE33" s="199"/>
      <c r="DF33" s="199"/>
      <c r="DG33" s="118"/>
      <c r="DH33" s="121"/>
      <c r="DI33" s="116">
        <v>4</v>
      </c>
      <c r="DJ33" s="199"/>
      <c r="DK33" s="199"/>
      <c r="DL33" s="199"/>
      <c r="DM33" s="199"/>
      <c r="DN33" s="199"/>
      <c r="DO33" s="118"/>
      <c r="DP33" s="121"/>
      <c r="DQ33" s="116">
        <v>4</v>
      </c>
      <c r="DR33" s="199"/>
      <c r="DS33" s="199"/>
      <c r="DT33" s="199"/>
      <c r="DU33" s="199"/>
      <c r="DV33" s="199"/>
      <c r="DW33" s="118"/>
      <c r="DX33" s="121"/>
      <c r="DY33" s="116">
        <v>4</v>
      </c>
      <c r="DZ33" s="199"/>
      <c r="EA33" s="199"/>
      <c r="EB33" s="199"/>
      <c r="EC33" s="199"/>
      <c r="ED33" s="199"/>
      <c r="EE33" s="118"/>
      <c r="EF33" s="121"/>
      <c r="EG33" s="229">
        <v>12</v>
      </c>
      <c r="EH33" s="199" t="s">
        <v>214</v>
      </c>
      <c r="EI33" s="199"/>
      <c r="EJ33" s="199"/>
      <c r="EK33" s="199"/>
      <c r="EL33" s="118" t="s">
        <v>129</v>
      </c>
      <c r="EM33" s="47">
        <f>IF(EL33="Present",(1-(EH8/SUM(EH6:EH9)))+(EH8/SUM(EH6:EH9))*IF(EK9="Signalized",IF(EK5="Rural",0.59,0.76),IF(EK5="Rural",0.76,0.87)),1)</f>
        <v>1</v>
      </c>
      <c r="EN33" s="48">
        <f>IF(EL33="Present",(1-(EH8/SUM(EH6:EH9)))+(EH8/SUM(EH6:EH9))*IF(EK9="Signalized",IF(EK5="Rural",0.97,0.94),IF(EK5="Rural",0.63,0.69)),1)</f>
        <v>1</v>
      </c>
      <c r="EO33" s="229">
        <v>12</v>
      </c>
      <c r="EP33" s="199" t="s">
        <v>214</v>
      </c>
      <c r="EQ33" s="199"/>
      <c r="ER33" s="199"/>
      <c r="ES33" s="199"/>
      <c r="ET33" s="118" t="s">
        <v>129</v>
      </c>
      <c r="EU33" s="47">
        <f>IF(ET33="Present",(1-(EP8/SUM(EP6:EP9)))+(EP8/SUM(EP6:EP9))*IF(ES9="Signalized",IF(ES5="Rural",0.59,0.76),IF(ES5="Rural",0.76,0.87)),1)</f>
        <v>1</v>
      </c>
      <c r="EV33" s="48">
        <f>IF(ET33="Present",(1-(EP8/SUM(EP6:EP9)))+(EP8/SUM(EP6:EP9))*IF(ES9="Signalized",IF(ES5="Rural",0.97,0.94),IF(ES5="Rural",0.63,0.69)),1)</f>
        <v>1</v>
      </c>
      <c r="FM33" s="229">
        <v>12</v>
      </c>
      <c r="FN33" s="199" t="s">
        <v>214</v>
      </c>
      <c r="FO33" s="199"/>
      <c r="FP33" s="199"/>
      <c r="FQ33" s="199"/>
      <c r="FR33" s="118" t="s">
        <v>129</v>
      </c>
      <c r="FS33" s="47">
        <f>IF(FR33="Present",(1-(FN8/SUM(FN6:FN9)))+(FN8/SUM(FN6:FN9))*IF(FQ9="Signalized",IF(FQ5="Rural",0.59,0.76),IF(FQ5="Rural",0.76,0.87)),1)</f>
        <v>1</v>
      </c>
      <c r="FT33" s="48">
        <f>IF(FR33="Present",(1-(FN8/SUM(FN6:FN9)))+(FN8/SUM(FN6:FN9))*IF(FQ9="Signalized",IF(FQ5="Rural",0.97,0.94),IF(FQ5="Rural",0.63,0.69)),1)</f>
        <v>1</v>
      </c>
      <c r="FU33" s="229">
        <v>12</v>
      </c>
      <c r="FV33" s="199" t="s">
        <v>214</v>
      </c>
      <c r="FW33" s="199"/>
      <c r="FX33" s="199"/>
      <c r="FY33" s="199"/>
      <c r="FZ33" s="118" t="s">
        <v>129</v>
      </c>
      <c r="GA33" s="47">
        <f>IF(FZ33="Present",(1-(FV8/SUM(FV6:FV9)))+(FV8/SUM(FV6:FV9))*IF(FY9="Signalized",IF(FY5="Rural",0.59,0.76),IF(FY5="Rural",0.76,0.87)),1)</f>
        <v>1</v>
      </c>
      <c r="GB33" s="48">
        <f>IF(FZ33="Present",(1-(FV8/SUM(FV6:FV9)))+(FV8/SUM(FV6:FV9))*IF(FY9="Signalized",IF(FY5="Rural",0.97,0.94),IF(FY5="Rural",0.63,0.69)),1)</f>
        <v>1</v>
      </c>
      <c r="GC33" s="195" t="s">
        <v>110</v>
      </c>
      <c r="GD33" s="194"/>
      <c r="GE33" s="44">
        <f>GE26+GE29+GI26</f>
        <v>2.1924945010208154</v>
      </c>
      <c r="GF33" s="14"/>
      <c r="GG33" s="14"/>
      <c r="GH33" s="14"/>
      <c r="GI33" s="14"/>
      <c r="GJ33" s="25"/>
      <c r="GK33" s="195" t="s">
        <v>110</v>
      </c>
      <c r="GL33" s="194"/>
      <c r="GM33" s="44">
        <f>GM26+GM29+GQ26</f>
        <v>31.447187648084693</v>
      </c>
      <c r="GN33" s="14"/>
      <c r="GO33" s="14"/>
      <c r="GP33" s="14"/>
      <c r="GQ33" s="14"/>
      <c r="GR33" s="25"/>
      <c r="GS33" s="195" t="s">
        <v>110</v>
      </c>
      <c r="GT33" s="194"/>
      <c r="GU33" s="44">
        <f>GU26+GU29+GY26</f>
        <v>1.1040342662331863</v>
      </c>
      <c r="GV33" s="14"/>
      <c r="GW33" s="14"/>
      <c r="GX33" s="14"/>
      <c r="GY33" s="14"/>
      <c r="GZ33" s="25"/>
      <c r="HA33" s="195" t="s">
        <v>110</v>
      </c>
      <c r="HB33" s="194"/>
      <c r="HC33" s="44">
        <f>HC26+HC29+HG26</f>
        <v>12.825894231114738</v>
      </c>
      <c r="HD33" s="14"/>
      <c r="HE33" s="14"/>
      <c r="HF33" s="14"/>
      <c r="HG33" s="14"/>
      <c r="HH33" s="25"/>
      <c r="HI33" s="195" t="s">
        <v>110</v>
      </c>
      <c r="HJ33" s="194"/>
      <c r="HK33" s="44">
        <f>HK26+HK29+HO26</f>
        <v>6.1594744730708371</v>
      </c>
      <c r="HL33" s="14"/>
      <c r="HM33" s="14"/>
      <c r="HN33" s="14"/>
      <c r="HO33" s="14"/>
      <c r="HP33" s="25"/>
    </row>
    <row r="34" spans="1:224" x14ac:dyDescent="0.25">
      <c r="A34" s="106">
        <v>4</v>
      </c>
      <c r="B34" s="215" t="s">
        <v>203</v>
      </c>
      <c r="C34" s="217"/>
      <c r="D34" s="63">
        <v>40</v>
      </c>
      <c r="E34" s="59">
        <v>1</v>
      </c>
      <c r="F34" s="61">
        <v>13</v>
      </c>
      <c r="G34" s="47">
        <f>(1-E34)*EXP(-0.00302*(D34-2*F34-48))+E34*EXP(-0.00302*(2*F34-48))</f>
        <v>1.0686968403410602</v>
      </c>
      <c r="H34" s="48">
        <f>(1-E34)*EXP(-0.00291*(D34-2*F34-48))+E34*EXP(-0.00291*(2*F34-48))</f>
        <v>1.0661137208227003</v>
      </c>
      <c r="I34" s="106">
        <v>4</v>
      </c>
      <c r="J34" s="215" t="s">
        <v>203</v>
      </c>
      <c r="K34" s="217"/>
      <c r="L34" s="63">
        <v>40</v>
      </c>
      <c r="M34" s="59">
        <v>1</v>
      </c>
      <c r="N34" s="61">
        <v>13</v>
      </c>
      <c r="O34" s="47">
        <f>(1-M34)*EXP(-0.00302*(L34-2*N34-48))+M34*EXP(-0.00302*(2*N34-48))</f>
        <v>1.0686968403410602</v>
      </c>
      <c r="P34" s="48">
        <f>(1-M34)*EXP(-0.00291*(L34-2*N34-48))+M34*EXP(-0.00291*(2*N34-48))</f>
        <v>1.0661137208227003</v>
      </c>
      <c r="Y34" s="107">
        <v>4</v>
      </c>
      <c r="Z34" s="215" t="s">
        <v>203</v>
      </c>
      <c r="AA34" s="217"/>
      <c r="AB34" s="63">
        <v>40</v>
      </c>
      <c r="AC34" s="59">
        <v>1</v>
      </c>
      <c r="AD34" s="61">
        <v>13</v>
      </c>
      <c r="AE34" s="47">
        <f>(1-AC34)*EXP(-0.00302*(AB34-2*AD34-48))+AC34*EXP(-0.00302*(2*AD34-48))</f>
        <v>1.0686968403410602</v>
      </c>
      <c r="AF34" s="48">
        <f>(1-AC34)*EXP(-0.00291*(AB34-2*AD34-48))+AC34*EXP(-0.00291*(2*AD34-48))</f>
        <v>1.0661137208227003</v>
      </c>
      <c r="AG34" s="107">
        <v>4</v>
      </c>
      <c r="AH34" s="215" t="s">
        <v>203</v>
      </c>
      <c r="AI34" s="217"/>
      <c r="AJ34" s="63">
        <v>40</v>
      </c>
      <c r="AK34" s="59">
        <v>0.5</v>
      </c>
      <c r="AL34" s="61">
        <v>13</v>
      </c>
      <c r="AM34" s="47">
        <f>(1-AK34)*EXP(-0.00302*(AJ34-2*AL34-48))+AK34*EXP(-0.00302*(2*AL34-48))</f>
        <v>1.088416794457435</v>
      </c>
      <c r="AN34" s="48">
        <f>(1-AK34)*EXP(-0.00291*(AJ34-2*AL34-48))+AK34*EXP(-0.00291*(2*AL34-48))</f>
        <v>1.0850568891954442</v>
      </c>
      <c r="AO34" s="116">
        <v>5</v>
      </c>
      <c r="AP34" s="199"/>
      <c r="AQ34" s="199"/>
      <c r="AR34" s="199"/>
      <c r="AS34" s="199"/>
      <c r="AT34" s="199"/>
      <c r="AU34" s="118"/>
      <c r="AV34" s="121"/>
      <c r="AW34" s="116">
        <v>5</v>
      </c>
      <c r="AX34" s="199"/>
      <c r="AY34" s="199"/>
      <c r="AZ34" s="199"/>
      <c r="BA34" s="199"/>
      <c r="BB34" s="199"/>
      <c r="BC34" s="118"/>
      <c r="BD34" s="121"/>
      <c r="BE34" s="116">
        <v>5</v>
      </c>
      <c r="BF34" s="199"/>
      <c r="BG34" s="199"/>
      <c r="BH34" s="199"/>
      <c r="BI34" s="199"/>
      <c r="BJ34" s="199"/>
      <c r="BK34" s="118"/>
      <c r="BL34" s="121"/>
      <c r="BM34" s="116">
        <v>5</v>
      </c>
      <c r="BN34" s="199"/>
      <c r="BO34" s="199"/>
      <c r="BP34" s="199"/>
      <c r="BQ34" s="199"/>
      <c r="BR34" s="199"/>
      <c r="BS34" s="118"/>
      <c r="BT34" s="121"/>
      <c r="DA34" s="116">
        <v>5</v>
      </c>
      <c r="DB34" s="199"/>
      <c r="DC34" s="199"/>
      <c r="DD34" s="199"/>
      <c r="DE34" s="199"/>
      <c r="DF34" s="199"/>
      <c r="DG34" s="118"/>
      <c r="DH34" s="121"/>
      <c r="DI34" s="116">
        <v>5</v>
      </c>
      <c r="DJ34" s="199"/>
      <c r="DK34" s="199"/>
      <c r="DL34" s="199"/>
      <c r="DM34" s="199"/>
      <c r="DN34" s="199"/>
      <c r="DO34" s="118"/>
      <c r="DP34" s="121"/>
      <c r="DQ34" s="116">
        <v>5</v>
      </c>
      <c r="DR34" s="199"/>
      <c r="DS34" s="199"/>
      <c r="DT34" s="199"/>
      <c r="DU34" s="199"/>
      <c r="DV34" s="199"/>
      <c r="DW34" s="118"/>
      <c r="DX34" s="121"/>
      <c r="DY34" s="116">
        <v>5</v>
      </c>
      <c r="DZ34" s="199"/>
      <c r="EA34" s="199"/>
      <c r="EB34" s="199"/>
      <c r="EC34" s="199"/>
      <c r="ED34" s="199"/>
      <c r="EE34" s="118"/>
      <c r="EF34" s="121"/>
      <c r="EG34" s="229"/>
      <c r="EH34" s="199" t="s">
        <v>175</v>
      </c>
      <c r="EI34" s="199"/>
      <c r="EJ34" s="199"/>
      <c r="EK34" s="199"/>
      <c r="EL34" s="118" t="s">
        <v>128</v>
      </c>
      <c r="EM34" s="47">
        <f>IF(EL34="Present",(1-(EH9/SUM(EH6:EH9)))+(EH9/SUM(EH6:EH9))*IF(EK9="Signalized",IF(EK5="Rural",0.59,0.76),IF(EK5="Rural",0.76,0.87)),1)</f>
        <v>0.93727647867950481</v>
      </c>
      <c r="EN34" s="48">
        <f>IF(EL34="Present",(1-(EH9/SUM(EH6:EH9)))+(EH9/SUM(EH6:EH9))*IF(EK9="Signalized",IF(EK5="Rural",0.97,0.94),IF(EK5="Rural",0.63,0.69)),1)</f>
        <v>0.98431911966987617</v>
      </c>
      <c r="EO34" s="229"/>
      <c r="EP34" s="199" t="s">
        <v>175</v>
      </c>
      <c r="EQ34" s="199"/>
      <c r="ER34" s="199"/>
      <c r="ES34" s="199"/>
      <c r="ET34" s="118" t="s">
        <v>129</v>
      </c>
      <c r="EU34" s="47">
        <f>IF(ET34="Present",(1-(EP9/SUM(EP6:EP9)))+(EP9/SUM(EP6:EP9))*IF(ES9="Signalized",IF(ES5="Rural",0.59,0.76),IF(ES5="Rural",0.76,0.87)),1)</f>
        <v>1</v>
      </c>
      <c r="EV34" s="48">
        <f>IF(ET34="Present",(1-(EP9/SUM(EP6:EP9)))+(EP9/SUM(EP6:EP9))*IF(ES9="Signalized",IF(ES5="Rural",0.97,0.94),IF(ES5="Rural",0.63,0.69)),1)</f>
        <v>1</v>
      </c>
      <c r="FM34" s="229"/>
      <c r="FN34" s="199" t="s">
        <v>175</v>
      </c>
      <c r="FO34" s="199"/>
      <c r="FP34" s="199"/>
      <c r="FQ34" s="199"/>
      <c r="FR34" s="118" t="s">
        <v>129</v>
      </c>
      <c r="FS34" s="47">
        <f>IF(FR34="Present",(1-(FN9/SUM(FN6:FN9)))+(FN9/SUM(FN6:FN9))*IF(FQ9="Signalized",IF(FQ5="Rural",0.59,0.76),IF(FQ5="Rural",0.76,0.87)),1)</f>
        <v>1</v>
      </c>
      <c r="FT34" s="48">
        <f>IF(FR34="Present",(1-(FN9/SUM(FN6:FN9)))+(FN9/SUM(FN6:FN9))*IF(FQ9="Signalized",IF(FQ5="Rural",0.97,0.94),IF(FQ5="Rural",0.63,0.69)),1)</f>
        <v>1</v>
      </c>
      <c r="FU34" s="229"/>
      <c r="FV34" s="199" t="s">
        <v>175</v>
      </c>
      <c r="FW34" s="199"/>
      <c r="FX34" s="199"/>
      <c r="FY34" s="199"/>
      <c r="FZ34" s="118" t="s">
        <v>129</v>
      </c>
      <c r="GA34" s="47">
        <f>IF(FZ34="Present",(1-(FV9/SUM(FV6:FV9)))+(FV9/SUM(FV6:FV9))*IF(FY9="Signalized",IF(FY5="Rural",0.59,0.76),IF(FY5="Rural",0.76,0.87)),1)</f>
        <v>1</v>
      </c>
      <c r="GB34" s="48">
        <f>IF(FZ34="Present",(1-(FV9/SUM(FV6:FV9)))+(FV9/SUM(FV6:FV9))*IF(FY9="Signalized",IF(FY5="Rural",0.97,0.94),IF(FY5="Rural",0.63,0.69)),1)</f>
        <v>1</v>
      </c>
      <c r="GC34" s="24"/>
      <c r="GD34" s="14"/>
      <c r="GE34" s="14"/>
      <c r="GF34" s="14"/>
      <c r="GG34" s="14"/>
      <c r="GH34" s="14"/>
      <c r="GI34" s="14"/>
      <c r="GJ34" s="25"/>
      <c r="GK34" s="24"/>
      <c r="GL34" s="14"/>
      <c r="GM34" s="14"/>
      <c r="GN34" s="14"/>
      <c r="GO34" s="14"/>
      <c r="GP34" s="14"/>
      <c r="GQ34" s="14"/>
      <c r="GR34" s="25"/>
      <c r="GS34" s="24"/>
      <c r="GT34" s="14"/>
      <c r="GU34" s="14"/>
      <c r="GV34" s="14"/>
      <c r="GW34" s="14"/>
      <c r="GX34" s="14"/>
      <c r="GY34" s="14"/>
      <c r="GZ34" s="25"/>
      <c r="HA34" s="24"/>
      <c r="HB34" s="14"/>
      <c r="HC34" s="14"/>
      <c r="HD34" s="14"/>
      <c r="HE34" s="14"/>
      <c r="HF34" s="14"/>
      <c r="HG34" s="14"/>
      <c r="HH34" s="25"/>
      <c r="HI34" s="24"/>
      <c r="HJ34" s="14"/>
      <c r="HK34" s="14"/>
      <c r="HL34" s="14"/>
      <c r="HM34" s="14"/>
      <c r="HN34" s="14"/>
      <c r="HO34" s="14"/>
      <c r="HP34" s="25"/>
    </row>
    <row r="35" spans="1:224" x14ac:dyDescent="0.25">
      <c r="A35" s="106">
        <v>6</v>
      </c>
      <c r="B35" s="215" t="s">
        <v>205</v>
      </c>
      <c r="C35" s="217"/>
      <c r="D35" s="233">
        <v>0.1</v>
      </c>
      <c r="E35" s="234"/>
      <c r="F35" s="235"/>
      <c r="G35" s="47">
        <f>EXP(0.35*D35)</f>
        <v>1.0356197087996233</v>
      </c>
      <c r="H35" s="48">
        <f>EXP(0.283*D35)</f>
        <v>1.0287042494091854</v>
      </c>
      <c r="I35" s="106">
        <v>6</v>
      </c>
      <c r="J35" s="215" t="s">
        <v>205</v>
      </c>
      <c r="K35" s="217"/>
      <c r="L35" s="233">
        <v>0.1</v>
      </c>
      <c r="M35" s="234"/>
      <c r="N35" s="235"/>
      <c r="O35" s="47">
        <f>EXP(0.35*L35)</f>
        <v>1.0356197087996233</v>
      </c>
      <c r="P35" s="48">
        <f>EXP(0.283*L35)</f>
        <v>1.0287042494091854</v>
      </c>
      <c r="Y35" s="107">
        <v>6</v>
      </c>
      <c r="Z35" s="215" t="s">
        <v>205</v>
      </c>
      <c r="AA35" s="217"/>
      <c r="AB35" s="233">
        <v>0.1</v>
      </c>
      <c r="AC35" s="234"/>
      <c r="AD35" s="235"/>
      <c r="AE35" s="47">
        <f>EXP(0.35*AB35)</f>
        <v>1.0356197087996233</v>
      </c>
      <c r="AF35" s="48">
        <f>EXP(0.283*AB35)</f>
        <v>1.0287042494091854</v>
      </c>
      <c r="AG35" s="107">
        <v>6</v>
      </c>
      <c r="AH35" s="215" t="s">
        <v>205</v>
      </c>
      <c r="AI35" s="217"/>
      <c r="AJ35" s="233">
        <v>0.1</v>
      </c>
      <c r="AK35" s="234"/>
      <c r="AL35" s="235"/>
      <c r="AM35" s="47">
        <f>EXP(0.35*AJ35)</f>
        <v>1.0356197087996233</v>
      </c>
      <c r="AN35" s="48">
        <f>EXP(0.283*AJ35)</f>
        <v>1.0287042494091854</v>
      </c>
      <c r="AO35" s="116">
        <v>6</v>
      </c>
      <c r="AP35" s="199"/>
      <c r="AQ35" s="199"/>
      <c r="AR35" s="199"/>
      <c r="AS35" s="199"/>
      <c r="AT35" s="199"/>
      <c r="AU35" s="118"/>
      <c r="AV35" s="121"/>
      <c r="AW35" s="116">
        <v>6</v>
      </c>
      <c r="AX35" s="199"/>
      <c r="AY35" s="199"/>
      <c r="AZ35" s="199"/>
      <c r="BA35" s="199"/>
      <c r="BB35" s="199"/>
      <c r="BC35" s="118"/>
      <c r="BD35" s="121"/>
      <c r="BE35" s="116">
        <v>6</v>
      </c>
      <c r="BF35" s="199"/>
      <c r="BG35" s="199"/>
      <c r="BH35" s="199"/>
      <c r="BI35" s="199"/>
      <c r="BJ35" s="199"/>
      <c r="BK35" s="118"/>
      <c r="BL35" s="121"/>
      <c r="BM35" s="116">
        <v>6</v>
      </c>
      <c r="BN35" s="199"/>
      <c r="BO35" s="199"/>
      <c r="BP35" s="199"/>
      <c r="BQ35" s="199"/>
      <c r="BR35" s="199"/>
      <c r="BS35" s="118"/>
      <c r="BT35" s="121"/>
      <c r="DA35" s="116">
        <v>6</v>
      </c>
      <c r="DB35" s="199"/>
      <c r="DC35" s="199"/>
      <c r="DD35" s="199"/>
      <c r="DE35" s="199"/>
      <c r="DF35" s="199"/>
      <c r="DG35" s="118"/>
      <c r="DH35" s="121"/>
      <c r="DI35" s="116">
        <v>6</v>
      </c>
      <c r="DJ35" s="199"/>
      <c r="DK35" s="199"/>
      <c r="DL35" s="199"/>
      <c r="DM35" s="199"/>
      <c r="DN35" s="199"/>
      <c r="DO35" s="118"/>
      <c r="DP35" s="121"/>
      <c r="DQ35" s="116">
        <v>6</v>
      </c>
      <c r="DR35" s="199"/>
      <c r="DS35" s="199"/>
      <c r="DT35" s="199"/>
      <c r="DU35" s="199"/>
      <c r="DV35" s="199"/>
      <c r="DW35" s="118"/>
      <c r="DX35" s="121"/>
      <c r="DY35" s="116">
        <v>6</v>
      </c>
      <c r="DZ35" s="199"/>
      <c r="EA35" s="199"/>
      <c r="EB35" s="199"/>
      <c r="EC35" s="199"/>
      <c r="ED35" s="199"/>
      <c r="EE35" s="118"/>
      <c r="EF35" s="121"/>
      <c r="EG35" s="114">
        <v>13</v>
      </c>
      <c r="EH35" s="199" t="s">
        <v>176</v>
      </c>
      <c r="EI35" s="199"/>
      <c r="EJ35" s="199"/>
      <c r="EK35" s="92">
        <v>1</v>
      </c>
      <c r="EL35" s="50">
        <v>0</v>
      </c>
      <c r="EM35" s="47">
        <f>(1-(EH9/SUM(EH6:EH9)))+(EH9/SUM(EH6:EH9))*EXP(IF(EK9="Signalized",0.158,0)*EK35+IF(EK9="Signalized",0.158,0.522)*EL35)</f>
        <v>1.0447339435962273</v>
      </c>
      <c r="EN35" s="48">
        <f>(1-(EH9/SUM(EH6:EH9)))+(EH9/SUM(EH6:EH9))*EXP(IF(EK9="Signalized",0.203,0)*EK35+IF(EK9="Signalized",0.203,0)*EL35)</f>
        <v>1.0588222406699104</v>
      </c>
      <c r="EO35" s="114">
        <v>13</v>
      </c>
      <c r="EP35" s="199" t="s">
        <v>176</v>
      </c>
      <c r="EQ35" s="199"/>
      <c r="ER35" s="199"/>
      <c r="ES35" s="92">
        <v>1</v>
      </c>
      <c r="ET35" s="50">
        <v>0</v>
      </c>
      <c r="EU35" s="47">
        <f>(1-(EP9/SUM(EP6:EP9)))+(EP9/SUM(EP6:EP9))*EXP(IF(ES9="Signalized",0.158,0)*ES35+IF(ES9="Signalized",0.158,0.522)*ET35)</f>
        <v>1.0749157464943178</v>
      </c>
      <c r="EV35" s="48">
        <f>(1-(EP9/SUM(EP6:EP9)))+(EP9/SUM(EP6:EP9))*EXP(IF(ES9="Signalized",0.203,0)*ES35+IF(ES9="Signalized",0.203,0)*ET35)</f>
        <v>1.0985093581292575</v>
      </c>
      <c r="FM35" s="114">
        <v>13</v>
      </c>
      <c r="FN35" s="199" t="s">
        <v>176</v>
      </c>
      <c r="FO35" s="199"/>
      <c r="FP35" s="199"/>
      <c r="FQ35" s="92">
        <v>3</v>
      </c>
      <c r="FR35" s="50">
        <v>0</v>
      </c>
      <c r="FS35" s="47">
        <f>(1-(FN9/SUM(FN6:FN9)))+(FN9/SUM(FN6:FN9))*EXP(IF(FQ9="Signalized",0.158,0)*FQ35+IF(FQ9="Signalized",0.158,0.522)*FR35)</f>
        <v>1.2561308050230142</v>
      </c>
      <c r="FT35" s="48">
        <f>(1-(FN9/SUM(FN6:FN9)))+(FN9/SUM(FN6:FN9))*EXP(IF(FQ9="Signalized",0.203,0)*FQ35+IF(FQ9="Signalized",0.203,0)*FR35)</f>
        <v>1.354199769746576</v>
      </c>
      <c r="FU35" s="114">
        <v>13</v>
      </c>
      <c r="FV35" s="199" t="s">
        <v>176</v>
      </c>
      <c r="FW35" s="199"/>
      <c r="FX35" s="199"/>
      <c r="FY35" s="92">
        <v>3</v>
      </c>
      <c r="FZ35" s="50">
        <v>0</v>
      </c>
      <c r="GA35" s="47">
        <f>(1-(FV9/SUM(FV6:FV9)))+(FV9/SUM(FV6:FV9))*EXP(IF(FY9="Signalized",0.158,0)*FY35+IF(FY9="Signalized",0.158,0.522)*FZ35)</f>
        <v>1.2058300478161095</v>
      </c>
      <c r="GB35" s="48">
        <f>(1-(FV9/SUM(FV6:FV9)))+(FV9/SUM(FV6:FV9))*EXP(IF(FY9="Signalized",0.203,0)*FY35+IF(FY9="Signalized",0.203,0)*FZ35)</f>
        <v>1.2846395439894156</v>
      </c>
      <c r="GC35" s="24"/>
      <c r="GD35" s="14"/>
      <c r="GE35" s="14"/>
      <c r="GF35" s="14"/>
      <c r="GG35" s="14"/>
      <c r="GH35" s="14"/>
      <c r="GI35" s="14"/>
      <c r="GJ35" s="25"/>
      <c r="GK35" s="24"/>
      <c r="GL35" s="14"/>
      <c r="GM35" s="14"/>
      <c r="GN35" s="14"/>
      <c r="GO35" s="14"/>
      <c r="GP35" s="14"/>
      <c r="GQ35" s="14"/>
      <c r="GR35" s="25"/>
      <c r="GS35" s="24"/>
      <c r="GT35" s="14"/>
      <c r="GU35" s="14"/>
      <c r="GV35" s="14"/>
      <c r="GW35" s="14"/>
      <c r="GX35" s="14"/>
      <c r="GY35" s="14"/>
      <c r="GZ35" s="25"/>
      <c r="HA35" s="24"/>
      <c r="HB35" s="14"/>
      <c r="HC35" s="14"/>
      <c r="HD35" s="14"/>
      <c r="HE35" s="14"/>
      <c r="HF35" s="14"/>
      <c r="HG35" s="14"/>
      <c r="HH35" s="25"/>
      <c r="HI35" s="24"/>
      <c r="HJ35" s="14"/>
      <c r="HK35" s="14"/>
      <c r="HL35" s="14"/>
      <c r="HM35" s="14"/>
      <c r="HN35" s="14"/>
      <c r="HO35" s="14"/>
      <c r="HP35" s="25"/>
    </row>
    <row r="36" spans="1:224" x14ac:dyDescent="0.25">
      <c r="A36" s="106">
        <v>7</v>
      </c>
      <c r="B36" s="203" t="s">
        <v>347</v>
      </c>
      <c r="C36" s="203"/>
      <c r="D36" s="203"/>
      <c r="E36" s="203"/>
      <c r="F36" s="203"/>
      <c r="G36" s="47">
        <v>1</v>
      </c>
      <c r="H36" s="48">
        <v>1</v>
      </c>
      <c r="I36" s="106">
        <v>7</v>
      </c>
      <c r="J36" s="203" t="s">
        <v>347</v>
      </c>
      <c r="K36" s="203"/>
      <c r="L36" s="203"/>
      <c r="M36" s="203"/>
      <c r="N36" s="203"/>
      <c r="O36" s="47">
        <v>1</v>
      </c>
      <c r="P36" s="48">
        <v>1</v>
      </c>
      <c r="Y36" s="107">
        <v>7</v>
      </c>
      <c r="Z36" s="199" t="s">
        <v>347</v>
      </c>
      <c r="AA36" s="199"/>
      <c r="AB36" s="199"/>
      <c r="AC36" s="199"/>
      <c r="AD36" s="199"/>
      <c r="AE36" s="47">
        <v>1</v>
      </c>
      <c r="AF36" s="48">
        <v>1</v>
      </c>
      <c r="AG36" s="107">
        <v>7</v>
      </c>
      <c r="AH36" s="199" t="s">
        <v>347</v>
      </c>
      <c r="AI36" s="199"/>
      <c r="AJ36" s="199"/>
      <c r="AK36" s="199"/>
      <c r="AL36" s="199"/>
      <c r="AM36" s="47">
        <v>1</v>
      </c>
      <c r="AN36" s="48">
        <v>1</v>
      </c>
      <c r="AO36" s="116">
        <v>7</v>
      </c>
      <c r="AP36" s="199"/>
      <c r="AQ36" s="199"/>
      <c r="AR36" s="199"/>
      <c r="AS36" s="199"/>
      <c r="AT36" s="199"/>
      <c r="AU36" s="118"/>
      <c r="AV36" s="121"/>
      <c r="AW36" s="116">
        <v>7</v>
      </c>
      <c r="AX36" s="199"/>
      <c r="AY36" s="199"/>
      <c r="AZ36" s="199"/>
      <c r="BA36" s="199"/>
      <c r="BB36" s="199"/>
      <c r="BC36" s="118"/>
      <c r="BD36" s="121"/>
      <c r="BE36" s="116">
        <v>7</v>
      </c>
      <c r="BF36" s="199"/>
      <c r="BG36" s="199"/>
      <c r="BH36" s="199"/>
      <c r="BI36" s="199"/>
      <c r="BJ36" s="199"/>
      <c r="BK36" s="118"/>
      <c r="BL36" s="121"/>
      <c r="BM36" s="116">
        <v>7</v>
      </c>
      <c r="BN36" s="199"/>
      <c r="BO36" s="199"/>
      <c r="BP36" s="199"/>
      <c r="BQ36" s="199"/>
      <c r="BR36" s="199"/>
      <c r="BS36" s="118"/>
      <c r="BT36" s="121"/>
      <c r="DA36" s="116">
        <v>7</v>
      </c>
      <c r="DB36" s="199"/>
      <c r="DC36" s="199"/>
      <c r="DD36" s="199"/>
      <c r="DE36" s="199"/>
      <c r="DF36" s="199"/>
      <c r="DG36" s="118"/>
      <c r="DH36" s="121"/>
      <c r="DI36" s="116">
        <v>7</v>
      </c>
      <c r="DJ36" s="199"/>
      <c r="DK36" s="199"/>
      <c r="DL36" s="199"/>
      <c r="DM36" s="199"/>
      <c r="DN36" s="199"/>
      <c r="DO36" s="118"/>
      <c r="DP36" s="121"/>
      <c r="DQ36" s="116">
        <v>7</v>
      </c>
      <c r="DR36" s="199"/>
      <c r="DS36" s="199"/>
      <c r="DT36" s="199"/>
      <c r="DU36" s="199"/>
      <c r="DV36" s="199"/>
      <c r="DW36" s="118"/>
      <c r="DX36" s="121"/>
      <c r="DY36" s="116">
        <v>7</v>
      </c>
      <c r="DZ36" s="199"/>
      <c r="EA36" s="199"/>
      <c r="EB36" s="199"/>
      <c r="EC36" s="199"/>
      <c r="ED36" s="199"/>
      <c r="EE36" s="118"/>
      <c r="EF36" s="121"/>
      <c r="EG36" s="45">
        <v>14</v>
      </c>
      <c r="EH36" s="199" t="s">
        <v>177</v>
      </c>
      <c r="EI36" s="199"/>
      <c r="EJ36" s="199"/>
      <c r="EK36" s="124">
        <f>500/5280</f>
        <v>9.4696969696969696E-2</v>
      </c>
      <c r="EL36" s="124">
        <f>500/5280</f>
        <v>9.4696969696969696E-2</v>
      </c>
      <c r="EM36" s="47">
        <f>EXP(IF(EK9="Signalized",-0.0185,-0.0141)*((1/EK36)+(1/EL36)-0.333))</f>
        <v>0.68075044073693614</v>
      </c>
      <c r="EN36" s="48">
        <f>EXP(IF(EK9="Signalized",-0.0186,0)*((1/EK36)+(1/EL36)-0.33))</f>
        <v>0.6792989285986144</v>
      </c>
      <c r="EO36" s="45">
        <v>14</v>
      </c>
      <c r="EP36" s="199" t="s">
        <v>177</v>
      </c>
      <c r="EQ36" s="199"/>
      <c r="ER36" s="199"/>
      <c r="ES36" s="124">
        <f>500/5280</f>
        <v>9.4696969696969696E-2</v>
      </c>
      <c r="ET36" s="124">
        <f>500/5280</f>
        <v>9.4696969696969696E-2</v>
      </c>
      <c r="EU36" s="47">
        <f>EXP(IF(ES9="Signalized",-0.0185,-0.0141)*((1/ES36)+(1/ET36)-0.333))</f>
        <v>0.68075044073693614</v>
      </c>
      <c r="EV36" s="48">
        <f>EXP(IF(ES9="Signalized",-0.0186,0)*((1/ES36)+(1/ET36)-0.33))</f>
        <v>0.6792989285986144</v>
      </c>
      <c r="FM36" s="45">
        <v>14</v>
      </c>
      <c r="FN36" s="199" t="s">
        <v>177</v>
      </c>
      <c r="FO36" s="199"/>
      <c r="FP36" s="199"/>
      <c r="FQ36" s="97">
        <f>500/5280</f>
        <v>9.4696969696969696E-2</v>
      </c>
      <c r="FR36" s="98">
        <f>4800/5280</f>
        <v>0.90909090909090906</v>
      </c>
      <c r="FS36" s="47">
        <f>EXP(IF(FQ9="Signalized",-0.0185,-0.0141)*((1/FQ36)+(1/FR36)-0.333))</f>
        <v>0.81094949643948755</v>
      </c>
      <c r="FT36" s="48">
        <f>EXP(IF(FQ9="Signalized",-0.0186,0)*((1/FQ36)+(1/FR36)-0.33))</f>
        <v>0.80998625548229219</v>
      </c>
      <c r="FU36" s="45">
        <v>14</v>
      </c>
      <c r="FV36" s="199" t="s">
        <v>177</v>
      </c>
      <c r="FW36" s="199"/>
      <c r="FX36" s="199"/>
      <c r="FY36" s="97">
        <f>500/5280</f>
        <v>9.4696969696969696E-2</v>
      </c>
      <c r="FZ36" s="98">
        <f>1300/5280</f>
        <v>0.24621212121212122</v>
      </c>
      <c r="GA36" s="47">
        <f>EXP(IF(FY9="Signalized",-0.0185,-0.0141)*((1/FY36)+(1/FZ36)-0.333))</f>
        <v>0.76771403799100713</v>
      </c>
      <c r="GB36" s="48">
        <f>EXP(IF(FY9="Signalized",-0.0186,0)*((1/FY36)+(1/FZ36)-0.33))</f>
        <v>0.76657509406969881</v>
      </c>
      <c r="GC36" s="31"/>
      <c r="GD36" s="204" t="s">
        <v>45</v>
      </c>
      <c r="GE36" s="204"/>
      <c r="GF36" s="204"/>
      <c r="GG36" s="204"/>
      <c r="GH36" s="204"/>
      <c r="GI36" s="106" t="s">
        <v>19</v>
      </c>
      <c r="GJ36" s="32" t="s">
        <v>20</v>
      </c>
      <c r="GK36" s="31"/>
      <c r="GL36" s="204" t="s">
        <v>45</v>
      </c>
      <c r="GM36" s="204"/>
      <c r="GN36" s="204"/>
      <c r="GO36" s="204"/>
      <c r="GP36" s="204"/>
      <c r="GQ36" s="106" t="s">
        <v>19</v>
      </c>
      <c r="GR36" s="32" t="s">
        <v>20</v>
      </c>
      <c r="GS36" s="31"/>
      <c r="GT36" s="204" t="s">
        <v>45</v>
      </c>
      <c r="GU36" s="204"/>
      <c r="GV36" s="204"/>
      <c r="GW36" s="204"/>
      <c r="GX36" s="204"/>
      <c r="GY36" s="112" t="s">
        <v>19</v>
      </c>
      <c r="GZ36" s="32" t="s">
        <v>20</v>
      </c>
      <c r="HA36" s="31"/>
      <c r="HB36" s="204" t="s">
        <v>45</v>
      </c>
      <c r="HC36" s="204"/>
      <c r="HD36" s="204"/>
      <c r="HE36" s="204"/>
      <c r="HF36" s="204"/>
      <c r="HG36" s="112" t="s">
        <v>19</v>
      </c>
      <c r="HH36" s="32" t="s">
        <v>20</v>
      </c>
      <c r="HI36" s="31"/>
      <c r="HJ36" s="204" t="s">
        <v>45</v>
      </c>
      <c r="HK36" s="204"/>
      <c r="HL36" s="204"/>
      <c r="HM36" s="204"/>
      <c r="HN36" s="204"/>
      <c r="HO36" s="112" t="s">
        <v>19</v>
      </c>
      <c r="HP36" s="32" t="s">
        <v>20</v>
      </c>
    </row>
    <row r="37" spans="1:224" x14ac:dyDescent="0.25">
      <c r="A37" s="106" t="s">
        <v>208</v>
      </c>
      <c r="B37" s="225"/>
      <c r="C37" s="230"/>
      <c r="D37" s="230"/>
      <c r="E37" s="230"/>
      <c r="F37" s="231"/>
      <c r="G37" s="109"/>
      <c r="H37" s="110"/>
      <c r="I37" s="106" t="s">
        <v>208</v>
      </c>
      <c r="J37" s="225"/>
      <c r="K37" s="230"/>
      <c r="L37" s="230"/>
      <c r="M37" s="230"/>
      <c r="N37" s="231"/>
      <c r="O37" s="109"/>
      <c r="P37" s="110"/>
      <c r="Y37" s="107" t="s">
        <v>208</v>
      </c>
      <c r="Z37" s="225"/>
      <c r="AA37" s="230"/>
      <c r="AB37" s="230"/>
      <c r="AC37" s="230"/>
      <c r="AD37" s="231"/>
      <c r="AE37" s="109"/>
      <c r="AF37" s="110"/>
      <c r="AG37" s="107" t="s">
        <v>208</v>
      </c>
      <c r="AH37" s="225"/>
      <c r="AI37" s="230"/>
      <c r="AJ37" s="230"/>
      <c r="AK37" s="230"/>
      <c r="AL37" s="231"/>
      <c r="AM37" s="109"/>
      <c r="AN37" s="110"/>
      <c r="AO37" s="116">
        <v>8</v>
      </c>
      <c r="AP37" s="199"/>
      <c r="AQ37" s="199"/>
      <c r="AR37" s="199"/>
      <c r="AS37" s="199"/>
      <c r="AT37" s="199"/>
      <c r="AU37" s="118"/>
      <c r="AV37" s="121"/>
      <c r="AW37" s="116">
        <v>8</v>
      </c>
      <c r="AX37" s="199"/>
      <c r="AY37" s="199"/>
      <c r="AZ37" s="199"/>
      <c r="BA37" s="199"/>
      <c r="BB37" s="199"/>
      <c r="BC37" s="118"/>
      <c r="BD37" s="121"/>
      <c r="BE37" s="116">
        <v>8</v>
      </c>
      <c r="BF37" s="199"/>
      <c r="BG37" s="199"/>
      <c r="BH37" s="199"/>
      <c r="BI37" s="199"/>
      <c r="BJ37" s="199"/>
      <c r="BK37" s="118"/>
      <c r="BL37" s="121"/>
      <c r="BM37" s="116">
        <v>8</v>
      </c>
      <c r="BN37" s="199"/>
      <c r="BO37" s="199"/>
      <c r="BP37" s="199"/>
      <c r="BQ37" s="199"/>
      <c r="BR37" s="199"/>
      <c r="BS37" s="118"/>
      <c r="BT37" s="121"/>
      <c r="DA37" s="116">
        <v>8</v>
      </c>
      <c r="DB37" s="199"/>
      <c r="DC37" s="199"/>
      <c r="DD37" s="199"/>
      <c r="DE37" s="199"/>
      <c r="DF37" s="199"/>
      <c r="DG37" s="118"/>
      <c r="DH37" s="121"/>
      <c r="DI37" s="116">
        <v>8</v>
      </c>
      <c r="DJ37" s="199"/>
      <c r="DK37" s="199"/>
      <c r="DL37" s="199"/>
      <c r="DM37" s="199"/>
      <c r="DN37" s="199"/>
      <c r="DO37" s="118"/>
      <c r="DP37" s="121"/>
      <c r="DQ37" s="116">
        <v>8</v>
      </c>
      <c r="DR37" s="199"/>
      <c r="DS37" s="199"/>
      <c r="DT37" s="199"/>
      <c r="DU37" s="199"/>
      <c r="DV37" s="199"/>
      <c r="DW37" s="118"/>
      <c r="DX37" s="121"/>
      <c r="DY37" s="116">
        <v>8</v>
      </c>
      <c r="DZ37" s="199"/>
      <c r="EA37" s="199"/>
      <c r="EB37" s="199"/>
      <c r="EC37" s="199"/>
      <c r="ED37" s="199"/>
      <c r="EE37" s="118"/>
      <c r="EF37" s="121"/>
      <c r="EG37" s="229">
        <v>15</v>
      </c>
      <c r="EH37" s="199" t="s">
        <v>179</v>
      </c>
      <c r="EI37" s="199"/>
      <c r="EJ37" s="199"/>
      <c r="EK37" s="63">
        <v>0</v>
      </c>
      <c r="EL37" s="93">
        <v>12</v>
      </c>
      <c r="EM37" s="47">
        <f>(1-(EH8/SUM(EH6:EH9)))+(EH8/SUM(EH6:EH9))*EXP(IF(EK9="Signalized",0.0287+(-0.00074)*0.001*EH8,-0.00322+(0.00354)*0.001*EH8)*MAX(0,EK37-MAX(12,EL37)))</f>
        <v>1</v>
      </c>
      <c r="EN37" s="48">
        <f>IF(EK9="Signalized",(1-(EH8/SUM(EH6:EH9)))+(EH8/SUM(EH6:EH9))*EXP((0.061+(-0.00246)*0.001*EH8)*MAX(0,EK37-MAX(12,EL37))),1)</f>
        <v>1</v>
      </c>
      <c r="EO37" s="229">
        <v>15</v>
      </c>
      <c r="EP37" s="199" t="s">
        <v>179</v>
      </c>
      <c r="EQ37" s="199"/>
      <c r="ER37" s="199"/>
      <c r="ES37" s="63">
        <v>0</v>
      </c>
      <c r="ET37" s="93">
        <v>12</v>
      </c>
      <c r="EU37" s="47">
        <f>(1-(EP8/SUM(EP6:EP9)))+(EP8/SUM(EP6:EP9))*EXP(IF(ES9="Signalized",0.0287+(-0.00074)*0.001*EP8,-0.00322+(0.00354)*0.001*EP8)*MAX(0,ES37-MAX(12,ET37)))</f>
        <v>1</v>
      </c>
      <c r="EV37" s="48">
        <f>IF(ES9="Signalized",(1-(EP8/SUM(EP6:EP9)))+(EP8/SUM(EP6:EP9))*EXP((0.061+(-0.00246)*0.001*EP8)*MAX(0,ES37-MAX(12,ET37))),1)</f>
        <v>1</v>
      </c>
      <c r="FM37" s="229">
        <v>15</v>
      </c>
      <c r="FN37" s="199" t="s">
        <v>179</v>
      </c>
      <c r="FO37" s="199"/>
      <c r="FP37" s="199"/>
      <c r="FQ37" s="63">
        <v>30</v>
      </c>
      <c r="FR37" s="93">
        <v>12</v>
      </c>
      <c r="FS37" s="47">
        <f>(1-(FN8/SUM(FN6:FN9)))+(FN8/SUM(FN6:FN9))*EXP(IF(FQ9="Signalized",0.0287+(-0.00074)*0.001*FN8,-0.00322+(0.00354)*0.001*FN8)*MAX(0,FQ37-MAX(12,FR37)))</f>
        <v>1.0366357984935957</v>
      </c>
      <c r="FT37" s="48">
        <f>IF(FQ9="Signalized",(1-(FN8/SUM(FN6:FN9)))+(FN8/SUM(FN6:FN9))*EXP((0.061+(-0.00246)*0.001*FN8)*MAX(0,FQ37-MAX(12,FR37))),1)</f>
        <v>0.90764954141722953</v>
      </c>
      <c r="FU37" s="229">
        <v>15</v>
      </c>
      <c r="FV37" s="199" t="s">
        <v>179</v>
      </c>
      <c r="FW37" s="199"/>
      <c r="FX37" s="199"/>
      <c r="FY37" s="63">
        <v>30</v>
      </c>
      <c r="FZ37" s="93">
        <v>12</v>
      </c>
      <c r="GA37" s="47">
        <f>(1-(FV8/SUM(FV6:FV9)))+(FV8/SUM(FV6:FV9))*EXP(IF(FY9="Signalized",0.0287+(-0.00074)*0.001*FV8,-0.00322+(0.00354)*0.001*FV8)*MAX(0,FY37-MAX(12,FZ37)))</f>
        <v>1.0418968139430675</v>
      </c>
      <c r="GB37" s="48">
        <f>IF(FY9="Signalized",(1-(FV8/SUM(FV6:FV9)))+(FV8/SUM(FV6:FV9))*EXP((0.061+(-0.00246)*0.001*FV8)*MAX(0,FY37-MAX(12,FZ37))),1)</f>
        <v>0.89438772621604845</v>
      </c>
      <c r="GC37" s="111">
        <v>1</v>
      </c>
      <c r="GD37" s="203" t="s">
        <v>255</v>
      </c>
      <c r="GE37" s="203"/>
      <c r="GF37" s="84">
        <v>0</v>
      </c>
      <c r="GG37" s="83" t="s">
        <v>261</v>
      </c>
      <c r="GH37" s="83" t="s">
        <v>262</v>
      </c>
      <c r="GI37" s="85">
        <f>1+GF37*((IF(GG37="none",1,IF(GG37="Parallel",LOOKUP(GI5,Reference!$A$117:$A$121,IF(GH37="Commercial/Industrial/Institutional",Reference!$C$117:$C$121,Reference!$B$117:$B$121)),LOOKUP(GI5,Reference!$A$117:$A$121,IF(GH37="Commercial/Industrial/Institutional",Reference!$E$117:$E$121,Reference!$D$117:$D$121)))))-1)</f>
        <v>1</v>
      </c>
      <c r="GJ37" s="85">
        <f>1+GF37*((IF(GG37="none",1,IF(GG37="Parallel",LOOKUP(GI5,Reference!$A$117:$A$121,IF(GH37="Commercial/Industrial/Institutional",Reference!$C$117:$C$121,Reference!$B$117:$B$121)),LOOKUP(GI5,Reference!$A$117:$A$121,IF(GH37="Commercial/Industrial/Institutional",Reference!$E$117:$E$121,Reference!$D$117:$D$121)))))-1)</f>
        <v>1</v>
      </c>
      <c r="GK37" s="111">
        <v>1</v>
      </c>
      <c r="GL37" s="203" t="s">
        <v>255</v>
      </c>
      <c r="GM37" s="203"/>
      <c r="GN37" s="84">
        <v>0</v>
      </c>
      <c r="GO37" s="83" t="s">
        <v>261</v>
      </c>
      <c r="GP37" s="83" t="s">
        <v>262</v>
      </c>
      <c r="GQ37" s="85">
        <f>1+GN37*((IF(GO37="none",1,IF(GO37="Parallel",LOOKUP(GQ5,Reference!$A$117:$A$121,IF(GP37="Commercial/Industrial/Institutional",Reference!$C$117:$C$121,Reference!$B$117:$B$121)),LOOKUP(GQ5,Reference!$A$117:$A$121,IF(GP37="Commercial/Industrial/Institutional",Reference!$E$117:$E$121,Reference!$D$117:$D$121)))))-1)</f>
        <v>1</v>
      </c>
      <c r="GR37" s="85">
        <f>1+GN37*((IF(GO37="none",1,IF(GO37="Parallel",LOOKUP(GQ5,Reference!$A$117:$A$121,IF(GP37="Commercial/Industrial/Institutional",Reference!$C$117:$C$121,Reference!$B$117:$B$121)),LOOKUP(GQ5,Reference!$A$117:$A$121,IF(GP37="Commercial/Industrial/Institutional",Reference!$E$117:$E$121,Reference!$D$117:$D$121)))))-1)</f>
        <v>1</v>
      </c>
      <c r="GS37" s="114">
        <v>1</v>
      </c>
      <c r="GT37" s="203" t="s">
        <v>255</v>
      </c>
      <c r="GU37" s="203"/>
      <c r="GV37" s="84">
        <v>0</v>
      </c>
      <c r="GW37" s="83" t="s">
        <v>261</v>
      </c>
      <c r="GX37" s="83" t="s">
        <v>262</v>
      </c>
      <c r="GY37" s="85">
        <f>1+GV37*((IF(GW37="none",1,IF(GW37="Parallel",LOOKUP(GY5,Reference!$A$117:$A$121,IF(GX37="Commercial/Industrial/Institutional",Reference!$C$117:$C$121,Reference!$B$117:$B$121)),LOOKUP(GY5,Reference!$A$117:$A$121,IF(GX37="Commercial/Industrial/Institutional",Reference!$E$117:$E$121,Reference!$D$117:$D$121)))))-1)</f>
        <v>1</v>
      </c>
      <c r="GZ37" s="85">
        <f>1+GV37*((IF(GW37="none",1,IF(GW37="Parallel",LOOKUP(GY5,Reference!$A$117:$A$121,IF(GX37="Commercial/Industrial/Institutional",Reference!$C$117:$C$121,Reference!$B$117:$B$121)),LOOKUP(GY5,Reference!$A$117:$A$121,IF(GX37="Commercial/Industrial/Institutional",Reference!$E$117:$E$121,Reference!$D$117:$D$121)))))-1)</f>
        <v>1</v>
      </c>
      <c r="HA37" s="114">
        <v>1</v>
      </c>
      <c r="HB37" s="203" t="s">
        <v>255</v>
      </c>
      <c r="HC37" s="203"/>
      <c r="HD37" s="84">
        <v>0</v>
      </c>
      <c r="HE37" s="83" t="s">
        <v>261</v>
      </c>
      <c r="HF37" s="83" t="s">
        <v>262</v>
      </c>
      <c r="HG37" s="85">
        <f>1+HD37*((IF(HE37="none",1,IF(HE37="Parallel",LOOKUP(HG5,Reference!$A$117:$A$121,IF(HF37="Commercial/Industrial/Institutional",Reference!$C$117:$C$121,Reference!$B$117:$B$121)),LOOKUP(HG5,Reference!$A$117:$A$121,IF(HF37="Commercial/Industrial/Institutional",Reference!$E$117:$E$121,Reference!$D$117:$D$121)))))-1)</f>
        <v>1</v>
      </c>
      <c r="HH37" s="85">
        <f>1+HD37*((IF(HE37="none",1,IF(HE37="Parallel",LOOKUP(HG5,Reference!$A$117:$A$121,IF(HF37="Commercial/Industrial/Institutional",Reference!$C$117:$C$121,Reference!$B$117:$B$121)),LOOKUP(HG5,Reference!$A$117:$A$121,IF(HF37="Commercial/Industrial/Institutional",Reference!$E$117:$E$121,Reference!$D$117:$D$121)))))-1)</f>
        <v>1</v>
      </c>
      <c r="HI37" s="114">
        <v>1</v>
      </c>
      <c r="HJ37" s="203" t="s">
        <v>255</v>
      </c>
      <c r="HK37" s="203"/>
      <c r="HL37" s="84">
        <v>0</v>
      </c>
      <c r="HM37" s="83" t="s">
        <v>261</v>
      </c>
      <c r="HN37" s="83" t="s">
        <v>262</v>
      </c>
      <c r="HO37" s="85">
        <f>1+HL37*((IF(HM37="none",1,IF(HM37="Parallel",LOOKUP(HO5,Reference!$A$117:$A$121,IF(HN37="Commercial/Industrial/Institutional",Reference!$C$117:$C$121,Reference!$B$117:$B$121)),LOOKUP(HO5,Reference!$A$117:$A$121,IF(HN37="Commercial/Industrial/Institutional",Reference!$E$117:$E$121,Reference!$D$117:$D$121)))))-1)</f>
        <v>1</v>
      </c>
      <c r="HP37" s="85">
        <f>1+HL37*((IF(HM37="none",1,IF(HM37="Parallel",LOOKUP(HO5,Reference!$A$117:$A$121,IF(HN37="Commercial/Industrial/Institutional",Reference!$C$117:$C$121,Reference!$B$117:$B$121)),LOOKUP(HO5,Reference!$A$117:$A$121,IF(HN37="Commercial/Industrial/Institutional",Reference!$E$117:$E$121,Reference!$D$117:$D$121)))))-1)</f>
        <v>1</v>
      </c>
    </row>
    <row r="38" spans="1:224" x14ac:dyDescent="0.25">
      <c r="A38" s="106"/>
      <c r="B38" s="232"/>
      <c r="C38" s="232"/>
      <c r="D38" s="232"/>
      <c r="E38" s="232"/>
      <c r="F38" s="232"/>
      <c r="G38" s="18">
        <f>IF(G37=0,1,G37)*IF(G34=0,1,G34)*IF(G36=0,1,G36)*IF(G35=0,1,G35)</f>
        <v>1.1067635105890863</v>
      </c>
      <c r="H38" s="33">
        <f>IF(H37=0,1,H37)*IF(H34=0,1,H34)*IF(H36=0,1,H36)*IF(H35=0,1,H35)</f>
        <v>1.0967157149637496</v>
      </c>
      <c r="I38" s="106"/>
      <c r="J38" s="232"/>
      <c r="K38" s="232"/>
      <c r="L38" s="232"/>
      <c r="M38" s="232"/>
      <c r="N38" s="232"/>
      <c r="O38" s="18">
        <f>IF(O37=0,1,O37)*IF(O34=0,1,O34)*IF(O36=0,1,O36)*IF(O35=0,1,O35)</f>
        <v>1.1067635105890863</v>
      </c>
      <c r="P38" s="33">
        <f>IF(P37=0,1,P37)*IF(P34=0,1,P34)*IF(P36=0,1,P36)*IF(P35=0,1,P35)</f>
        <v>1.0967157149637496</v>
      </c>
      <c r="Y38" s="107"/>
      <c r="Z38" s="232"/>
      <c r="AA38" s="232"/>
      <c r="AB38" s="232"/>
      <c r="AC38" s="232"/>
      <c r="AD38" s="232"/>
      <c r="AE38" s="18">
        <f>IF(AE37=0,1,AE37)*IF(AE34=0,1,AE34)*IF(AE36=0,1,AE36)*IF(AE35=0,1,AE35)</f>
        <v>1.1067635105890863</v>
      </c>
      <c r="AF38" s="33">
        <f>IF(AF37=0,1,AF37)*IF(AF34=0,1,AF34)*IF(AF36=0,1,AF36)*IF(AF35=0,1,AF35)</f>
        <v>1.0967157149637496</v>
      </c>
      <c r="AG38" s="107"/>
      <c r="AH38" s="232"/>
      <c r="AI38" s="232"/>
      <c r="AJ38" s="232"/>
      <c r="AK38" s="232"/>
      <c r="AL38" s="232"/>
      <c r="AM38" s="18">
        <f>IF(AM37=0,1,AM37)*IF(AM34=0,1,AM34)*IF(AM36=0,1,AM36)*IF(AM35=0,1,AM35)</f>
        <v>1.1271858837286282</v>
      </c>
      <c r="AN38" s="33">
        <f>IF(AN37=0,1,AN37)*IF(AN34=0,1,AN34)*IF(AN36=0,1,AN36)*IF(AN35=0,1,AN35)</f>
        <v>1.116202632766065</v>
      </c>
      <c r="AO38" s="116">
        <v>9</v>
      </c>
      <c r="AP38" s="199"/>
      <c r="AQ38" s="199"/>
      <c r="AR38" s="199"/>
      <c r="AS38" s="199"/>
      <c r="AT38" s="199"/>
      <c r="AU38" s="118"/>
      <c r="AV38" s="121"/>
      <c r="AW38" s="116">
        <v>9</v>
      </c>
      <c r="AX38" s="199"/>
      <c r="AY38" s="199"/>
      <c r="AZ38" s="199"/>
      <c r="BA38" s="199"/>
      <c r="BB38" s="199"/>
      <c r="BC38" s="118"/>
      <c r="BD38" s="121"/>
      <c r="BE38" s="116">
        <v>9</v>
      </c>
      <c r="BF38" s="199"/>
      <c r="BG38" s="199"/>
      <c r="BH38" s="199"/>
      <c r="BI38" s="199"/>
      <c r="BJ38" s="199"/>
      <c r="BK38" s="118"/>
      <c r="BL38" s="121"/>
      <c r="BM38" s="116">
        <v>9</v>
      </c>
      <c r="BN38" s="199"/>
      <c r="BO38" s="199"/>
      <c r="BP38" s="199"/>
      <c r="BQ38" s="199"/>
      <c r="BR38" s="199"/>
      <c r="BS38" s="118"/>
      <c r="BT38" s="121"/>
      <c r="DA38" s="116">
        <v>9</v>
      </c>
      <c r="DB38" s="199"/>
      <c r="DC38" s="199"/>
      <c r="DD38" s="199"/>
      <c r="DE38" s="199"/>
      <c r="DF38" s="199"/>
      <c r="DG38" s="118"/>
      <c r="DH38" s="121"/>
      <c r="DI38" s="116">
        <v>9</v>
      </c>
      <c r="DJ38" s="199"/>
      <c r="DK38" s="199"/>
      <c r="DL38" s="199"/>
      <c r="DM38" s="199"/>
      <c r="DN38" s="199"/>
      <c r="DO38" s="118"/>
      <c r="DP38" s="121"/>
      <c r="DQ38" s="116">
        <v>9</v>
      </c>
      <c r="DR38" s="199"/>
      <c r="DS38" s="199"/>
      <c r="DT38" s="199"/>
      <c r="DU38" s="199"/>
      <c r="DV38" s="199"/>
      <c r="DW38" s="118"/>
      <c r="DX38" s="121"/>
      <c r="DY38" s="116">
        <v>9</v>
      </c>
      <c r="DZ38" s="199"/>
      <c r="EA38" s="199"/>
      <c r="EB38" s="199"/>
      <c r="EC38" s="199"/>
      <c r="ED38" s="199"/>
      <c r="EE38" s="118"/>
      <c r="EF38" s="121"/>
      <c r="EG38" s="229"/>
      <c r="EH38" s="199" t="s">
        <v>178</v>
      </c>
      <c r="EI38" s="199"/>
      <c r="EJ38" s="199"/>
      <c r="EK38" s="63">
        <v>0</v>
      </c>
      <c r="EL38" s="93">
        <v>12</v>
      </c>
      <c r="EM38" s="47">
        <f>(1-(EH9/SUM(EH6:EH9)))+(EH9/SUM(EH6:EH9))*EXP(IF(EK9="Signalized",0.0287+(-0.00074)*0.001*EH9,-0.00322+(0.00354)*0.001*EH9)*MAX(0,EK38-MAX(12,EL38)))</f>
        <v>1</v>
      </c>
      <c r="EN38" s="48">
        <f>IF(EK9="Signalized",(1-(EH9/SUM(EH6:EH9)))+(EH9/SUM(EH6:EH9))*EXP((0.061+(-0.00246)*0.001*EH9)*MAX(0,EK38-MAX(12,EL38))),1)</f>
        <v>1</v>
      </c>
      <c r="EO38" s="229"/>
      <c r="EP38" s="199" t="s">
        <v>178</v>
      </c>
      <c r="EQ38" s="199"/>
      <c r="ER38" s="199"/>
      <c r="ES38" s="63">
        <v>0</v>
      </c>
      <c r="ET38" s="93">
        <v>12</v>
      </c>
      <c r="EU38" s="47">
        <f>(1-(EP9/SUM(EP6:EP9)))+(EP9/SUM(EP6:EP9))*EXP(IF(ES9="Signalized",0.0287+(-0.00074)*0.001*EP9,-0.00322+(0.00354)*0.001*EP9)*MAX(0,ES38-MAX(12,ET38)))</f>
        <v>1</v>
      </c>
      <c r="EV38" s="48">
        <f>IF(ES9="Signalized",(1-(EP9/SUM(EP6:EP9)))+(EP9/SUM(EP6:EP9))*EXP((0.061+(-0.00246)*0.001*EP9)*MAX(0,ES38-MAX(12,ET38))),1)</f>
        <v>1</v>
      </c>
      <c r="FM38" s="229"/>
      <c r="FN38" s="199" t="s">
        <v>178</v>
      </c>
      <c r="FO38" s="199"/>
      <c r="FP38" s="199"/>
      <c r="FQ38" s="63">
        <v>30</v>
      </c>
      <c r="FR38" s="93">
        <v>12</v>
      </c>
      <c r="FS38" s="47">
        <f>(1-(FN9/SUM(FN6:FN9)))+(FN9/SUM(FN6:FN9))*EXP(IF(FQ9="Signalized",0.0287+(-0.00074)*0.001*FN9,-0.00322+(0.00354)*0.001*FN9)*MAX(0,FQ38-MAX(12,FR38)))</f>
        <v>1.0101557894443673</v>
      </c>
      <c r="FT38" s="48">
        <f>IF(FQ9="Signalized",(1-(FN9/SUM(FN6:FN9)))+(FN9/SUM(FN6:FN9))*EXP((0.061+(-0.00246)*0.001*FN9)*MAX(0,FQ38-MAX(12,FR38))),1)</f>
        <v>0.82367493753590815</v>
      </c>
      <c r="FU38" s="229"/>
      <c r="FV38" s="199" t="s">
        <v>178</v>
      </c>
      <c r="FW38" s="199"/>
      <c r="FX38" s="199"/>
      <c r="FY38" s="63">
        <v>30</v>
      </c>
      <c r="FZ38" s="93">
        <v>12</v>
      </c>
      <c r="GA38" s="47">
        <f>(1-(FV9/SUM(FV6:FV9)))+(FV9/SUM(FV6:FV9))*EXP(IF(FY9="Signalized",0.0287+(-0.00074)*0.001*FV9,-0.00322+(0.00354)*0.001*FV9)*MAX(0,FY38-MAX(12,FZ38)))</f>
        <v>1.0630098741752296</v>
      </c>
      <c r="GB38" s="48">
        <f>IF(FY9="Signalized",(1-(FV9/SUM(FV6:FV9)))+(FV9/SUM(FV6:FV9))*EXP((0.061+(-0.00246)*0.001*FV9)*MAX(0,FY38-MAX(12,FZ38))),1)</f>
        <v>0.98238873478521649</v>
      </c>
      <c r="GC38" s="111">
        <v>2</v>
      </c>
      <c r="GD38" s="218" t="s">
        <v>256</v>
      </c>
      <c r="GE38" s="219"/>
      <c r="GF38" s="220"/>
      <c r="GG38" s="86">
        <v>30</v>
      </c>
      <c r="GH38" s="87">
        <v>30</v>
      </c>
      <c r="GI38" s="85">
        <f>MAX((LOOKUP(GH38,Reference!$A$125:$A$131,Reference!$B$125:$B$131)*GG38*LOOKUP(GI5,Reference!$A$135:$A$139,Reference!$B$135:$B$139)+(1-LOOKUP(GI5,Reference!$A$135:$A$139,Reference!$B$135:$B$139))),1)</f>
        <v>1.01888</v>
      </c>
      <c r="GJ38" s="85">
        <f>MAX((LOOKUP(GH38,Reference!$A$125:$A$131,Reference!$B$125:$B$131)*GG38*LOOKUP(GI5,Reference!$A$135:$A$139,Reference!$B$135:$B$139)+(1-LOOKUP(GI5,Reference!$A$135:$A$139,Reference!$B$135:$B$139))),1)</f>
        <v>1.01888</v>
      </c>
      <c r="GK38" s="111">
        <v>2</v>
      </c>
      <c r="GL38" s="218" t="s">
        <v>256</v>
      </c>
      <c r="GM38" s="219"/>
      <c r="GN38" s="220"/>
      <c r="GO38" s="86">
        <v>30</v>
      </c>
      <c r="GP38" s="87">
        <v>30</v>
      </c>
      <c r="GQ38" s="85">
        <f>MAX((LOOKUP(GP38,Reference!$A$125:$A$131,Reference!$B$125:$B$131)*GO38*LOOKUP(GQ5,Reference!$A$135:$A$139,Reference!$B$135:$B$139)+(1-LOOKUP(GQ5,Reference!$A$135:$A$139,Reference!$B$135:$B$139))),1)</f>
        <v>1.0118399999999999</v>
      </c>
      <c r="GR38" s="85">
        <f>MAX((LOOKUP(GP38,Reference!$A$125:$A$131,Reference!$B$125:$B$131)*GO38*LOOKUP(GQ5,Reference!$A$135:$A$139,Reference!$B$135:$B$139)+(1-LOOKUP(GQ5,Reference!$A$135:$A$139,Reference!$B$135:$B$139))),1)</f>
        <v>1.0118399999999999</v>
      </c>
      <c r="GS38" s="114">
        <v>2</v>
      </c>
      <c r="GT38" s="218" t="s">
        <v>256</v>
      </c>
      <c r="GU38" s="219"/>
      <c r="GV38" s="220"/>
      <c r="GW38" s="86">
        <v>30</v>
      </c>
      <c r="GX38" s="87">
        <v>30</v>
      </c>
      <c r="GY38" s="85">
        <f>MAX((LOOKUP(GX38,Reference!$A$125:$A$131,Reference!$B$125:$B$131)*GW38*LOOKUP(GY5,Reference!$A$135:$A$139,Reference!$B$135:$B$139)+(1-LOOKUP(GY5,Reference!$A$135:$A$139,Reference!$B$135:$B$139))),1)</f>
        <v>1.01888</v>
      </c>
      <c r="GZ38" s="85">
        <f>MAX((LOOKUP(GX38,Reference!$A$125:$A$131,Reference!$B$125:$B$131)*GW38*LOOKUP(GY5,Reference!$A$135:$A$139,Reference!$B$135:$B$139)+(1-LOOKUP(GY5,Reference!$A$135:$A$139,Reference!$B$135:$B$139))),1)</f>
        <v>1.01888</v>
      </c>
      <c r="HA38" s="114">
        <v>2</v>
      </c>
      <c r="HB38" s="218" t="s">
        <v>256</v>
      </c>
      <c r="HC38" s="219"/>
      <c r="HD38" s="220"/>
      <c r="HE38" s="86">
        <v>30</v>
      </c>
      <c r="HF38" s="87">
        <v>30</v>
      </c>
      <c r="HG38" s="85">
        <f>MAX((LOOKUP(HF38,Reference!$A$125:$A$131,Reference!$B$125:$B$131)*HE38*LOOKUP(HG5,Reference!$A$135:$A$139,Reference!$B$135:$B$139)+(1-LOOKUP(HG5,Reference!$A$135:$A$139,Reference!$B$135:$B$139))),1)</f>
        <v>1.00512</v>
      </c>
      <c r="HH38" s="85">
        <f>MAX((LOOKUP(HF38,Reference!$A$125:$A$131,Reference!$B$125:$B$131)*HE38*LOOKUP(HG5,Reference!$A$135:$A$139,Reference!$B$135:$B$139)+(1-LOOKUP(HG5,Reference!$A$135:$A$139,Reference!$B$135:$B$139))),1)</f>
        <v>1.00512</v>
      </c>
      <c r="HI38" s="114">
        <v>2</v>
      </c>
      <c r="HJ38" s="218" t="s">
        <v>256</v>
      </c>
      <c r="HK38" s="219"/>
      <c r="HL38" s="220"/>
      <c r="HM38" s="86">
        <v>30</v>
      </c>
      <c r="HN38" s="87">
        <v>30</v>
      </c>
      <c r="HO38" s="85">
        <f>MAX((LOOKUP(HN38,Reference!$A$125:$A$131,Reference!$B$125:$B$131)*HM38*LOOKUP(HO5,Reference!$A$135:$A$139,Reference!$B$135:$B$139)+(1-LOOKUP(HO5,Reference!$A$135:$A$139,Reference!$B$135:$B$139))),1)</f>
        <v>1.00512</v>
      </c>
      <c r="HP38" s="85">
        <f>MAX((LOOKUP(HN38,Reference!$A$125:$A$131,Reference!$B$125:$B$131)*HM38*LOOKUP(HO5,Reference!$A$135:$A$139,Reference!$B$135:$B$139)+(1-LOOKUP(HO5,Reference!$A$135:$A$139,Reference!$B$135:$B$139))),1)</f>
        <v>1.00512</v>
      </c>
    </row>
    <row r="39" spans="1:224" x14ac:dyDescent="0.25">
      <c r="A39" s="106"/>
      <c r="B39" s="204" t="s">
        <v>209</v>
      </c>
      <c r="C39" s="204"/>
      <c r="D39" s="204"/>
      <c r="E39" s="204"/>
      <c r="F39" s="204"/>
      <c r="G39" s="106" t="s">
        <v>19</v>
      </c>
      <c r="H39" s="32" t="s">
        <v>20</v>
      </c>
      <c r="I39" s="106"/>
      <c r="J39" s="204" t="s">
        <v>209</v>
      </c>
      <c r="K39" s="204"/>
      <c r="L39" s="204"/>
      <c r="M39" s="204"/>
      <c r="N39" s="204"/>
      <c r="O39" s="106" t="s">
        <v>19</v>
      </c>
      <c r="P39" s="32" t="s">
        <v>20</v>
      </c>
      <c r="Y39" s="107"/>
      <c r="Z39" s="204" t="s">
        <v>209</v>
      </c>
      <c r="AA39" s="204"/>
      <c r="AB39" s="204"/>
      <c r="AC39" s="204"/>
      <c r="AD39" s="204"/>
      <c r="AE39" s="106" t="s">
        <v>19</v>
      </c>
      <c r="AF39" s="32" t="s">
        <v>20</v>
      </c>
      <c r="AG39" s="107"/>
      <c r="AH39" s="204" t="s">
        <v>209</v>
      </c>
      <c r="AI39" s="204"/>
      <c r="AJ39" s="204"/>
      <c r="AK39" s="204"/>
      <c r="AL39" s="204"/>
      <c r="AM39" s="106" t="s">
        <v>19</v>
      </c>
      <c r="AN39" s="32" t="s">
        <v>20</v>
      </c>
      <c r="AO39" s="116">
        <v>10</v>
      </c>
      <c r="AP39" s="199"/>
      <c r="AQ39" s="199"/>
      <c r="AR39" s="199"/>
      <c r="AS39" s="199"/>
      <c r="AT39" s="199"/>
      <c r="AU39" s="118"/>
      <c r="AV39" s="121"/>
      <c r="AW39" s="116">
        <v>10</v>
      </c>
      <c r="AX39" s="199"/>
      <c r="AY39" s="199"/>
      <c r="AZ39" s="199"/>
      <c r="BA39" s="199"/>
      <c r="BB39" s="199"/>
      <c r="BC39" s="118"/>
      <c r="BD39" s="121"/>
      <c r="BE39" s="116">
        <v>10</v>
      </c>
      <c r="BF39" s="199"/>
      <c r="BG39" s="199"/>
      <c r="BH39" s="199"/>
      <c r="BI39" s="199"/>
      <c r="BJ39" s="199"/>
      <c r="BK39" s="118"/>
      <c r="BL39" s="121"/>
      <c r="BM39" s="116">
        <v>10</v>
      </c>
      <c r="BN39" s="199"/>
      <c r="BO39" s="199"/>
      <c r="BP39" s="199"/>
      <c r="BQ39" s="199"/>
      <c r="BR39" s="199"/>
      <c r="BS39" s="118"/>
      <c r="BT39" s="121"/>
      <c r="DA39" s="116">
        <v>10</v>
      </c>
      <c r="DB39" s="199"/>
      <c r="DC39" s="199"/>
      <c r="DD39" s="199"/>
      <c r="DE39" s="199"/>
      <c r="DF39" s="199"/>
      <c r="DG39" s="118"/>
      <c r="DH39" s="121"/>
      <c r="DI39" s="116">
        <v>10</v>
      </c>
      <c r="DJ39" s="199"/>
      <c r="DK39" s="199"/>
      <c r="DL39" s="199"/>
      <c r="DM39" s="199"/>
      <c r="DN39" s="199"/>
      <c r="DO39" s="118"/>
      <c r="DP39" s="121"/>
      <c r="DQ39" s="116">
        <v>10</v>
      </c>
      <c r="DR39" s="199"/>
      <c r="DS39" s="199"/>
      <c r="DT39" s="199"/>
      <c r="DU39" s="199"/>
      <c r="DV39" s="199"/>
      <c r="DW39" s="118"/>
      <c r="DX39" s="121"/>
      <c r="DY39" s="116">
        <v>10</v>
      </c>
      <c r="DZ39" s="199"/>
      <c r="EA39" s="199"/>
      <c r="EB39" s="199"/>
      <c r="EC39" s="199"/>
      <c r="ED39" s="199"/>
      <c r="EE39" s="118"/>
      <c r="EF39" s="121"/>
      <c r="EG39" s="229">
        <v>16</v>
      </c>
      <c r="EH39" s="113" t="s">
        <v>180</v>
      </c>
      <c r="EI39" s="113"/>
      <c r="EJ39" s="113"/>
      <c r="EK39" s="94">
        <v>2</v>
      </c>
      <c r="EL39" s="93" t="s">
        <v>182</v>
      </c>
      <c r="EM39" s="47">
        <f>IF(EK9="Signalized",IF(EL39="Protected Only",(1-(SUM(EH8:EH9)/SUM(EH6:EH9)))+(SUM(EH8:EH9)/SUM(EH6:EH9))*EXP(-0.363*EK39),1),1)</f>
        <v>0.63435742851583954</v>
      </c>
      <c r="EN39" s="48">
        <f>IF(EK9="Signalized",IF(EL39="Protected Only",(1-(SUM(EH8:EH9)/SUM(EH6:EH9)))+(SUM(EH8:EH9)/SUM(EH6:EH9))*EXP(-0.223*EK39),1),1)</f>
        <v>0.74510954967228105</v>
      </c>
      <c r="EO39" s="229">
        <v>16</v>
      </c>
      <c r="EP39" s="113" t="s">
        <v>180</v>
      </c>
      <c r="EQ39" s="113"/>
      <c r="ER39" s="113"/>
      <c r="ES39" s="94">
        <v>2</v>
      </c>
      <c r="ET39" s="93" t="s">
        <v>125</v>
      </c>
      <c r="EU39" s="47">
        <f>IF(ES9="Signalized",IF(ET39="Protected Only",(1-(SUM(EP8:EP9)/SUM(EP6:EP9)))+(SUM(EP8:EP9)/SUM(EP6:EP9))*EXP(-0.363*ES39),1),1)</f>
        <v>1</v>
      </c>
      <c r="EV39" s="48">
        <f>IF(ES9="Signalized",IF(ET39="Protected Only",(1-(SUM(EP8:EP9)/SUM(EP6:EP9)))+(SUM(EP8:EP9)/SUM(EP6:EP9))*EXP(-0.223*ES39),1),1)</f>
        <v>1</v>
      </c>
      <c r="FM39" s="229">
        <v>16</v>
      </c>
      <c r="FN39" s="113" t="s">
        <v>180</v>
      </c>
      <c r="FO39" s="113"/>
      <c r="FP39" s="113"/>
      <c r="FQ39" s="94">
        <v>2</v>
      </c>
      <c r="FR39" s="93" t="s">
        <v>182</v>
      </c>
      <c r="FS39" s="47">
        <f>IF(FQ9="Signalized",IF(FR39="Protected Only",(1-(SUM(FN8:FN9)/SUM(FN6:FN9)))+(SUM(FN8:FN9)/SUM(FN6:FN9))*EXP(-0.363*FQ39),1),1)</f>
        <v>0.59638211556001575</v>
      </c>
      <c r="FT39" s="48">
        <f>IF(FQ9="Signalized",IF(FR39="Protected Only",(1-(SUM(FN8:FN9)/SUM(FN6:FN9)))+(SUM(FN8:FN9)/SUM(FN6:FN9))*EXP(-0.223*FQ39),1),1)</f>
        <v>0.71863685372400488</v>
      </c>
      <c r="FU39" s="229">
        <v>16</v>
      </c>
      <c r="FV39" s="113" t="s">
        <v>180</v>
      </c>
      <c r="FW39" s="113"/>
      <c r="FX39" s="113"/>
      <c r="FY39" s="94">
        <v>2</v>
      </c>
      <c r="FZ39" s="93" t="s">
        <v>182</v>
      </c>
      <c r="GA39" s="47">
        <f>IF(FY9="Signalized",IF(FZ39="Protected Only",(1-(SUM(FV8:FV9)/SUM(FV6:FV9)))+(SUM(FV8:FV9)/SUM(FV6:FV9))*EXP(-0.363*FY39),1),1)</f>
        <v>0.61254344610847888</v>
      </c>
      <c r="GB39" s="48">
        <f>IF(FY9="Signalized",IF(FZ39="Protected Only",(1-(SUM(FV8:FV9)/SUM(FV6:FV9)))+(SUM(FV8:FV9)/SUM(FV6:FV9))*EXP(-0.223*FY39),1),1)</f>
        <v>0.72990296205671945</v>
      </c>
      <c r="GC39" s="111">
        <v>3</v>
      </c>
      <c r="GD39" s="203" t="s">
        <v>203</v>
      </c>
      <c r="GE39" s="203"/>
      <c r="GF39" s="203"/>
      <c r="GG39" s="203"/>
      <c r="GH39" s="88" t="s">
        <v>264</v>
      </c>
      <c r="GI39" s="85">
        <f>LOOKUP(GH39,Reference!$A$142:$A$154,Reference!$B$142:$B$154)</f>
        <v>1</v>
      </c>
      <c r="GJ39" s="85">
        <f>LOOKUP(GH39,Reference!$A$142:$A$154,Reference!$B$142:$B$154)</f>
        <v>1</v>
      </c>
      <c r="GK39" s="111">
        <v>3</v>
      </c>
      <c r="GL39" s="203" t="s">
        <v>203</v>
      </c>
      <c r="GM39" s="203"/>
      <c r="GN39" s="203"/>
      <c r="GO39" s="203"/>
      <c r="GP39" s="88" t="s">
        <v>264</v>
      </c>
      <c r="GQ39" s="85">
        <f>LOOKUP(GP39,Reference!$A$142:$A$154,Reference!$B$142:$B$154)</f>
        <v>1</v>
      </c>
      <c r="GR39" s="85">
        <f>LOOKUP(GP39,Reference!$A$142:$A$154,Reference!$B$142:$B$154)</f>
        <v>1</v>
      </c>
      <c r="GS39" s="114">
        <v>3</v>
      </c>
      <c r="GT39" s="203" t="s">
        <v>203</v>
      </c>
      <c r="GU39" s="203"/>
      <c r="GV39" s="203"/>
      <c r="GW39" s="203"/>
      <c r="GX39" s="88" t="s">
        <v>264</v>
      </c>
      <c r="GY39" s="85">
        <f>LOOKUP(GX39,Reference!$A$142:$A$154,Reference!$B$142:$B$154)</f>
        <v>1</v>
      </c>
      <c r="GZ39" s="85">
        <f>LOOKUP(GX39,Reference!$A$142:$A$154,Reference!$B$142:$B$154)</f>
        <v>1</v>
      </c>
      <c r="HA39" s="114">
        <v>3</v>
      </c>
      <c r="HB39" s="203" t="s">
        <v>203</v>
      </c>
      <c r="HC39" s="203"/>
      <c r="HD39" s="203"/>
      <c r="HE39" s="203"/>
      <c r="HF39" s="88" t="s">
        <v>264</v>
      </c>
      <c r="HG39" s="85">
        <f>LOOKUP(HF39,Reference!$A$142:$A$154,Reference!$B$142:$B$154)</f>
        <v>1</v>
      </c>
      <c r="HH39" s="85">
        <f>LOOKUP(HF39,Reference!$A$142:$A$154,Reference!$B$142:$B$154)</f>
        <v>1</v>
      </c>
      <c r="HI39" s="114">
        <v>3</v>
      </c>
      <c r="HJ39" s="203" t="s">
        <v>203</v>
      </c>
      <c r="HK39" s="203"/>
      <c r="HL39" s="203"/>
      <c r="HM39" s="203"/>
      <c r="HN39" s="88" t="s">
        <v>264</v>
      </c>
      <c r="HO39" s="85">
        <f>LOOKUP(HN39,Reference!$A$142:$A$154,Reference!$B$142:$B$154)</f>
        <v>1</v>
      </c>
      <c r="HP39" s="85">
        <f>LOOKUP(HN39,Reference!$A$142:$A$154,Reference!$B$142:$B$154)</f>
        <v>1</v>
      </c>
    </row>
    <row r="40" spans="1:224" x14ac:dyDescent="0.25">
      <c r="A40" s="106"/>
      <c r="B40" s="215" t="s">
        <v>203</v>
      </c>
      <c r="C40" s="217"/>
      <c r="D40" s="63">
        <v>40</v>
      </c>
      <c r="E40" s="59">
        <v>1</v>
      </c>
      <c r="F40" s="61">
        <v>13</v>
      </c>
      <c r="G40" s="47">
        <f>(1-E40)*EXP(0.00102*(D40-2*F40-48))+E40*EXP(0.00102*(2*F40-48))</f>
        <v>0.97780990402755541</v>
      </c>
      <c r="H40" s="48">
        <f>(1-E40)*EXP(-0.00289*(D40-2*F40-48))+E40*EXP(-0.00289*(2*F40-48))</f>
        <v>1.0656447339702122</v>
      </c>
      <c r="I40" s="106"/>
      <c r="J40" s="215" t="s">
        <v>203</v>
      </c>
      <c r="K40" s="217"/>
      <c r="L40" s="63">
        <v>40</v>
      </c>
      <c r="M40" s="59">
        <v>1</v>
      </c>
      <c r="N40" s="61">
        <v>13</v>
      </c>
      <c r="O40" s="47">
        <f>(1-M40)*EXP(0.00102*(L40-2*N40-48))+M40*EXP(0.00102*(2*N40-48))</f>
        <v>0.97780990402755541</v>
      </c>
      <c r="P40" s="48">
        <f>(1-M40)*EXP(-0.00289*(L40-2*N40-48))+M40*EXP(-0.00289*(2*N40-48))</f>
        <v>1.0656447339702122</v>
      </c>
      <c r="Y40" s="107"/>
      <c r="Z40" s="215" t="s">
        <v>203</v>
      </c>
      <c r="AA40" s="217"/>
      <c r="AB40" s="63">
        <v>40</v>
      </c>
      <c r="AC40" s="59">
        <v>1</v>
      </c>
      <c r="AD40" s="61">
        <v>13</v>
      </c>
      <c r="AE40" s="47">
        <f>(1-AC40)*EXP(0.00102*(AB40-2*AD40-48))+AC40*EXP(0.00102*(2*AD40-48))</f>
        <v>0.97780990402755541</v>
      </c>
      <c r="AF40" s="48">
        <f>(1-AC40)*EXP(-0.00289*(AB40-2*AD40-48))+AC40*EXP(-0.00289*(2*AD40-48))</f>
        <v>1.0656447339702122</v>
      </c>
      <c r="AG40" s="107"/>
      <c r="AH40" s="215" t="s">
        <v>203</v>
      </c>
      <c r="AI40" s="217"/>
      <c r="AJ40" s="63">
        <v>40</v>
      </c>
      <c r="AK40" s="59">
        <v>1</v>
      </c>
      <c r="AL40" s="61">
        <v>13</v>
      </c>
      <c r="AM40" s="47">
        <f>(1-AK40)*EXP(0.00102*(AJ40-2*AL40-48))+AK40*EXP(0.00102*(2*AL40-48))</f>
        <v>0.97780990402755541</v>
      </c>
      <c r="AN40" s="48">
        <f>(1-AK40)*EXP(-0.00289*(AJ40-2*AL40-48))+AK40*EXP(-0.00289*(2*AL40-48))</f>
        <v>1.0656447339702122</v>
      </c>
      <c r="AO40" s="24"/>
      <c r="AP40" s="117"/>
      <c r="AQ40" s="117"/>
      <c r="AR40" s="117"/>
      <c r="AS40" s="117"/>
      <c r="AT40" s="14"/>
      <c r="AU40" s="18">
        <f>IF(AU30=0,1,AU30)*IF(AU31=0,1,AU31)*IF(AU32=0,1,AU32)*IF(AU33=0,1,AU33)*IF(AU34=0,1,AU34)*IF(AU35=0,1,AU35)*IF(AU36=0,1,AU36)*IF(AU37=0,1,AU37)*IF(AU38=0,1,AU38)*IF(AU39=0,1,AU39)</f>
        <v>1.0474933244984428</v>
      </c>
      <c r="AV40" s="33">
        <f>IF(AV30=0,1,AV30)*IF(AV31=0,1,AV31)*IF(AV32=0,1,AV32)*IF(AV33=0,1,AV33)*IF(AV34=0,1,AV34)*IF(AV35=0,1,AV35)*IF(AV36=0,1,AV36)*IF(AV37=0,1,AV37)*IF(AV38=0,1,AV38)*IF(AV39=0,1,AV39)</f>
        <v>1</v>
      </c>
      <c r="AW40" s="24"/>
      <c r="AX40" s="117"/>
      <c r="AY40" s="117"/>
      <c r="AZ40" s="117"/>
      <c r="BA40" s="117"/>
      <c r="BB40" s="14"/>
      <c r="BC40" s="18">
        <f>IF(BC30=0,1,BC30)*IF(BC31=0,1,BC31)*IF(BC32=0,1,BC32)*IF(BC33=0,1,BC33)*IF(BC34=0,1,BC34)*IF(BC35=0,1,BC35)*IF(BC36=0,1,BC36)*IF(BC37=0,1,BC37)*IF(BC38=0,1,BC38)*IF(BC39=0,1,BC39)</f>
        <v>1.6298056259523892</v>
      </c>
      <c r="BD40" s="33">
        <f>IF(BD30=0,1,BD30)*IF(BD31=0,1,BD31)*IF(BD32=0,1,BD32)*IF(BD33=0,1,BD33)*IF(BD34=0,1,BD34)*IF(BD35=0,1,BD35)*IF(BD36=0,1,BD36)*IF(BD37=0,1,BD37)*IF(BD38=0,1,BD38)*IF(BD39=0,1,BD39)</f>
        <v>1.1060554085591288</v>
      </c>
      <c r="BE40" s="24"/>
      <c r="BF40" s="117"/>
      <c r="BG40" s="117"/>
      <c r="BH40" s="117"/>
      <c r="BI40" s="117"/>
      <c r="BJ40" s="14"/>
      <c r="BK40" s="18">
        <f>IF(BK30=0,1,BK30)*IF(BK31=0,1,BK31)*IF(BK32=0,1,BK32)*IF(BK33=0,1,BK33)*IF(BK34=0,1,BK34)*IF(BK35=0,1,BK35)*IF(BK36=0,1,BK36)*IF(BK37=0,1,BK37)*IF(BK38=0,1,BK38)*IF(BK39=0,1,BK39)</f>
        <v>1.0474933244984428</v>
      </c>
      <c r="BL40" s="33">
        <f>IF(BL30=0,1,BL30)*IF(BL31=0,1,BL31)*IF(BL32=0,1,BL32)*IF(BL33=0,1,BL33)*IF(BL34=0,1,BL34)*IF(BL35=0,1,BL35)*IF(BL36=0,1,BL36)*IF(BL37=0,1,BL37)*IF(BL38=0,1,BL38)*IF(BL39=0,1,BL39)</f>
        <v>1</v>
      </c>
      <c r="BM40" s="24"/>
      <c r="BN40" s="117"/>
      <c r="BO40" s="117"/>
      <c r="BP40" s="117"/>
      <c r="BQ40" s="117"/>
      <c r="BR40" s="14"/>
      <c r="BS40" s="18">
        <f>IF(BS30=0,1,BS30)*IF(BS31=0,1,BS31)*IF(BS32=0,1,BS32)*IF(BS33=0,1,BS33)*IF(BS34=0,1,BS34)*IF(BS35=0,1,BS35)*IF(BS36=0,1,BS36)*IF(BS37=0,1,BS37)*IF(BS38=0,1,BS38)*IF(BS39=0,1,BS39)</f>
        <v>1.9413700590325762</v>
      </c>
      <c r="BT40" s="33">
        <f>IF(BT30=0,1,BT30)*IF(BT31=0,1,BT31)*IF(BT32=0,1,BT32)*IF(BT33=0,1,BT33)*IF(BT34=0,1,BT34)*IF(BT35=0,1,BT35)*IF(BT36=0,1,BT36)*IF(BT37=0,1,BT37)*IF(BT38=0,1,BT38)*IF(BT39=0,1,BT39)</f>
        <v>1.1060554085591288</v>
      </c>
      <c r="DA40" s="24"/>
      <c r="DB40" s="117"/>
      <c r="DC40" s="117"/>
      <c r="DD40" s="117"/>
      <c r="DE40" s="117"/>
      <c r="DF40" s="14"/>
      <c r="DG40" s="18">
        <f>IF(DG30=0,1,DG30)*IF(DG31=0,1,DG31)*IF(DG32=0,1,DG32)*IF(DG33=0,1,DG33)*IF(DG34=0,1,DG34)*IF(DG35=0,1,DG35)*IF(DG36=0,1,DG36)*IF(DG37=0,1,DG37)*IF(DG38=0,1,DG38)*IF(DG39=0,1,DG39)</f>
        <v>1.0474933244984428</v>
      </c>
      <c r="DH40" s="33">
        <f>IF(DH30=0,1,DH30)*IF(DH31=0,1,DH31)*IF(DH32=0,1,DH32)*IF(DH33=0,1,DH33)*IF(DH34=0,1,DH34)*IF(DH35=0,1,DH35)*IF(DH36=0,1,DH36)*IF(DH37=0,1,DH37)*IF(DH38=0,1,DH38)*IF(DH39=0,1,DH39)</f>
        <v>1</v>
      </c>
      <c r="DI40" s="24"/>
      <c r="DJ40" s="117"/>
      <c r="DK40" s="117"/>
      <c r="DL40" s="117"/>
      <c r="DM40" s="117"/>
      <c r="DN40" s="14"/>
      <c r="DO40" s="18">
        <f>IF(DO30=0,1,DO30)*IF(DO31=0,1,DO31)*IF(DO32=0,1,DO32)*IF(DO33=0,1,DO33)*IF(DO34=0,1,DO34)*IF(DO35=0,1,DO35)*IF(DO36=0,1,DO36)*IF(DO37=0,1,DO37)*IF(DO38=0,1,DO38)*IF(DO39=0,1,DO39)</f>
        <v>1.7584598379814973</v>
      </c>
      <c r="DP40" s="33">
        <f>IF(DP30=0,1,DP30)*IF(DP31=0,1,DP31)*IF(DP32=0,1,DP32)*IF(DP33=0,1,DP33)*IF(DP34=0,1,DP34)*IF(DP35=0,1,DP35)*IF(DP36=0,1,DP36)*IF(DP37=0,1,DP37)*IF(DP38=0,1,DP38)*IF(DP39=0,1,DP39)</f>
        <v>1.1060554085591288</v>
      </c>
      <c r="DQ40" s="24"/>
      <c r="DR40" s="117"/>
      <c r="DS40" s="117"/>
      <c r="DT40" s="117"/>
      <c r="DU40" s="117"/>
      <c r="DV40" s="14"/>
      <c r="DW40" s="18">
        <f>IF(DW30=0,1,DW30)*IF(DW31=0,1,DW31)*IF(DW32=0,1,DW32)*IF(DW33=0,1,DW33)*IF(DW34=0,1,DW34)*IF(DW35=0,1,DW35)*IF(DW36=0,1,DW36)*IF(DW37=0,1,DW37)*IF(DW38=0,1,DW38)*IF(DW39=0,1,DW39)</f>
        <v>1.0474933244984428</v>
      </c>
      <c r="DX40" s="33">
        <f>IF(DX30=0,1,DX30)*IF(DX31=0,1,DX31)*IF(DX32=0,1,DX32)*IF(DX33=0,1,DX33)*IF(DX34=0,1,DX34)*IF(DX35=0,1,DX35)*IF(DX36=0,1,DX36)*IF(DX37=0,1,DX37)*IF(DX38=0,1,DX38)*IF(DX39=0,1,DX39)</f>
        <v>1</v>
      </c>
      <c r="DY40" s="24"/>
      <c r="DZ40" s="117"/>
      <c r="EA40" s="117"/>
      <c r="EB40" s="117"/>
      <c r="EC40" s="117"/>
      <c r="ED40" s="14"/>
      <c r="EE40" s="18">
        <f>IF(EE30=0,1,EE30)*IF(EE31=0,1,EE31)*IF(EE32=0,1,EE32)*IF(EE33=0,1,EE33)*IF(EE34=0,1,EE34)*IF(EE35=0,1,EE35)*IF(EE36=0,1,EE36)*IF(EE37=0,1,EE37)*IF(EE38=0,1,EE38)*IF(EE39=0,1,EE39)</f>
        <v>1.791604968224433</v>
      </c>
      <c r="EF40" s="33">
        <f>IF(EF30=0,1,EF30)*IF(EF31=0,1,EF31)*IF(EF32=0,1,EF32)*IF(EF33=0,1,EF33)*IF(EF34=0,1,EF34)*IF(EF35=0,1,EF35)*IF(EF36=0,1,EF36)*IF(EF37=0,1,EF37)*IF(EF38=0,1,EF38)*IF(EF39=0,1,EF39)</f>
        <v>1.1060554085591288</v>
      </c>
      <c r="EG40" s="229"/>
      <c r="EH40" s="113" t="s">
        <v>181</v>
      </c>
      <c r="EI40" s="113"/>
      <c r="EJ40" s="113"/>
      <c r="EK40" s="94">
        <v>2</v>
      </c>
      <c r="EL40" s="93" t="s">
        <v>125</v>
      </c>
      <c r="EM40" s="47">
        <f>IF(EK9="Signalized",IF(EL40="Protected Only",(1-(SUM(EH8:EH9)/SUM(EH6:EH9)))+(SUM(EH8:EH9)/SUM(EH6:EH9))*EXP(-0.363*EK40),1),1)</f>
        <v>1</v>
      </c>
      <c r="EN40" s="48">
        <f>IF(EK9="Signalized",IF(EL40="Protected Only",(1-(SUM(EH8:EH9)/SUM(EH6:EH9)))+(SUM(EH8:EH9)/SUM(EH6:EH9))*EXP(-0.223*EK40),1),1)</f>
        <v>1</v>
      </c>
      <c r="EO40" s="229"/>
      <c r="EP40" s="113" t="s">
        <v>181</v>
      </c>
      <c r="EQ40" s="113"/>
      <c r="ER40" s="113"/>
      <c r="ES40" s="94">
        <v>2</v>
      </c>
      <c r="ET40" s="93" t="s">
        <v>125</v>
      </c>
      <c r="EU40" s="47">
        <f>IF(ES9="Signalized",IF(ET40="Protected Only",(1-(SUM(EP8:EP9)/SUM(EP6:EP9)))+(SUM(EP8:EP9)/SUM(EP6:EP9))*EXP(-0.363*ES40),1),1)</f>
        <v>1</v>
      </c>
      <c r="EV40" s="48">
        <f>IF(ES9="Signalized",IF(ET40="Protected Only",(1-(SUM(EP8:EP9)/SUM(EP6:EP9)))+(SUM(EP8:EP9)/SUM(EP6:EP9))*EXP(-0.223*ES40),1),1)</f>
        <v>1</v>
      </c>
      <c r="FM40" s="229"/>
      <c r="FN40" s="113" t="s">
        <v>181</v>
      </c>
      <c r="FO40" s="113"/>
      <c r="FP40" s="113"/>
      <c r="FQ40" s="94">
        <v>2</v>
      </c>
      <c r="FR40" s="93" t="s">
        <v>125</v>
      </c>
      <c r="FS40" s="47">
        <f>IF(FQ9="Signalized",IF(FR40="Protected Only",(1-(SUM(FN8:FN9)/SUM(FN6:FN9)))+(SUM(FN8:FN9)/SUM(FN6:FN9))*EXP(-0.363*FQ40),1),1)</f>
        <v>1</v>
      </c>
      <c r="FT40" s="48">
        <f>IF(FQ9="Signalized",IF(FR40="Protected Only",(1-(SUM(FN8:FN9)/SUM(FN6:FN9)))+(SUM(FN8:FN9)/SUM(FN6:FN9))*EXP(-0.223*FQ40),1),1)</f>
        <v>1</v>
      </c>
      <c r="FU40" s="229"/>
      <c r="FV40" s="113" t="s">
        <v>181</v>
      </c>
      <c r="FW40" s="113"/>
      <c r="FX40" s="113"/>
      <c r="FY40" s="94">
        <v>2</v>
      </c>
      <c r="FZ40" s="93" t="s">
        <v>125</v>
      </c>
      <c r="GA40" s="47">
        <f>IF(FY9="Signalized",IF(FZ40="Protected Only",(1-(SUM(FV8:FV9)/SUM(FV6:FV9)))+(SUM(FV8:FV9)/SUM(FV6:FV9))*EXP(-0.363*FY40),1),1)</f>
        <v>1</v>
      </c>
      <c r="GB40" s="48">
        <f>IF(FY9="Signalized",IF(FZ40="Protected Only",(1-(SUM(FV8:FV9)/SUM(FV6:FV9)))+(SUM(FV8:FV9)/SUM(FV6:FV9))*EXP(-0.223*FY40),1),1)</f>
        <v>1</v>
      </c>
      <c r="GC40" s="111">
        <v>4</v>
      </c>
      <c r="GD40" s="203" t="s">
        <v>257</v>
      </c>
      <c r="GE40" s="203"/>
      <c r="GF40" s="203"/>
      <c r="GG40" s="203"/>
      <c r="GH40" s="83" t="s">
        <v>128</v>
      </c>
      <c r="GI40" s="85">
        <f>IF(GH40="Present",LOOKUP(GI5,Reference!$A$158:$A$162,Reference!$E$158:$E$162),1)</f>
        <v>0.93154176</v>
      </c>
      <c r="GJ40" s="85">
        <f>IF(GH40="Present",LOOKUP(GI5,Reference!$A$158:$A$162,Reference!$E$158:$E$162),1)</f>
        <v>0.93154176</v>
      </c>
      <c r="GK40" s="111">
        <v>4</v>
      </c>
      <c r="GL40" s="203" t="s">
        <v>257</v>
      </c>
      <c r="GM40" s="203"/>
      <c r="GN40" s="203"/>
      <c r="GO40" s="203"/>
      <c r="GP40" s="83" t="s">
        <v>128</v>
      </c>
      <c r="GQ40" s="85">
        <f>IF(GP40="Present",LOOKUP(GQ5,Reference!$A$158:$A$162,Reference!$E$158:$E$162),1)</f>
        <v>0.91719244999999994</v>
      </c>
      <c r="GR40" s="85">
        <f>IF(GP40="Present",LOOKUP(GQ5,Reference!$A$158:$A$162,Reference!$E$158:$E$162),1)</f>
        <v>0.91719244999999994</v>
      </c>
      <c r="GS40" s="114">
        <v>4</v>
      </c>
      <c r="GT40" s="203" t="s">
        <v>257</v>
      </c>
      <c r="GU40" s="203"/>
      <c r="GV40" s="203"/>
      <c r="GW40" s="203"/>
      <c r="GX40" s="83" t="s">
        <v>128</v>
      </c>
      <c r="GY40" s="85">
        <f>IF(GX40="Present",LOOKUP(GY5,Reference!$A$158:$A$162,Reference!$E$158:$E$162),1)</f>
        <v>0.93154176</v>
      </c>
      <c r="GZ40" s="85">
        <f>IF(GX40="Present",LOOKUP(GY5,Reference!$A$158:$A$162,Reference!$E$158:$E$162),1)</f>
        <v>0.93154176</v>
      </c>
      <c r="HA40" s="114">
        <v>4</v>
      </c>
      <c r="HB40" s="203" t="s">
        <v>257</v>
      </c>
      <c r="HC40" s="203"/>
      <c r="HD40" s="203"/>
      <c r="HE40" s="203"/>
      <c r="HF40" s="83" t="s">
        <v>128</v>
      </c>
      <c r="HG40" s="85">
        <f>IF(HF40="Present",LOOKUP(HG5,Reference!$A$158:$A$162,Reference!$E$158:$E$162),1)</f>
        <v>0.94039951999999993</v>
      </c>
      <c r="HH40" s="85">
        <f>IF(HF40="Present",LOOKUP(HG5,Reference!$A$158:$A$162,Reference!$E$158:$E$162),1)</f>
        <v>0.94039951999999993</v>
      </c>
      <c r="HI40" s="114">
        <v>4</v>
      </c>
      <c r="HJ40" s="203" t="s">
        <v>257</v>
      </c>
      <c r="HK40" s="203"/>
      <c r="HL40" s="203"/>
      <c r="HM40" s="203"/>
      <c r="HN40" s="83" t="s">
        <v>128</v>
      </c>
      <c r="HO40" s="85">
        <f>IF(HN40="Present",LOOKUP(HO5,Reference!$A$158:$A$162,Reference!$E$158:$E$162),1)</f>
        <v>0.94039951999999993</v>
      </c>
      <c r="HP40" s="85">
        <f>IF(HN40="Present",LOOKUP(HO5,Reference!$A$158:$A$162,Reference!$E$158:$E$162),1)</f>
        <v>0.94039951999999993</v>
      </c>
    </row>
    <row r="41" spans="1:224" x14ac:dyDescent="0.25">
      <c r="A41" s="106">
        <v>6</v>
      </c>
      <c r="B41" s="215" t="s">
        <v>205</v>
      </c>
      <c r="C41" s="217"/>
      <c r="D41" s="233">
        <v>0.1</v>
      </c>
      <c r="E41" s="234"/>
      <c r="F41" s="235"/>
      <c r="G41" s="47">
        <f>EXP(-0.0675*D41)</f>
        <v>0.99327273007856842</v>
      </c>
      <c r="H41" s="48">
        <f>EXP(-0.611*D41)</f>
        <v>0.94072916215599156</v>
      </c>
      <c r="I41" s="106">
        <v>6</v>
      </c>
      <c r="J41" s="215" t="s">
        <v>205</v>
      </c>
      <c r="K41" s="217"/>
      <c r="L41" s="233">
        <v>0.1</v>
      </c>
      <c r="M41" s="234"/>
      <c r="N41" s="235"/>
      <c r="O41" s="47">
        <f>EXP(-0.0675*L41)</f>
        <v>0.99327273007856842</v>
      </c>
      <c r="P41" s="48">
        <f>EXP(-0.611*L41)</f>
        <v>0.94072916215599156</v>
      </c>
      <c r="Y41" s="107">
        <v>6</v>
      </c>
      <c r="Z41" s="215" t="s">
        <v>205</v>
      </c>
      <c r="AA41" s="217"/>
      <c r="AB41" s="233">
        <v>0.1</v>
      </c>
      <c r="AC41" s="234"/>
      <c r="AD41" s="235"/>
      <c r="AE41" s="47">
        <f>EXP(-0.0675*AB41)</f>
        <v>0.99327273007856842</v>
      </c>
      <c r="AF41" s="48">
        <f>EXP(-0.611*AB41)</f>
        <v>0.94072916215599156</v>
      </c>
      <c r="AG41" s="107">
        <v>6</v>
      </c>
      <c r="AH41" s="215" t="s">
        <v>205</v>
      </c>
      <c r="AI41" s="217"/>
      <c r="AJ41" s="233">
        <v>0.1</v>
      </c>
      <c r="AK41" s="234"/>
      <c r="AL41" s="235"/>
      <c r="AM41" s="47">
        <f>EXP(-0.0675*AJ41)</f>
        <v>0.99327273007856842</v>
      </c>
      <c r="AN41" s="48">
        <f>EXP(-0.611*AJ41)</f>
        <v>0.94072916215599156</v>
      </c>
      <c r="AO41" s="24"/>
      <c r="AP41" s="14"/>
      <c r="AQ41" s="14"/>
      <c r="AR41" s="14"/>
      <c r="AS41" s="14"/>
      <c r="AT41" s="19"/>
      <c r="AU41" s="19"/>
      <c r="AV41" s="25"/>
      <c r="AW41" s="24"/>
      <c r="AX41" s="14"/>
      <c r="AY41" s="14"/>
      <c r="AZ41" s="14"/>
      <c r="BA41" s="14"/>
      <c r="BB41" s="19"/>
      <c r="BC41" s="19"/>
      <c r="BD41" s="25"/>
      <c r="BE41" s="24"/>
      <c r="BF41" s="14"/>
      <c r="BG41" s="14"/>
      <c r="BH41" s="14"/>
      <c r="BI41" s="14"/>
      <c r="BJ41" s="19"/>
      <c r="BK41" s="19"/>
      <c r="BL41" s="25"/>
      <c r="BM41" s="24"/>
      <c r="BN41" s="14"/>
      <c r="BO41" s="14"/>
      <c r="BP41" s="14"/>
      <c r="BQ41" s="14"/>
      <c r="BR41" s="19"/>
      <c r="BS41" s="19"/>
      <c r="BT41" s="25"/>
      <c r="DA41" s="24"/>
      <c r="DB41" s="14"/>
      <c r="DC41" s="14"/>
      <c r="DD41" s="14"/>
      <c r="DE41" s="14"/>
      <c r="DF41" s="19"/>
      <c r="DG41" s="19"/>
      <c r="DH41" s="25"/>
      <c r="DI41" s="24"/>
      <c r="DJ41" s="14"/>
      <c r="DK41" s="14"/>
      <c r="DL41" s="14"/>
      <c r="DM41" s="14"/>
      <c r="DN41" s="19"/>
      <c r="DO41" s="19"/>
      <c r="DP41" s="25"/>
      <c r="DQ41" s="24"/>
      <c r="DR41" s="14"/>
      <c r="DS41" s="14"/>
      <c r="DT41" s="14"/>
      <c r="DU41" s="14"/>
      <c r="DV41" s="19"/>
      <c r="DW41" s="19"/>
      <c r="DX41" s="25"/>
      <c r="DY41" s="24"/>
      <c r="DZ41" s="14"/>
      <c r="EA41" s="14"/>
      <c r="EB41" s="14"/>
      <c r="EC41" s="14"/>
      <c r="ED41" s="19"/>
      <c r="EE41" s="19"/>
      <c r="EF41" s="25"/>
      <c r="EG41" s="229">
        <v>17</v>
      </c>
      <c r="EH41" s="199" t="s">
        <v>183</v>
      </c>
      <c r="EI41" s="199"/>
      <c r="EJ41" s="199"/>
      <c r="EK41" s="199"/>
      <c r="EL41" s="93" t="s">
        <v>184</v>
      </c>
      <c r="EM41" s="47">
        <f>IF(EK9="Signalized",IF(EL41="Channelized",(1-EH8/SUM(EH6:EH9))+EH8/SUM(EH6:EH9)*EXP(0.466),1),1)</f>
        <v>1.2653676406991163</v>
      </c>
      <c r="EN41" s="48">
        <f>IF(EK9="Signalized",IF(EL41="Channelized",(1-EH8/SUM(EH6:EH9))+EH8/SUM(EH6:EH9)*EXP(0.465),1),1)</f>
        <v>1.2646555865038622</v>
      </c>
      <c r="EO41" s="229">
        <v>17</v>
      </c>
      <c r="EP41" s="199" t="s">
        <v>183</v>
      </c>
      <c r="EQ41" s="199"/>
      <c r="ER41" s="199"/>
      <c r="ES41" s="199"/>
      <c r="ET41" s="93" t="s">
        <v>184</v>
      </c>
      <c r="EU41" s="47">
        <f>IF(ES9="Signalized",IF(ET41="Channelized",(1-EP8/SUM(EP6:EP9))+EP8/SUM(EP6:EP9)*EXP(0.466),1),1)</f>
        <v>1.1835606801030043</v>
      </c>
      <c r="EV41" s="48">
        <f>IF(ES9="Signalized",IF(ET41="Channelized",(1-EP8/SUM(EP6:EP9))+EP8/SUM(EP6:EP9)*EXP(0.465),1),1)</f>
        <v>1.1830681364303595</v>
      </c>
      <c r="FM41" s="229">
        <v>17</v>
      </c>
      <c r="FN41" s="199" t="s">
        <v>183</v>
      </c>
      <c r="FO41" s="199"/>
      <c r="FP41" s="199"/>
      <c r="FQ41" s="199"/>
      <c r="FR41" s="93" t="s">
        <v>297</v>
      </c>
      <c r="FS41" s="47">
        <f>IF(FQ9="Signalized",IF(FR41="Channelized",(1-FN8/SUM(FN6:FN9))+FN8/SUM(FN6:FN9)*EXP(0.466),1),1)</f>
        <v>1</v>
      </c>
      <c r="FT41" s="48">
        <f>IF(FQ9="Signalized",IF(FR41="Channelized",(1-FN8/SUM(FN6:FN9))+FN8/SUM(FN6:FN9)*EXP(0.465),1),1)</f>
        <v>1</v>
      </c>
      <c r="FU41" s="229">
        <v>17</v>
      </c>
      <c r="FV41" s="199" t="s">
        <v>183</v>
      </c>
      <c r="FW41" s="199"/>
      <c r="FX41" s="199"/>
      <c r="FY41" s="199"/>
      <c r="FZ41" s="93" t="s">
        <v>297</v>
      </c>
      <c r="GA41" s="47">
        <f>IF(FY9="Signalized",IF(FZ41="Channelized",(1-FV8/SUM(FV6:FV9))+FV8/SUM(FV6:FV9)*EXP(0.466),1),1)</f>
        <v>1</v>
      </c>
      <c r="GB41" s="48">
        <f>IF(FY9="Signalized",IF(FZ41="Channelized",(1-FV8/SUM(FV6:FV9))+FV8/SUM(FV6:FV9)*EXP(0.465),1),1)</f>
        <v>1</v>
      </c>
      <c r="GC41" s="111">
        <v>5</v>
      </c>
      <c r="GD41" s="203" t="s">
        <v>258</v>
      </c>
      <c r="GE41" s="203"/>
      <c r="GF41" s="203"/>
      <c r="GG41" s="203"/>
      <c r="GH41" s="83" t="s">
        <v>129</v>
      </c>
      <c r="GI41" s="85">
        <f>IF(GH41="Present",0.83,1)</f>
        <v>1</v>
      </c>
      <c r="GJ41" s="85">
        <v>1</v>
      </c>
      <c r="GK41" s="111">
        <v>5</v>
      </c>
      <c r="GL41" s="203" t="s">
        <v>258</v>
      </c>
      <c r="GM41" s="203"/>
      <c r="GN41" s="203"/>
      <c r="GO41" s="203"/>
      <c r="GP41" s="83" t="s">
        <v>129</v>
      </c>
      <c r="GQ41" s="85">
        <f>IF(GP41="Present",0.83,1)</f>
        <v>1</v>
      </c>
      <c r="GR41" s="85">
        <v>1</v>
      </c>
      <c r="GS41" s="114">
        <v>5</v>
      </c>
      <c r="GT41" s="203" t="s">
        <v>258</v>
      </c>
      <c r="GU41" s="203"/>
      <c r="GV41" s="203"/>
      <c r="GW41" s="203"/>
      <c r="GX41" s="83" t="s">
        <v>129</v>
      </c>
      <c r="GY41" s="85">
        <f>IF(GX41="Present",0.83,1)</f>
        <v>1</v>
      </c>
      <c r="GZ41" s="85">
        <v>1</v>
      </c>
      <c r="HA41" s="114">
        <v>5</v>
      </c>
      <c r="HB41" s="203" t="s">
        <v>258</v>
      </c>
      <c r="HC41" s="203"/>
      <c r="HD41" s="203"/>
      <c r="HE41" s="203"/>
      <c r="HF41" s="83" t="s">
        <v>129</v>
      </c>
      <c r="HG41" s="85">
        <f>IF(HF41="Present",0.83,1)</f>
        <v>1</v>
      </c>
      <c r="HH41" s="85">
        <v>1</v>
      </c>
      <c r="HI41" s="114">
        <v>5</v>
      </c>
      <c r="HJ41" s="203" t="s">
        <v>258</v>
      </c>
      <c r="HK41" s="203"/>
      <c r="HL41" s="203"/>
      <c r="HM41" s="203"/>
      <c r="HN41" s="83" t="s">
        <v>129</v>
      </c>
      <c r="HO41" s="85">
        <f>IF(HN41="Present",0.83,1)</f>
        <v>1</v>
      </c>
      <c r="HP41" s="85">
        <v>1</v>
      </c>
    </row>
    <row r="42" spans="1:224" x14ac:dyDescent="0.25">
      <c r="A42" s="106">
        <v>8</v>
      </c>
      <c r="B42" s="223" t="s">
        <v>355</v>
      </c>
      <c r="C42" s="223"/>
      <c r="D42" s="223"/>
      <c r="E42" s="223"/>
      <c r="F42" s="60">
        <v>14</v>
      </c>
      <c r="G42" s="47">
        <f>EXP(-0.0647*(F42-10))</f>
        <v>0.77197740308580187</v>
      </c>
      <c r="H42" s="48">
        <f>EXP(0*(F42-10))</f>
        <v>1</v>
      </c>
      <c r="I42" s="106">
        <v>8</v>
      </c>
      <c r="J42" s="223" t="s">
        <v>355</v>
      </c>
      <c r="K42" s="223"/>
      <c r="L42" s="223"/>
      <c r="M42" s="223"/>
      <c r="N42" s="60">
        <v>14</v>
      </c>
      <c r="O42" s="47">
        <f>EXP(-0.0647*(N42-10))</f>
        <v>0.77197740308580187</v>
      </c>
      <c r="P42" s="48">
        <f>EXP(0*(N42-10))</f>
        <v>1</v>
      </c>
      <c r="Y42" s="107">
        <v>8</v>
      </c>
      <c r="Z42" s="223" t="s">
        <v>355</v>
      </c>
      <c r="AA42" s="223"/>
      <c r="AB42" s="223"/>
      <c r="AC42" s="223"/>
      <c r="AD42" s="60">
        <v>14</v>
      </c>
      <c r="AE42" s="47">
        <f>EXP(-0.0647*(AD42-10))</f>
        <v>0.77197740308580187</v>
      </c>
      <c r="AF42" s="48">
        <f>EXP(0*(AD42-10))</f>
        <v>1</v>
      </c>
      <c r="AG42" s="107">
        <v>8</v>
      </c>
      <c r="AH42" s="223" t="s">
        <v>355</v>
      </c>
      <c r="AI42" s="223"/>
      <c r="AJ42" s="223"/>
      <c r="AK42" s="223"/>
      <c r="AL42" s="60">
        <v>14</v>
      </c>
      <c r="AM42" s="47">
        <f>EXP(-0.0647*(AL42-10))</f>
        <v>0.77197740308580187</v>
      </c>
      <c r="AN42" s="48">
        <f>EXP(0*(AL42-10))</f>
        <v>1</v>
      </c>
      <c r="AO42" s="222"/>
      <c r="AP42" s="190"/>
      <c r="AQ42" s="190"/>
      <c r="AR42" s="14"/>
      <c r="AS42" s="14"/>
      <c r="AT42" s="19"/>
      <c r="AU42" s="19"/>
      <c r="AV42" s="25"/>
      <c r="AW42" s="222"/>
      <c r="AX42" s="190"/>
      <c r="AY42" s="190"/>
      <c r="AZ42" s="14"/>
      <c r="BA42" s="14"/>
      <c r="BB42" s="19"/>
      <c r="BC42" s="19"/>
      <c r="BD42" s="25"/>
      <c r="BE42" s="222"/>
      <c r="BF42" s="190"/>
      <c r="BG42" s="190"/>
      <c r="BH42" s="14"/>
      <c r="BI42" s="14"/>
      <c r="BJ42" s="19"/>
      <c r="BK42" s="19"/>
      <c r="BL42" s="25"/>
      <c r="BM42" s="222"/>
      <c r="BN42" s="190"/>
      <c r="BO42" s="190"/>
      <c r="BP42" s="14"/>
      <c r="BQ42" s="14"/>
      <c r="BR42" s="19"/>
      <c r="BS42" s="19"/>
      <c r="BT42" s="25"/>
      <c r="DA42" s="222"/>
      <c r="DB42" s="190"/>
      <c r="DC42" s="190"/>
      <c r="DD42" s="14"/>
      <c r="DE42" s="14"/>
      <c r="DF42" s="19"/>
      <c r="DG42" s="19"/>
      <c r="DH42" s="25"/>
      <c r="DI42" s="222"/>
      <c r="DJ42" s="190"/>
      <c r="DK42" s="190"/>
      <c r="DL42" s="14"/>
      <c r="DM42" s="14"/>
      <c r="DN42" s="19"/>
      <c r="DO42" s="19"/>
      <c r="DP42" s="25"/>
      <c r="DQ42" s="222"/>
      <c r="DR42" s="190"/>
      <c r="DS42" s="190"/>
      <c r="DT42" s="14"/>
      <c r="DU42" s="14"/>
      <c r="DV42" s="19"/>
      <c r="DW42" s="19"/>
      <c r="DX42" s="25"/>
      <c r="DY42" s="222"/>
      <c r="DZ42" s="190"/>
      <c r="EA42" s="190"/>
      <c r="EB42" s="14"/>
      <c r="EC42" s="14"/>
      <c r="ED42" s="19"/>
      <c r="EE42" s="19"/>
      <c r="EF42" s="25"/>
      <c r="EG42" s="229"/>
      <c r="EH42" s="199" t="s">
        <v>185</v>
      </c>
      <c r="EI42" s="199"/>
      <c r="EJ42" s="199"/>
      <c r="EK42" s="199"/>
      <c r="EL42" s="93" t="s">
        <v>184</v>
      </c>
      <c r="EM42" s="47">
        <f>IF(EK9="Signalized",IF(EL42="Channelized",(1-EH9/SUM(EH6:EH9))+EH9/SUM(EH6:EH9)*EXP(0.466),1),1)</f>
        <v>1.155138005331791</v>
      </c>
      <c r="EN42" s="48">
        <f>IF(EK9="Signalized",IF(EL42="Channelized",(1-EH9/SUM(EH6:EH9))+EH9/SUM(EH6:EH9)*EXP(0.465),1),1)</f>
        <v>1.1547217274945656</v>
      </c>
      <c r="EO42" s="229"/>
      <c r="EP42" s="199" t="s">
        <v>185</v>
      </c>
      <c r="EQ42" s="199"/>
      <c r="ER42" s="199"/>
      <c r="ES42" s="199"/>
      <c r="ET42" s="93" t="s">
        <v>184</v>
      </c>
      <c r="EU42" s="47">
        <f>IF(ES9="Signalized",IF(ET42="Channelized",(1-EP9/SUM(EP6:EP9))+EP9/SUM(EP6:EP9)*EXP(0.466),1),1)</f>
        <v>1.2598089626073292</v>
      </c>
      <c r="EV42" s="48">
        <f>IF(ES9="Signalized",IF(ET42="Channelized",(1-EP9/SUM(EP6:EP9))+EP9/SUM(EP6:EP9)*EXP(0.465),1),1)</f>
        <v>1.2591118238706627</v>
      </c>
      <c r="FM42" s="229"/>
      <c r="FN42" s="199" t="s">
        <v>185</v>
      </c>
      <c r="FO42" s="199"/>
      <c r="FP42" s="199"/>
      <c r="FQ42" s="199"/>
      <c r="FR42" s="93" t="s">
        <v>184</v>
      </c>
      <c r="FS42" s="47">
        <f>IF(FQ9="Signalized",IF(FR42="Channelized",(1-FN9/SUM(FN6:FN9))+FN9/SUM(FN6:FN9)*EXP(0.466),1),1)</f>
        <v>1.2507244175330356</v>
      </c>
      <c r="FT42" s="48">
        <f>IF(FQ9="Signalized",IF(FR42="Channelized",(1-FN9/SUM(FN6:FN9))+FN9/SUM(FN6:FN9)*EXP(0.465),1),1)</f>
        <v>1.2500516551235472</v>
      </c>
      <c r="FU42" s="229"/>
      <c r="FV42" s="199" t="s">
        <v>185</v>
      </c>
      <c r="FW42" s="199"/>
      <c r="FX42" s="199"/>
      <c r="FY42" s="199"/>
      <c r="FZ42" s="93" t="s">
        <v>184</v>
      </c>
      <c r="GA42" s="47">
        <f>IF(FY9="Signalized",IF(FZ42="Channelized",(1-FV9/SUM(FV6:FV9))+FV9/SUM(FV6:FV9)*EXP(0.466),1),1)</f>
        <v>1.2014854044785981</v>
      </c>
      <c r="GB42" s="48">
        <f>IF(FY9="Signalized",IF(FZ42="Channelized",(1-FV9/SUM(FV6:FV9))+FV9/SUM(FV6:FV9)*EXP(0.465),1),1)</f>
        <v>1.2009447638520188</v>
      </c>
      <c r="GC42" s="111" t="s">
        <v>208</v>
      </c>
      <c r="GD42" s="203"/>
      <c r="GE42" s="203"/>
      <c r="GF42" s="203"/>
      <c r="GG42" s="203"/>
      <c r="GH42" s="83"/>
      <c r="GI42" s="85"/>
      <c r="GJ42" s="85"/>
      <c r="GK42" s="111" t="s">
        <v>208</v>
      </c>
      <c r="GL42" s="203"/>
      <c r="GM42" s="203"/>
      <c r="GN42" s="203"/>
      <c r="GO42" s="203"/>
      <c r="GP42" s="83"/>
      <c r="GQ42" s="85"/>
      <c r="GR42" s="85"/>
      <c r="GS42" s="114" t="s">
        <v>208</v>
      </c>
      <c r="GT42" s="203"/>
      <c r="GU42" s="203"/>
      <c r="GV42" s="203"/>
      <c r="GW42" s="203"/>
      <c r="GX42" s="83"/>
      <c r="GY42" s="85"/>
      <c r="GZ42" s="85"/>
      <c r="HA42" s="114" t="s">
        <v>208</v>
      </c>
      <c r="HB42" s="203"/>
      <c r="HC42" s="203"/>
      <c r="HD42" s="203"/>
      <c r="HE42" s="203"/>
      <c r="HF42" s="83"/>
      <c r="HG42" s="85"/>
      <c r="HH42" s="85"/>
      <c r="HI42" s="114" t="s">
        <v>208</v>
      </c>
      <c r="HJ42" s="203"/>
      <c r="HK42" s="203"/>
      <c r="HL42" s="203"/>
      <c r="HM42" s="203"/>
      <c r="HN42" s="83"/>
      <c r="HO42" s="85"/>
      <c r="HP42" s="85"/>
    </row>
    <row r="43" spans="1:224" x14ac:dyDescent="0.25">
      <c r="A43" s="106">
        <v>9</v>
      </c>
      <c r="B43" s="215" t="s">
        <v>210</v>
      </c>
      <c r="C43" s="216"/>
      <c r="D43" s="217"/>
      <c r="E43" s="65">
        <v>0</v>
      </c>
      <c r="F43" s="64">
        <v>0</v>
      </c>
      <c r="G43" s="47">
        <f>0.5*((1-E43)+E43*0.811)+0.5*((1-F43)+F43*0.811)</f>
        <v>1</v>
      </c>
      <c r="H43" s="48">
        <v>1</v>
      </c>
      <c r="I43" s="106">
        <v>9</v>
      </c>
      <c r="J43" s="215" t="s">
        <v>210</v>
      </c>
      <c r="K43" s="216"/>
      <c r="L43" s="217"/>
      <c r="M43" s="65">
        <v>0</v>
      </c>
      <c r="N43" s="64">
        <v>0</v>
      </c>
      <c r="O43" s="47">
        <f>0.5*((1-M43)+M43*0.811)+0.5*((1-N43)+N43*0.811)</f>
        <v>1</v>
      </c>
      <c r="P43" s="48">
        <v>1</v>
      </c>
      <c r="Y43" s="107">
        <v>9</v>
      </c>
      <c r="Z43" s="215" t="s">
        <v>210</v>
      </c>
      <c r="AA43" s="216"/>
      <c r="AB43" s="217"/>
      <c r="AC43" s="65">
        <v>0</v>
      </c>
      <c r="AD43" s="64">
        <v>0</v>
      </c>
      <c r="AE43" s="47">
        <f>0.5*((1-AC43)+AC43*0.811)+0.5*((1-AD43)+AD43*0.811)</f>
        <v>1</v>
      </c>
      <c r="AF43" s="48">
        <v>1</v>
      </c>
      <c r="AG43" s="107">
        <v>9</v>
      </c>
      <c r="AH43" s="215" t="s">
        <v>210</v>
      </c>
      <c r="AI43" s="216"/>
      <c r="AJ43" s="217"/>
      <c r="AK43" s="65">
        <v>0</v>
      </c>
      <c r="AL43" s="64">
        <v>0</v>
      </c>
      <c r="AM43" s="47">
        <f>0.5*((1-AK43)+AK43*0.811)+0.5*((1-AL43)+AL43*0.811)</f>
        <v>1</v>
      </c>
      <c r="AN43" s="48">
        <v>1</v>
      </c>
      <c r="AO43" s="24"/>
      <c r="AP43" s="14"/>
      <c r="AQ43" s="14"/>
      <c r="AR43" s="14"/>
      <c r="AS43" s="14"/>
      <c r="AT43" s="19"/>
      <c r="AU43" s="19"/>
      <c r="AV43" s="25"/>
      <c r="AW43" s="24"/>
      <c r="AX43" s="14"/>
      <c r="AY43" s="14"/>
      <c r="AZ43" s="14"/>
      <c r="BA43" s="14"/>
      <c r="BB43" s="19"/>
      <c r="BC43" s="19"/>
      <c r="BD43" s="25"/>
      <c r="BE43" s="24"/>
      <c r="BF43" s="14"/>
      <c r="BG43" s="14"/>
      <c r="BH43" s="14"/>
      <c r="BI43" s="14"/>
      <c r="BJ43" s="19"/>
      <c r="BK43" s="19"/>
      <c r="BL43" s="25"/>
      <c r="BM43" s="24"/>
      <c r="BN43" s="14"/>
      <c r="BO43" s="14"/>
      <c r="BP43" s="14"/>
      <c r="BQ43" s="14"/>
      <c r="BR43" s="19"/>
      <c r="BS43" s="19"/>
      <c r="BT43" s="25"/>
      <c r="DA43" s="24"/>
      <c r="DB43" s="14"/>
      <c r="DC43" s="14"/>
      <c r="DD43" s="14"/>
      <c r="DE43" s="14"/>
      <c r="DF43" s="19"/>
      <c r="DG43" s="19"/>
      <c r="DH43" s="25"/>
      <c r="DI43" s="24"/>
      <c r="DJ43" s="14"/>
      <c r="DK43" s="14"/>
      <c r="DL43" s="14"/>
      <c r="DM43" s="14"/>
      <c r="DN43" s="19"/>
      <c r="DO43" s="19"/>
      <c r="DP43" s="25"/>
      <c r="DQ43" s="24"/>
      <c r="DR43" s="14"/>
      <c r="DS43" s="14"/>
      <c r="DT43" s="14"/>
      <c r="DU43" s="14"/>
      <c r="DV43" s="19"/>
      <c r="DW43" s="19"/>
      <c r="DX43" s="25"/>
      <c r="DY43" s="24"/>
      <c r="DZ43" s="14"/>
      <c r="EA43" s="14"/>
      <c r="EB43" s="14"/>
      <c r="EC43" s="14"/>
      <c r="ED43" s="19"/>
      <c r="EE43" s="19"/>
      <c r="EF43" s="25"/>
      <c r="EG43" s="45">
        <v>18</v>
      </c>
      <c r="EH43" s="199" t="s">
        <v>186</v>
      </c>
      <c r="EI43" s="199"/>
      <c r="EJ43" s="199"/>
      <c r="EK43" s="199"/>
      <c r="EL43" s="93" t="s">
        <v>184</v>
      </c>
      <c r="EM43" s="47">
        <f>IF(EK9="Signalized",IF(EL43="Channelized",(1-EH6/SUM(EH6:EH9))+EH6/SUM(EH6:EH9)*EXP(0.992),1),1)</f>
        <v>1.1446913126490879</v>
      </c>
      <c r="EN43" s="48">
        <f>IF(EK9="Signalized",IF(EL43="Channelized",(1-EH6/SUM(EH6:EH9))+EH6/SUM(EH6:EH9)*EXP(1.429),1),1)</f>
        <v>1.2707295736531607</v>
      </c>
      <c r="EO43" s="45">
        <v>18</v>
      </c>
      <c r="EP43" s="199" t="s">
        <v>186</v>
      </c>
      <c r="EQ43" s="199"/>
      <c r="ER43" s="199"/>
      <c r="ES43" s="199"/>
      <c r="ET43" s="93" t="s">
        <v>184</v>
      </c>
      <c r="EU43" s="47">
        <f>IF(ES9="Signalized",IF(ET43="Channelized",(1-EP6/SUM(EP6:EP9))+EP6/SUM(EP6:EP9)*EXP(0.992),1),1)</f>
        <v>1.3293158466032491</v>
      </c>
      <c r="EV43" s="48">
        <f>IF(ES9="Signalized",IF(ET43="Channelized",(1-EP6/SUM(EP6:EP9))+EP6/SUM(EP6:EP9)*EXP(1.429),1),1)</f>
        <v>1.6161775514771333</v>
      </c>
      <c r="FM43" s="45">
        <v>18</v>
      </c>
      <c r="FN43" s="199" t="s">
        <v>186</v>
      </c>
      <c r="FO43" s="199"/>
      <c r="FP43" s="199"/>
      <c r="FQ43" s="199"/>
      <c r="FR43" s="93" t="s">
        <v>184</v>
      </c>
      <c r="FS43" s="47">
        <f>IF(FQ9="Signalized",IF(FR43="Channelized",(1-FN6/SUM(FN6:FN9))+FN6/SUM(FN6:FN9)*EXP(0.992),1),1)</f>
        <v>1.1762472965629271</v>
      </c>
      <c r="FT43" s="48">
        <f>IF(FQ9="Signalized",IF(FR43="Channelized",(1-FN6/SUM(FN6:FN9))+FN6/SUM(FN6:FN9)*EXP(1.429),1),1)</f>
        <v>1.3297734645045691</v>
      </c>
      <c r="FU43" s="45">
        <v>18</v>
      </c>
      <c r="FV43" s="199" t="s">
        <v>186</v>
      </c>
      <c r="FW43" s="199"/>
      <c r="FX43" s="199"/>
      <c r="FY43" s="199"/>
      <c r="FZ43" s="93" t="s">
        <v>184</v>
      </c>
      <c r="GA43" s="47">
        <f>IF(FY9="Signalized",IF(FZ43="Channelized",(1-FV6/SUM(FV6:FV9))+FV6/SUM(FV6:FV9)*EXP(0.992),1),1)</f>
        <v>1.221491165450785</v>
      </c>
      <c r="GB43" s="48">
        <f>IF(FY9="Signalized",IF(FZ43="Channelized",(1-FV6/SUM(FV6:FV9))+FV6/SUM(FV6:FV9)*EXP(1.429),1),1)</f>
        <v>1.4144285354288046</v>
      </c>
      <c r="GC43" s="45"/>
      <c r="GD43" s="14"/>
      <c r="GE43" s="14"/>
      <c r="GF43" s="14"/>
      <c r="GG43" s="14"/>
      <c r="GH43" s="19"/>
      <c r="GI43" s="18">
        <f>IF(GI37=0,1,GI37)*IF(GI38=0,1,GI38)*IF(GI39=0,1,GI39)*IF(GI40=0,1,GI40)*IF(GI41=0,1,GI41)*IF(GI42=0,1,GI42)</f>
        <v>0.94912926842879997</v>
      </c>
      <c r="GJ43" s="33">
        <f>IF(GJ37=0,1,GJ37)*IF(GJ38=0,1,GJ38)*IF(GJ39=0,1,GJ39)*IF(GJ40=0,1,GJ40)*IF(GJ41=0,1,GJ41)*IF(GJ42=0,1,GJ42)</f>
        <v>0.94912926842879997</v>
      </c>
      <c r="GK43" s="45"/>
      <c r="GL43" s="14"/>
      <c r="GM43" s="14"/>
      <c r="GN43" s="14"/>
      <c r="GO43" s="14"/>
      <c r="GP43" s="19"/>
      <c r="GQ43" s="18">
        <f>IF(GQ37=0,1,GQ37)*IF(GQ38=0,1,GQ38)*IF(GQ39=0,1,GQ39)*IF(GQ40=0,1,GQ40)*IF(GQ41=0,1,GQ41)*IF(GQ42=0,1,GQ42)</f>
        <v>0.92805200860799975</v>
      </c>
      <c r="GR43" s="33">
        <f>IF(GR37=0,1,GR37)*IF(GR38=0,1,GR38)*IF(GR39=0,1,GR39)*IF(GR40=0,1,GR40)*IF(GR41=0,1,GR41)*IF(GR42=0,1,GR42)</f>
        <v>0.92805200860799975</v>
      </c>
      <c r="GS43" s="45"/>
      <c r="GT43" s="14"/>
      <c r="GU43" s="14"/>
      <c r="GV43" s="14"/>
      <c r="GW43" s="14"/>
      <c r="GX43" s="19"/>
      <c r="GY43" s="18">
        <f>IF(GY37=0,1,GY37)*IF(GY38=0,1,GY38)*IF(GY39=0,1,GY39)*IF(GY40=0,1,GY40)*IF(GY41=0,1,GY41)*IF(GY42=0,1,GY42)</f>
        <v>0.94912926842879997</v>
      </c>
      <c r="GZ43" s="33">
        <f>IF(GZ37=0,1,GZ37)*IF(GZ38=0,1,GZ38)*IF(GZ39=0,1,GZ39)*IF(GZ40=0,1,GZ40)*IF(GZ41=0,1,GZ41)*IF(GZ42=0,1,GZ42)</f>
        <v>0.94912926842879997</v>
      </c>
      <c r="HA43" s="45"/>
      <c r="HB43" s="14"/>
      <c r="HC43" s="14"/>
      <c r="HD43" s="14"/>
      <c r="HE43" s="14"/>
      <c r="HF43" s="19"/>
      <c r="HG43" s="18">
        <f>IF(HG37=0,1,HG37)*IF(HG38=0,1,HG38)*IF(HG39=0,1,HG39)*IF(HG40=0,1,HG40)*IF(HG41=0,1,HG41)*IF(HG42=0,1,HG42)</f>
        <v>0.9452143655423999</v>
      </c>
      <c r="HH43" s="33">
        <f>IF(HH37=0,1,HH37)*IF(HH38=0,1,HH38)*IF(HH39=0,1,HH39)*IF(HH40=0,1,HH40)*IF(HH41=0,1,HH41)*IF(HH42=0,1,HH42)</f>
        <v>0.9452143655423999</v>
      </c>
      <c r="HI43" s="45"/>
      <c r="HJ43" s="14"/>
      <c r="HK43" s="14"/>
      <c r="HL43" s="14"/>
      <c r="HM43" s="14"/>
      <c r="HN43" s="19"/>
      <c r="HO43" s="18">
        <f>IF(HO37=0,1,HO37)*IF(HO38=0,1,HO38)*IF(HO39=0,1,HO39)*IF(HO40=0,1,HO40)*IF(HO41=0,1,HO41)*IF(HO42=0,1,HO42)</f>
        <v>0.9452143655423999</v>
      </c>
      <c r="HP43" s="33">
        <f>IF(HP37=0,1,HP37)*IF(HP38=0,1,HP38)*IF(HP39=0,1,HP39)*IF(HP40=0,1,HP40)*IF(HP41=0,1,HP41)*IF(HP42=0,1,HP42)</f>
        <v>0.9452143655423999</v>
      </c>
    </row>
    <row r="44" spans="1:224" x14ac:dyDescent="0.25">
      <c r="A44" s="106">
        <v>10</v>
      </c>
      <c r="B44" s="215" t="s">
        <v>211</v>
      </c>
      <c r="C44" s="217"/>
      <c r="D44" s="59">
        <v>0.5</v>
      </c>
      <c r="E44" s="66">
        <v>76</v>
      </c>
      <c r="F44" s="67">
        <v>62</v>
      </c>
      <c r="G44" s="47">
        <f>(1-D44)*EXP(-0.00451*(E44-F44-20))+D44*EXP(-0.00451*(F44-20))</f>
        <v>0.9274341780217128</v>
      </c>
      <c r="H44" s="48">
        <v>1</v>
      </c>
      <c r="I44" s="106">
        <v>10</v>
      </c>
      <c r="J44" s="215" t="s">
        <v>211</v>
      </c>
      <c r="K44" s="217"/>
      <c r="L44" s="59">
        <v>0.5</v>
      </c>
      <c r="M44" s="66">
        <v>76</v>
      </c>
      <c r="N44" s="67">
        <v>62</v>
      </c>
      <c r="O44" s="47">
        <f>(1-L44)*EXP(-0.00451*(M44-N44-20))+L44*EXP(-0.00451*(N44-20))</f>
        <v>0.9274341780217128</v>
      </c>
      <c r="P44" s="48">
        <v>1</v>
      </c>
      <c r="Y44" s="107">
        <v>10</v>
      </c>
      <c r="Z44" s="215" t="s">
        <v>211</v>
      </c>
      <c r="AA44" s="217"/>
      <c r="AB44" s="59">
        <v>0.5</v>
      </c>
      <c r="AC44" s="66">
        <v>76</v>
      </c>
      <c r="AD44" s="67">
        <v>62</v>
      </c>
      <c r="AE44" s="47">
        <f>(1-AB44)*EXP(-0.00451*(AC44-AD44-20))+AB44*EXP(-0.00451*(AD44-20))</f>
        <v>0.9274341780217128</v>
      </c>
      <c r="AF44" s="48">
        <v>1</v>
      </c>
      <c r="AG44" s="107">
        <v>10</v>
      </c>
      <c r="AH44" s="215" t="s">
        <v>211</v>
      </c>
      <c r="AI44" s="217"/>
      <c r="AJ44" s="59">
        <v>0.5</v>
      </c>
      <c r="AK44" s="66">
        <v>76</v>
      </c>
      <c r="AL44" s="67">
        <v>62</v>
      </c>
      <c r="AM44" s="47">
        <f>(1-AJ44)*EXP(-0.00451*(AK44-AL44-20))+AJ44*EXP(-0.00451*(AL44-20))</f>
        <v>0.9274341780217128</v>
      </c>
      <c r="AN44" s="48">
        <v>1</v>
      </c>
      <c r="AO44" s="116"/>
      <c r="AP44" s="112"/>
      <c r="AQ44" s="14"/>
      <c r="AR44" s="14"/>
      <c r="AS44" s="14"/>
      <c r="AT44" s="14"/>
      <c r="AU44" s="14"/>
      <c r="AV44" s="25"/>
      <c r="AW44" s="116"/>
      <c r="AX44" s="112"/>
      <c r="AY44" s="14"/>
      <c r="AZ44" s="14"/>
      <c r="BA44" s="14"/>
      <c r="BB44" s="14"/>
      <c r="BC44" s="14"/>
      <c r="BD44" s="25"/>
      <c r="BE44" s="116"/>
      <c r="BF44" s="112"/>
      <c r="BG44" s="14"/>
      <c r="BH44" s="14"/>
      <c r="BI44" s="14"/>
      <c r="BJ44" s="14"/>
      <c r="BK44" s="14"/>
      <c r="BL44" s="25"/>
      <c r="BM44" s="116"/>
      <c r="BN44" s="112"/>
      <c r="BO44" s="14"/>
      <c r="BP44" s="14"/>
      <c r="BQ44" s="14"/>
      <c r="BR44" s="14"/>
      <c r="BS44" s="14"/>
      <c r="BT44" s="25"/>
      <c r="DA44" s="116"/>
      <c r="DB44" s="112"/>
      <c r="DC44" s="14"/>
      <c r="DD44" s="14"/>
      <c r="DE44" s="14"/>
      <c r="DF44" s="14"/>
      <c r="DG44" s="14"/>
      <c r="DH44" s="25"/>
      <c r="DI44" s="116"/>
      <c r="DJ44" s="112"/>
      <c r="DK44" s="14"/>
      <c r="DL44" s="14"/>
      <c r="DM44" s="14"/>
      <c r="DN44" s="14"/>
      <c r="DO44" s="14"/>
      <c r="DP44" s="25"/>
      <c r="DQ44" s="116"/>
      <c r="DR44" s="112"/>
      <c r="DS44" s="14"/>
      <c r="DT44" s="14"/>
      <c r="DU44" s="14"/>
      <c r="DV44" s="14"/>
      <c r="DW44" s="14"/>
      <c r="DX44" s="25"/>
      <c r="DY44" s="116"/>
      <c r="DZ44" s="112"/>
      <c r="EA44" s="14"/>
      <c r="EB44" s="14"/>
      <c r="EC44" s="14"/>
      <c r="ED44" s="14"/>
      <c r="EE44" s="14"/>
      <c r="EF44" s="25"/>
      <c r="EG44" s="45">
        <v>19</v>
      </c>
      <c r="EH44" s="199" t="s">
        <v>187</v>
      </c>
      <c r="EI44" s="199"/>
      <c r="EJ44" s="199"/>
      <c r="EK44" s="199"/>
      <c r="EL44" s="118" t="s">
        <v>128</v>
      </c>
      <c r="EM44" s="47">
        <f>IF(EK9="signalized",IF(EL44="Present",EXP(0.592),1),1)</f>
        <v>1.8076000026120045</v>
      </c>
      <c r="EN44" s="48">
        <f>IF(EK9="signalized",IF(EL44="Present",EXP(0.52),1),1)</f>
        <v>1.6820276496988864</v>
      </c>
      <c r="EO44" s="45">
        <v>19</v>
      </c>
      <c r="EP44" s="199" t="s">
        <v>187</v>
      </c>
      <c r="EQ44" s="199"/>
      <c r="ER44" s="199"/>
      <c r="ES44" s="199"/>
      <c r="ET44" s="118" t="s">
        <v>128</v>
      </c>
      <c r="EU44" s="47">
        <f>IF(ES9="signalized",IF(ET44="Present",EXP(0.592),1),1)</f>
        <v>1.8076000026120045</v>
      </c>
      <c r="EV44" s="48">
        <f>IF(ES9="signalized",IF(ET44="Present",EXP(0.52),1),1)</f>
        <v>1.6820276496988864</v>
      </c>
      <c r="FM44" s="45">
        <v>19</v>
      </c>
      <c r="FN44" s="199" t="s">
        <v>187</v>
      </c>
      <c r="FO44" s="199"/>
      <c r="FP44" s="199"/>
      <c r="FQ44" s="199"/>
      <c r="FR44" s="118" t="s">
        <v>129</v>
      </c>
      <c r="FS44" s="47">
        <f>IF(FQ9="signalized",IF(FR44="Present",EXP(0.592),1),1)</f>
        <v>1</v>
      </c>
      <c r="FT44" s="48">
        <f>IF(FQ9="signalized",IF(FR44="Present",EXP(0.52),1),1)</f>
        <v>1</v>
      </c>
      <c r="FU44" s="45">
        <v>19</v>
      </c>
      <c r="FV44" s="199" t="s">
        <v>187</v>
      </c>
      <c r="FW44" s="199"/>
      <c r="FX44" s="199"/>
      <c r="FY44" s="199"/>
      <c r="FZ44" s="118" t="s">
        <v>129</v>
      </c>
      <c r="GA44" s="47">
        <f>IF(FY9="signalized",IF(FZ44="Present",EXP(0.592),1),1)</f>
        <v>1</v>
      </c>
      <c r="GB44" s="48">
        <f>IF(FY9="signalized",IF(FZ44="Present",EXP(0.52),1),1)</f>
        <v>1</v>
      </c>
      <c r="GC44" s="24"/>
      <c r="GD44" s="14"/>
      <c r="GE44" s="14"/>
      <c r="GF44" s="14"/>
      <c r="GG44" s="14"/>
      <c r="GH44" s="19"/>
      <c r="GI44" s="19"/>
      <c r="GJ44" s="25"/>
      <c r="GK44" s="24"/>
      <c r="GL44" s="14"/>
      <c r="GM44" s="14"/>
      <c r="GN44" s="14"/>
      <c r="GO44" s="14"/>
      <c r="GP44" s="19"/>
      <c r="GQ44" s="19"/>
      <c r="GR44" s="25"/>
      <c r="GS44" s="24"/>
      <c r="GT44" s="14"/>
      <c r="GU44" s="14"/>
      <c r="GV44" s="14"/>
      <c r="GW44" s="14"/>
      <c r="GX44" s="19"/>
      <c r="GY44" s="19"/>
      <c r="GZ44" s="25"/>
      <c r="HA44" s="24"/>
      <c r="HB44" s="14"/>
      <c r="HC44" s="14"/>
      <c r="HD44" s="14"/>
      <c r="HE44" s="14"/>
      <c r="HF44" s="19"/>
      <c r="HG44" s="19"/>
      <c r="HH44" s="25"/>
      <c r="HI44" s="24"/>
      <c r="HJ44" s="14"/>
      <c r="HK44" s="14"/>
      <c r="HL44" s="14"/>
      <c r="HM44" s="14"/>
      <c r="HN44" s="19"/>
      <c r="HO44" s="19"/>
      <c r="HP44" s="25"/>
    </row>
    <row r="45" spans="1:224" x14ac:dyDescent="0.25">
      <c r="A45" s="106">
        <v>11</v>
      </c>
      <c r="B45" s="215" t="s">
        <v>212</v>
      </c>
      <c r="C45" s="216"/>
      <c r="D45" s="217"/>
      <c r="E45" s="59">
        <v>0</v>
      </c>
      <c r="F45" s="61">
        <v>13</v>
      </c>
      <c r="G45" s="47">
        <f>(1-E45)+E45*EXP(0.131/F45)</f>
        <v>1</v>
      </c>
      <c r="H45" s="48">
        <f>(1-E45)+E45*EXP(0.169/F45)</f>
        <v>1</v>
      </c>
      <c r="I45" s="106">
        <v>11</v>
      </c>
      <c r="J45" s="215" t="s">
        <v>212</v>
      </c>
      <c r="K45" s="216"/>
      <c r="L45" s="217"/>
      <c r="M45" s="59">
        <v>0</v>
      </c>
      <c r="N45" s="61">
        <v>13</v>
      </c>
      <c r="O45" s="47">
        <f>(1-M45)+M45*EXP(0.131/N45)</f>
        <v>1</v>
      </c>
      <c r="P45" s="48">
        <f>(1-M45)+M45*EXP(0.169/N45)</f>
        <v>1</v>
      </c>
      <c r="Y45" s="107">
        <v>11</v>
      </c>
      <c r="Z45" s="215" t="s">
        <v>212</v>
      </c>
      <c r="AA45" s="216"/>
      <c r="AB45" s="217"/>
      <c r="AC45" s="59">
        <v>0</v>
      </c>
      <c r="AD45" s="61">
        <v>13</v>
      </c>
      <c r="AE45" s="47">
        <f>(1-AC45)+AC45*EXP(0.131/AD45)</f>
        <v>1</v>
      </c>
      <c r="AF45" s="48">
        <f>(1-AC45)+AC45*EXP(0.169/AD45)</f>
        <v>1</v>
      </c>
      <c r="AG45" s="107">
        <v>11</v>
      </c>
      <c r="AH45" s="215" t="s">
        <v>212</v>
      </c>
      <c r="AI45" s="216"/>
      <c r="AJ45" s="217"/>
      <c r="AK45" s="59">
        <v>0.5</v>
      </c>
      <c r="AL45" s="61">
        <v>13</v>
      </c>
      <c r="AM45" s="47">
        <f>(1-AK45)+AK45*EXP(0.131/AL45)</f>
        <v>1.0050639331196289</v>
      </c>
      <c r="AN45" s="48">
        <f>(1-AK45)+AK45*EXP(0.169/AL45)</f>
        <v>1.0065424336799045</v>
      </c>
      <c r="AO45" s="24"/>
      <c r="AP45" s="14"/>
      <c r="AQ45" s="14"/>
      <c r="AR45" s="14"/>
      <c r="AS45" s="14"/>
      <c r="AT45" s="14"/>
      <c r="AU45" s="14"/>
      <c r="AV45" s="25"/>
      <c r="AW45" s="24"/>
      <c r="AX45" s="14"/>
      <c r="AY45" s="14"/>
      <c r="AZ45" s="14"/>
      <c r="BA45" s="14"/>
      <c r="BB45" s="14"/>
      <c r="BC45" s="14"/>
      <c r="BD45" s="25"/>
      <c r="BE45" s="24"/>
      <c r="BF45" s="14"/>
      <c r="BG45" s="14"/>
      <c r="BH45" s="14"/>
      <c r="BI45" s="14"/>
      <c r="BJ45" s="14"/>
      <c r="BK45" s="14"/>
      <c r="BL45" s="25"/>
      <c r="BM45" s="24"/>
      <c r="BN45" s="14"/>
      <c r="BO45" s="14"/>
      <c r="BP45" s="14"/>
      <c r="BQ45" s="14"/>
      <c r="BR45" s="14"/>
      <c r="BS45" s="14"/>
      <c r="BT45" s="25"/>
      <c r="DA45" s="24"/>
      <c r="DB45" s="14"/>
      <c r="DC45" s="14"/>
      <c r="DD45" s="14"/>
      <c r="DE45" s="14"/>
      <c r="DF45" s="14"/>
      <c r="DG45" s="14"/>
      <c r="DH45" s="25"/>
      <c r="DI45" s="24"/>
      <c r="DJ45" s="14"/>
      <c r="DK45" s="14"/>
      <c r="DL45" s="14"/>
      <c r="DM45" s="14"/>
      <c r="DN45" s="14"/>
      <c r="DO45" s="14"/>
      <c r="DP45" s="25"/>
      <c r="DQ45" s="24"/>
      <c r="DR45" s="14"/>
      <c r="DS45" s="14"/>
      <c r="DT45" s="14"/>
      <c r="DU45" s="14"/>
      <c r="DV45" s="14"/>
      <c r="DW45" s="14"/>
      <c r="DX45" s="25"/>
      <c r="DY45" s="24"/>
      <c r="DZ45" s="14"/>
      <c r="EA45" s="14"/>
      <c r="EB45" s="14"/>
      <c r="EC45" s="14"/>
      <c r="ED45" s="14"/>
      <c r="EE45" s="14"/>
      <c r="EF45" s="25"/>
      <c r="EG45" s="45">
        <v>20</v>
      </c>
      <c r="EH45" s="199" t="s">
        <v>188</v>
      </c>
      <c r="EI45" s="199"/>
      <c r="EJ45" s="199"/>
      <c r="EK45" s="199"/>
      <c r="EL45" s="95">
        <v>20</v>
      </c>
      <c r="EM45" s="47">
        <f>IF(EK9="Signalized",1,(1-EH6/SUM(EH6:EH9)+EH6/SUM(EH6:EH9)*EXP(0.341*SIN(EL45)*0.001*EH6)))</f>
        <v>1</v>
      </c>
      <c r="EN45" s="48">
        <v>1</v>
      </c>
      <c r="EO45" s="45">
        <v>20</v>
      </c>
      <c r="EP45" s="199" t="s">
        <v>188</v>
      </c>
      <c r="EQ45" s="199"/>
      <c r="ER45" s="199"/>
      <c r="ES45" s="199"/>
      <c r="ET45" s="95">
        <v>20</v>
      </c>
      <c r="EU45" s="47">
        <f>IF(ES9="Signalized",1,(1-EP6/SUM(EP6:EP9)+EP6/SUM(EP6:EP9)*EXP(0.341*SIN(ET45)*0.001*EP6)))</f>
        <v>1</v>
      </c>
      <c r="EV45" s="48">
        <v>1</v>
      </c>
      <c r="FM45" s="45">
        <v>20</v>
      </c>
      <c r="FN45" s="199" t="s">
        <v>188</v>
      </c>
      <c r="FO45" s="199"/>
      <c r="FP45" s="199"/>
      <c r="FQ45" s="199"/>
      <c r="FR45" s="95">
        <v>70</v>
      </c>
      <c r="FS45" s="47">
        <f>IF(FQ9="Signalized",1,(1-FN6/SUM(FN6:FN9)+FN6/SUM(FN6:FN9)*EXP(0.341*SIN(FR45)*0.001*FN6)))</f>
        <v>1</v>
      </c>
      <c r="FT45" s="48">
        <v>1</v>
      </c>
      <c r="FU45" s="45">
        <v>20</v>
      </c>
      <c r="FV45" s="199" t="s">
        <v>188</v>
      </c>
      <c r="FW45" s="199"/>
      <c r="FX45" s="199"/>
      <c r="FY45" s="199"/>
      <c r="FZ45" s="95">
        <v>70</v>
      </c>
      <c r="GA45" s="47">
        <f>IF(FY9="Signalized",1,(1-FV6/SUM(FV6:FV9)+FV6/SUM(FV6:FV9)*EXP(0.341*SIN(FZ45)*0.001*FV6)))</f>
        <v>1</v>
      </c>
      <c r="GB45" s="48">
        <v>1</v>
      </c>
      <c r="GC45" s="24"/>
      <c r="GD45" s="14"/>
      <c r="GE45" s="14"/>
      <c r="GF45" s="14"/>
      <c r="GG45" s="14"/>
      <c r="GH45" s="19"/>
      <c r="GI45" s="19"/>
      <c r="GJ45" s="25"/>
      <c r="GK45" s="24"/>
      <c r="GL45" s="14"/>
      <c r="GM45" s="14"/>
      <c r="GN45" s="14"/>
      <c r="GO45" s="14"/>
      <c r="GP45" s="19"/>
      <c r="GQ45" s="19"/>
      <c r="GR45" s="25"/>
      <c r="GS45" s="24"/>
      <c r="GT45" s="14"/>
      <c r="GU45" s="14"/>
      <c r="GV45" s="14"/>
      <c r="GW45" s="14"/>
      <c r="GX45" s="19"/>
      <c r="GY45" s="19"/>
      <c r="GZ45" s="25"/>
      <c r="HA45" s="24"/>
      <c r="HB45" s="14"/>
      <c r="HC45" s="14"/>
      <c r="HD45" s="14"/>
      <c r="HE45" s="14"/>
      <c r="HF45" s="19"/>
      <c r="HG45" s="19"/>
      <c r="HH45" s="25"/>
      <c r="HI45" s="24"/>
      <c r="HJ45" s="14"/>
      <c r="HK45" s="14"/>
      <c r="HL45" s="14"/>
      <c r="HM45" s="14"/>
      <c r="HN45" s="19"/>
      <c r="HO45" s="19"/>
      <c r="HP45" s="25"/>
    </row>
    <row r="46" spans="1:224" x14ac:dyDescent="0.25">
      <c r="A46" s="106" t="s">
        <v>208</v>
      </c>
      <c r="B46" s="199"/>
      <c r="C46" s="199"/>
      <c r="D46" s="199"/>
      <c r="E46" s="199"/>
      <c r="F46" s="199"/>
      <c r="G46" s="47"/>
      <c r="H46" s="48"/>
      <c r="I46" s="106" t="s">
        <v>208</v>
      </c>
      <c r="J46" s="199"/>
      <c r="K46" s="199"/>
      <c r="L46" s="199"/>
      <c r="M46" s="199"/>
      <c r="N46" s="199"/>
      <c r="O46" s="47"/>
      <c r="P46" s="48"/>
      <c r="Y46" s="107" t="s">
        <v>208</v>
      </c>
      <c r="Z46" s="199"/>
      <c r="AA46" s="199"/>
      <c r="AB46" s="199"/>
      <c r="AC46" s="199"/>
      <c r="AD46" s="199"/>
      <c r="AE46" s="47"/>
      <c r="AF46" s="48"/>
      <c r="AG46" s="107" t="s">
        <v>208</v>
      </c>
      <c r="AH46" s="199"/>
      <c r="AI46" s="199"/>
      <c r="AJ46" s="199"/>
      <c r="AK46" s="199"/>
      <c r="AL46" s="199"/>
      <c r="AM46" s="47"/>
      <c r="AN46" s="48"/>
      <c r="AO46" s="24"/>
      <c r="AP46" s="14"/>
      <c r="AQ46" s="14"/>
      <c r="AR46" s="14"/>
      <c r="AS46" s="14"/>
      <c r="AT46" s="14"/>
      <c r="AU46" s="14"/>
      <c r="AV46" s="25"/>
      <c r="AW46" s="24"/>
      <c r="AX46" s="14"/>
      <c r="AY46" s="14"/>
      <c r="AZ46" s="14"/>
      <c r="BA46" s="14"/>
      <c r="BB46" s="14"/>
      <c r="BC46" s="14"/>
      <c r="BD46" s="25"/>
      <c r="BE46" s="24"/>
      <c r="BF46" s="14"/>
      <c r="BG46" s="14"/>
      <c r="BH46" s="14"/>
      <c r="BI46" s="14"/>
      <c r="BJ46" s="14"/>
      <c r="BK46" s="14"/>
      <c r="BL46" s="25"/>
      <c r="BM46" s="24"/>
      <c r="BN46" s="14"/>
      <c r="BO46" s="14"/>
      <c r="BP46" s="14"/>
      <c r="BQ46" s="14"/>
      <c r="BR46" s="14"/>
      <c r="BS46" s="14"/>
      <c r="BT46" s="25"/>
      <c r="DA46" s="24"/>
      <c r="DB46" s="14"/>
      <c r="DC46" s="14"/>
      <c r="DD46" s="14"/>
      <c r="DE46" s="14"/>
      <c r="DF46" s="14"/>
      <c r="DG46" s="14"/>
      <c r="DH46" s="25"/>
      <c r="DI46" s="24"/>
      <c r="DJ46" s="14"/>
      <c r="DK46" s="14"/>
      <c r="DL46" s="14"/>
      <c r="DM46" s="14"/>
      <c r="DN46" s="14"/>
      <c r="DO46" s="14"/>
      <c r="DP46" s="25"/>
      <c r="DQ46" s="24"/>
      <c r="DR46" s="14"/>
      <c r="DS46" s="14"/>
      <c r="DT46" s="14"/>
      <c r="DU46" s="14"/>
      <c r="DV46" s="14"/>
      <c r="DW46" s="14"/>
      <c r="DX46" s="25"/>
      <c r="DY46" s="24"/>
      <c r="DZ46" s="14"/>
      <c r="EA46" s="14"/>
      <c r="EB46" s="14"/>
      <c r="EC46" s="14"/>
      <c r="ED46" s="14"/>
      <c r="EE46" s="14"/>
      <c r="EF46" s="25"/>
      <c r="EG46" s="24"/>
      <c r="EH46" s="117"/>
      <c r="EI46" s="117"/>
      <c r="EJ46" s="117"/>
      <c r="EK46" s="117"/>
      <c r="EL46" s="14"/>
      <c r="EM46" s="18">
        <f>IF(EM30=0,1,EM30)*IF(EM31=0,1,EM31)*IF(EM32=0,1,EM32)*IF(EM33=0,1,EM33)*IF(EM34=0,1,EM34)*IF(EM35=0,1,EM35)*IF(EM36=0,1,EM36)*IF(EM37=0,1,EM37)*IF(EM38=0,1,EM38)*IF(EM39=0,1,EM39)*IF(EM40=0,1,EM40)*IF(EM41=0,1,EM41)*IF(EM42=0,1,EM42)*IF(EM43=0,1,EM43)*IF(EM44=0,1,EM44)*IF(EM45=0,1,EM45)</f>
        <v>1.1974309989938545</v>
      </c>
      <c r="EN46" s="33">
        <f>IF(EN30=0,1,EN30)*IF(EN31=0,1,EN31)*IF(EN32=0,1,EN32)*IF(EN33=0,1,EN33)*IF(EN34=0,1,EN34)*IF(EN35=0,1,EN35)*IF(EN36=0,1,EN36)*IF(EN37=0,1,EN37)*IF(EN38=0,1,EN38)*IF(EN39=0,1,EN39)*IF(EN40=0,1,EN40)*IF(EN41=0,1,EN41)*IF(EN42=0,1,EN42)*IF(EN43=0,1,EN43)*IF(EN44=0,1,EN44)*IF(EN45=0,1,EN45)</f>
        <v>1.5661746588852972</v>
      </c>
      <c r="EO46" s="24"/>
      <c r="EP46" s="117"/>
      <c r="EQ46" s="117"/>
      <c r="ER46" s="117"/>
      <c r="ES46" s="117"/>
      <c r="ET46" s="14"/>
      <c r="EU46" s="18">
        <f>IF(EU30=0,1,EU30)*IF(EU31=0,1,EU31)*IF(EU32=0,1,EU32)*IF(EU33=0,1,EU33)*IF(EU34=0,1,EU34)*IF(EU35=0,1,EU35)*IF(EU36=0,1,EU36)*IF(EU37=0,1,EU37)*IF(EU38=0,1,EU38)*IF(EU39=0,1,EU39)*IF(EU40=0,1,EU40)*IF(EU41=0,1,EU41)*IF(EU42=0,1,EU42)*IF(EU43=0,1,EU43)*IF(EU44=0,1,EU44)*IF(EU45=0,1,EU45)</f>
        <v>2.3379801891895777</v>
      </c>
      <c r="EV46" s="33">
        <f>IF(EV30=0,1,EV30)*IF(EV31=0,1,EV31)*IF(EV32=0,1,EV32)*IF(EV33=0,1,EV33)*IF(EV34=0,1,EV34)*IF(EV35=0,1,EV35)*IF(EV36=0,1,EV36)*IF(EV37=0,1,EV37)*IF(EV38=0,1,EV38)*IF(EV39=0,1,EV39)*IF(EV40=0,1,EV40)*IF(EV41=0,1,EV41)*IF(EV42=0,1,EV42)*IF(EV43=0,1,EV43)*IF(EV44=0,1,EV44)*IF(EV45=0,1,EV45)</f>
        <v>2.7227528058858614</v>
      </c>
      <c r="FM46" s="24"/>
      <c r="FN46" s="117"/>
      <c r="FO46" s="117"/>
      <c r="FP46" s="117"/>
      <c r="FQ46" s="117"/>
      <c r="FR46" s="14"/>
      <c r="FS46" s="18">
        <f>IF(FS30=0,1,FS30)*IF(FS31=0,1,FS31)*IF(FS32=0,1,FS32)*IF(FS33=0,1,FS33)*IF(FS34=0,1,FS34)*IF(FS35=0,1,FS35)*IF(FS36=0,1,FS36)*IF(FS37=0,1,FS37)*IF(FS38=0,1,FS38)*IF(FS39=0,1,FS39)*IF(FS40=0,1,FS40)*IF(FS41=0,1,FS41)*IF(FS42=0,1,FS42)*IF(FS43=0,1,FS43)*IF(FS44=0,1,FS44)*IF(FS45=0,1,FS45)</f>
        <v>1.0197687024696858</v>
      </c>
      <c r="FT46" s="33">
        <f>IF(FT30=0,1,FT30)*IF(FT31=0,1,FT31)*IF(FT32=0,1,FT32)*IF(FT33=0,1,FT33)*IF(FT34=0,1,FT34)*IF(FT35=0,1,FT35)*IF(FT36=0,1,FT36)*IF(FT37=0,1,FT37)*IF(FT38=0,1,FT38)*IF(FT39=0,1,FT39)*IF(FT40=0,1,FT40)*IF(FT41=0,1,FT41)*IF(FT42=0,1,FT42)*IF(FT43=0,1,FT43)*IF(FT44=0,1,FT44)*IF(FT45=0,1,FT45)</f>
        <v>1.0805624251791586</v>
      </c>
      <c r="FU46" s="24"/>
      <c r="FV46" s="117"/>
      <c r="FW46" s="117"/>
      <c r="FX46" s="117"/>
      <c r="FY46" s="117"/>
      <c r="FZ46" s="14"/>
      <c r="GA46" s="18">
        <f>IF(GA30=0,1,GA30)*IF(GA31=0,1,GA31)*IF(GA32=0,1,GA32)*IF(GA33=0,1,GA33)*IF(GA34=0,1,GA34)*IF(GA35=0,1,GA35)*IF(GA36=0,1,GA36)*IF(GA37=0,1,GA37)*IF(GA38=0,1,GA38)*IF(GA39=0,1,GA39)*IF(GA40=0,1,GA40)*IF(GA41=0,1,GA41)*IF(GA42=0,1,GA42)*IF(GA43=0,1,GA43)*IF(GA44=0,1,GA44)*IF(GA45=0,1,GA45)</f>
        <v>1.0778626427557529</v>
      </c>
      <c r="GB46" s="33">
        <f>IF(GB30=0,1,GB30)*IF(GB31=0,1,GB31)*IF(GB32=0,1,GB32)*IF(GB33=0,1,GB33)*IF(GB34=0,1,GB34)*IF(GB35=0,1,GB35)*IF(GB36=0,1,GB36)*IF(GB37=0,1,GB37)*IF(GB38=0,1,GB38)*IF(GB39=0,1,GB39)*IF(GB40=0,1,GB40)*IF(GB41=0,1,GB41)*IF(GB42=0,1,GB42)*IF(GB43=0,1,GB43)*IF(GB44=0,1,GB44)*IF(GB45=0,1,GB45)</f>
        <v>1.2726190096958465</v>
      </c>
      <c r="GC46" s="24"/>
      <c r="GD46" s="14"/>
      <c r="GE46" s="14"/>
      <c r="GF46" s="14"/>
      <c r="GG46" s="14"/>
      <c r="GH46" s="19"/>
      <c r="GI46" s="19"/>
      <c r="GJ46" s="25"/>
      <c r="GK46" s="24"/>
      <c r="GL46" s="14"/>
      <c r="GM46" s="14"/>
      <c r="GN46" s="14"/>
      <c r="GO46" s="14"/>
      <c r="GP46" s="19"/>
      <c r="GQ46" s="19"/>
      <c r="GR46" s="25"/>
      <c r="GS46" s="24"/>
      <c r="GT46" s="14"/>
      <c r="GU46" s="14"/>
      <c r="GV46" s="14"/>
      <c r="GW46" s="14"/>
      <c r="GX46" s="19"/>
      <c r="GY46" s="19"/>
      <c r="GZ46" s="25"/>
      <c r="HA46" s="24"/>
      <c r="HB46" s="14"/>
      <c r="HC46" s="14"/>
      <c r="HD46" s="14"/>
      <c r="HE46" s="14"/>
      <c r="HF46" s="19"/>
      <c r="HG46" s="19"/>
      <c r="HH46" s="25"/>
      <c r="HI46" s="24"/>
      <c r="HJ46" s="14"/>
      <c r="HK46" s="14"/>
      <c r="HL46" s="14"/>
      <c r="HM46" s="14"/>
      <c r="HN46" s="19"/>
      <c r="HO46" s="19"/>
      <c r="HP46" s="25"/>
    </row>
    <row r="47" spans="1:224" x14ac:dyDescent="0.25">
      <c r="A47" s="14"/>
      <c r="B47" s="108"/>
      <c r="C47" s="108"/>
      <c r="D47" s="108"/>
      <c r="E47" s="108"/>
      <c r="F47" s="14"/>
      <c r="G47" s="18">
        <f>IF(G43=0,1,G43)*IF(G42=0,1,G42)*IF(G45=0,1,G45)*IF(G44=0,1,G44)*IF(G41=0,1,G41)*IF(G40=0,1,G40)*IF(G46=0,1,G46)</f>
        <v>0.69536147959049388</v>
      </c>
      <c r="H47" s="33">
        <f>IF(H43=0,1,H43)*IF(H42=0,1,H42)*IF(H45=0,1,H45)*IF(H44=0,1,H44)*IF(H41=0,1,H41)*IF(H40=0,1,H40)*IF(H46=0,1,H46)</f>
        <v>1.0024830777437423</v>
      </c>
      <c r="I47" s="14"/>
      <c r="J47" s="108"/>
      <c r="K47" s="108"/>
      <c r="L47" s="108"/>
      <c r="M47" s="108"/>
      <c r="N47" s="14"/>
      <c r="O47" s="18">
        <f>IF(O43=0,1,O43)*IF(O42=0,1,O42)*IF(O45=0,1,O45)*IF(O44=0,1,O44)*IF(O41=0,1,O41)*IF(O40=0,1,O40)*IF(O46=0,1,O46)</f>
        <v>0.69536147959049388</v>
      </c>
      <c r="P47" s="33">
        <f>IF(P43=0,1,P43)*IF(P42=0,1,P42)*IF(P45=0,1,P45)*IF(P44=0,1,P44)*IF(P41=0,1,P41)*IF(P40=0,1,P40)*IF(P46=0,1,P46)</f>
        <v>1.0024830777437423</v>
      </c>
      <c r="Y47" s="24"/>
      <c r="Z47" s="108"/>
      <c r="AA47" s="108"/>
      <c r="AB47" s="108"/>
      <c r="AC47" s="108"/>
      <c r="AD47" s="14"/>
      <c r="AE47" s="18">
        <f>IF(AE43=0,1,AE43)*IF(AE42=0,1,AE42)*IF(AE45=0,1,AE45)*IF(AE44=0,1,AE44)*IF(AE41=0,1,AE41)*IF(AE40=0,1,AE40)*IF(AE46=0,1,AE46)</f>
        <v>0.69536147959049388</v>
      </c>
      <c r="AF47" s="33">
        <f>IF(AF43=0,1,AF43)*IF(AF42=0,1,AF42)*IF(AF45=0,1,AF45)*IF(AF44=0,1,AF44)*IF(AF41=0,1,AF41)*IF(AF40=0,1,AF40)*IF(AF46=0,1,AF46)</f>
        <v>1.0024830777437423</v>
      </c>
      <c r="AG47" s="24"/>
      <c r="AH47" s="108"/>
      <c r="AI47" s="108"/>
      <c r="AJ47" s="108"/>
      <c r="AK47" s="108"/>
      <c r="AL47" s="14"/>
      <c r="AM47" s="18">
        <f>IF(AM43=0,1,AM43)*IF(AM42=0,1,AM42)*IF(AM45=0,1,AM45)*IF(AM44=0,1,AM44)*IF(AM41=0,1,AM41)*IF(AM40=0,1,AM40)*IF(AM46=0,1,AM46)</f>
        <v>0.69888274361710634</v>
      </c>
      <c r="AN47" s="33">
        <f>IF(AN43=0,1,AN43)*IF(AN42=0,1,AN42)*IF(AN45=0,1,AN45)*IF(AN44=0,1,AN44)*IF(AN41=0,1,AN41)*IF(AN40=0,1,AN40)*IF(AN46=0,1,AN46)</f>
        <v>1.0090417567951073</v>
      </c>
      <c r="AO47" s="24"/>
      <c r="AP47" s="14"/>
      <c r="AQ47" s="14"/>
      <c r="AR47" s="14"/>
      <c r="AS47" s="14"/>
      <c r="AT47" s="14"/>
      <c r="AU47" s="14"/>
      <c r="AV47" s="25"/>
      <c r="AW47" s="24"/>
      <c r="AX47" s="14"/>
      <c r="AY47" s="14"/>
      <c r="AZ47" s="14"/>
      <c r="BA47" s="14"/>
      <c r="BB47" s="14"/>
      <c r="BC47" s="14"/>
      <c r="BD47" s="25"/>
      <c r="BE47" s="24"/>
      <c r="BF47" s="14"/>
      <c r="BG47" s="14"/>
      <c r="BH47" s="14"/>
      <c r="BI47" s="14"/>
      <c r="BJ47" s="14"/>
      <c r="BK47" s="14"/>
      <c r="BL47" s="25"/>
      <c r="BM47" s="24"/>
      <c r="BN47" s="14"/>
      <c r="BO47" s="14"/>
      <c r="BP47" s="14"/>
      <c r="BQ47" s="14"/>
      <c r="BR47" s="14"/>
      <c r="BS47" s="14"/>
      <c r="BT47" s="25"/>
      <c r="DA47" s="24"/>
      <c r="DB47" s="14"/>
      <c r="DC47" s="14"/>
      <c r="DD47" s="14"/>
      <c r="DE47" s="14"/>
      <c r="DF47" s="14"/>
      <c r="DG47" s="14"/>
      <c r="DH47" s="25"/>
      <c r="DI47" s="24"/>
      <c r="DJ47" s="14"/>
      <c r="DK47" s="14"/>
      <c r="DL47" s="14"/>
      <c r="DM47" s="14"/>
      <c r="DN47" s="14"/>
      <c r="DO47" s="14"/>
      <c r="DP47" s="25"/>
      <c r="DQ47" s="24"/>
      <c r="DR47" s="14"/>
      <c r="DS47" s="14"/>
      <c r="DT47" s="14"/>
      <c r="DU47" s="14"/>
      <c r="DV47" s="14"/>
      <c r="DW47" s="14"/>
      <c r="DX47" s="25"/>
      <c r="DY47" s="24"/>
      <c r="DZ47" s="14"/>
      <c r="EA47" s="14"/>
      <c r="EB47" s="14"/>
      <c r="EC47" s="14"/>
      <c r="ED47" s="14"/>
      <c r="EE47" s="14"/>
      <c r="EF47" s="25"/>
      <c r="EG47" s="24"/>
      <c r="EH47" s="14"/>
      <c r="EI47" s="14"/>
      <c r="EJ47" s="14"/>
      <c r="EK47" s="14"/>
      <c r="EL47" s="14"/>
      <c r="EM47" s="14"/>
      <c r="EN47" s="25"/>
      <c r="EO47" s="24"/>
      <c r="EP47" s="14"/>
      <c r="EQ47" s="14"/>
      <c r="ER47" s="14"/>
      <c r="ES47" s="14"/>
      <c r="ET47" s="14"/>
      <c r="EU47" s="14"/>
      <c r="EV47" s="25"/>
      <c r="FM47" s="24"/>
      <c r="FN47" s="14"/>
      <c r="FO47" s="14"/>
      <c r="FP47" s="14"/>
      <c r="FQ47" s="14"/>
      <c r="FR47" s="14"/>
      <c r="FS47" s="14"/>
      <c r="FT47" s="25"/>
      <c r="FU47" s="24"/>
      <c r="FV47" s="14"/>
      <c r="FW47" s="14"/>
      <c r="FX47" s="14"/>
      <c r="FY47" s="14"/>
      <c r="FZ47" s="14"/>
      <c r="GA47" s="14"/>
      <c r="GB47" s="25"/>
      <c r="GC47" s="24"/>
      <c r="GD47" s="14"/>
      <c r="GE47" s="14"/>
      <c r="GF47" s="14"/>
      <c r="GG47" s="14"/>
      <c r="GH47" s="19"/>
      <c r="GI47" s="19"/>
      <c r="GJ47" s="25"/>
      <c r="GK47" s="24"/>
      <c r="GL47" s="14"/>
      <c r="GM47" s="14"/>
      <c r="GN47" s="14"/>
      <c r="GO47" s="14"/>
      <c r="GP47" s="19"/>
      <c r="GQ47" s="19"/>
      <c r="GR47" s="25"/>
      <c r="GS47" s="24"/>
      <c r="GT47" s="14"/>
      <c r="GU47" s="14"/>
      <c r="GV47" s="14"/>
      <c r="GW47" s="14"/>
      <c r="GX47" s="19"/>
      <c r="GY47" s="19"/>
      <c r="GZ47" s="25"/>
      <c r="HA47" s="24"/>
      <c r="HB47" s="14"/>
      <c r="HC47" s="14"/>
      <c r="HD47" s="14"/>
      <c r="HE47" s="14"/>
      <c r="HF47" s="19"/>
      <c r="HG47" s="19"/>
      <c r="HH47" s="25"/>
      <c r="HI47" s="24"/>
      <c r="HJ47" s="14"/>
      <c r="HK47" s="14"/>
      <c r="HL47" s="14"/>
      <c r="HM47" s="14"/>
      <c r="HN47" s="19"/>
      <c r="HO47" s="19"/>
      <c r="HP47" s="25"/>
    </row>
    <row r="48" spans="1:224" x14ac:dyDescent="0.25">
      <c r="A48" s="14"/>
      <c r="B48" s="14"/>
      <c r="C48" s="14"/>
      <c r="D48" s="14"/>
      <c r="E48" s="14"/>
      <c r="F48" s="19"/>
      <c r="G48" s="19"/>
      <c r="H48" s="25"/>
      <c r="I48" s="14"/>
      <c r="J48" s="14"/>
      <c r="K48" s="14"/>
      <c r="L48" s="14"/>
      <c r="M48" s="14"/>
      <c r="N48" s="19"/>
      <c r="O48" s="19"/>
      <c r="P48" s="25"/>
      <c r="Y48" s="24"/>
      <c r="Z48" s="14"/>
      <c r="AA48" s="14"/>
      <c r="AB48" s="14"/>
      <c r="AC48" s="14"/>
      <c r="AD48" s="19"/>
      <c r="AE48" s="19"/>
      <c r="AF48" s="25"/>
      <c r="AG48" s="24"/>
      <c r="AH48" s="14"/>
      <c r="AI48" s="14"/>
      <c r="AJ48" s="14"/>
      <c r="AK48" s="14"/>
      <c r="AL48" s="19"/>
      <c r="AM48" s="19"/>
      <c r="AN48" s="25"/>
      <c r="AO48" s="24"/>
      <c r="AP48" s="14"/>
      <c r="AQ48" s="14"/>
      <c r="AR48" s="14"/>
      <c r="AS48" s="14"/>
      <c r="AT48" s="14"/>
      <c r="AU48" s="14"/>
      <c r="AV48" s="25"/>
      <c r="AW48" s="24"/>
      <c r="AX48" s="14"/>
      <c r="AY48" s="14"/>
      <c r="AZ48" s="14"/>
      <c r="BA48" s="14"/>
      <c r="BB48" s="14"/>
      <c r="BC48" s="14"/>
      <c r="BD48" s="25"/>
      <c r="BE48" s="24"/>
      <c r="BF48" s="14"/>
      <c r="BG48" s="14"/>
      <c r="BH48" s="14"/>
      <c r="BI48" s="14"/>
      <c r="BJ48" s="14"/>
      <c r="BK48" s="14"/>
      <c r="BL48" s="25"/>
      <c r="BM48" s="24"/>
      <c r="BN48" s="14"/>
      <c r="BO48" s="14"/>
      <c r="BP48" s="14"/>
      <c r="BQ48" s="14"/>
      <c r="BR48" s="14"/>
      <c r="BS48" s="14"/>
      <c r="BT48" s="25"/>
      <c r="DA48" s="24"/>
      <c r="DB48" s="14"/>
      <c r="DC48" s="14"/>
      <c r="DD48" s="14"/>
      <c r="DE48" s="14"/>
      <c r="DF48" s="14"/>
      <c r="DG48" s="14"/>
      <c r="DH48" s="25"/>
      <c r="DI48" s="24"/>
      <c r="DJ48" s="14"/>
      <c r="DK48" s="14"/>
      <c r="DL48" s="14"/>
      <c r="DM48" s="14"/>
      <c r="DN48" s="14"/>
      <c r="DO48" s="14"/>
      <c r="DP48" s="25"/>
      <c r="DQ48" s="24"/>
      <c r="DR48" s="14"/>
      <c r="DS48" s="14"/>
      <c r="DT48" s="14"/>
      <c r="DU48" s="14"/>
      <c r="DV48" s="14"/>
      <c r="DW48" s="14"/>
      <c r="DX48" s="25"/>
      <c r="DY48" s="24"/>
      <c r="DZ48" s="14"/>
      <c r="EA48" s="14"/>
      <c r="EB48" s="14"/>
      <c r="EC48" s="14"/>
      <c r="ED48" s="14"/>
      <c r="EE48" s="14"/>
      <c r="EF48" s="25"/>
      <c r="EG48" s="24"/>
      <c r="EH48" s="14"/>
      <c r="EI48" s="14"/>
      <c r="EJ48" s="14"/>
      <c r="EK48" s="14"/>
      <c r="EL48" s="14"/>
      <c r="EM48" s="14"/>
      <c r="EN48" s="25"/>
      <c r="EO48" s="24"/>
      <c r="EP48" s="14"/>
      <c r="EQ48" s="14"/>
      <c r="ER48" s="14"/>
      <c r="ES48" s="14"/>
      <c r="ET48" s="14"/>
      <c r="EU48" s="14"/>
      <c r="EV48" s="25"/>
      <c r="FM48" s="24"/>
      <c r="FN48" s="14"/>
      <c r="FO48" s="14"/>
      <c r="FP48" s="14"/>
      <c r="FQ48" s="14"/>
      <c r="FR48" s="14"/>
      <c r="FS48" s="14"/>
      <c r="FT48" s="25"/>
      <c r="FU48" s="24"/>
      <c r="FV48" s="14"/>
      <c r="FW48" s="14"/>
      <c r="FX48" s="14"/>
      <c r="FY48" s="14"/>
      <c r="FZ48" s="14"/>
      <c r="GA48" s="14"/>
      <c r="GB48" s="25"/>
      <c r="GC48" s="24"/>
      <c r="GD48" s="14"/>
      <c r="GE48" s="14"/>
      <c r="GF48" s="14"/>
      <c r="GG48" s="14"/>
      <c r="GH48" s="19"/>
      <c r="GI48" s="19"/>
      <c r="GJ48" s="25"/>
      <c r="GK48" s="24"/>
      <c r="GL48" s="14"/>
      <c r="GM48" s="14"/>
      <c r="GN48" s="14"/>
      <c r="GO48" s="14"/>
      <c r="GP48" s="19"/>
      <c r="GQ48" s="19"/>
      <c r="GR48" s="25"/>
      <c r="GS48" s="24"/>
      <c r="GT48" s="14"/>
      <c r="GU48" s="14"/>
      <c r="GV48" s="14"/>
      <c r="GW48" s="14"/>
      <c r="GX48" s="19"/>
      <c r="GY48" s="19"/>
      <c r="GZ48" s="25"/>
      <c r="HA48" s="24"/>
      <c r="HB48" s="14"/>
      <c r="HC48" s="14"/>
      <c r="HD48" s="14"/>
      <c r="HE48" s="14"/>
      <c r="HF48" s="19"/>
      <c r="HG48" s="19"/>
      <c r="HH48" s="25"/>
      <c r="HI48" s="24"/>
      <c r="HJ48" s="14"/>
      <c r="HK48" s="14"/>
      <c r="HL48" s="14"/>
      <c r="HM48" s="14"/>
      <c r="HN48" s="19"/>
      <c r="HO48" s="19"/>
      <c r="HP48" s="25"/>
    </row>
    <row r="49" spans="1:224" ht="16.5" thickBot="1" x14ac:dyDescent="0.3">
      <c r="A49" s="201" t="s">
        <v>117</v>
      </c>
      <c r="B49" s="201"/>
      <c r="C49" s="201"/>
      <c r="D49" s="201"/>
      <c r="E49" s="201"/>
      <c r="F49" s="201"/>
      <c r="G49" s="201"/>
      <c r="H49" s="202"/>
      <c r="I49" s="201" t="s">
        <v>117</v>
      </c>
      <c r="J49" s="201"/>
      <c r="K49" s="201"/>
      <c r="L49" s="201"/>
      <c r="M49" s="201"/>
      <c r="N49" s="201"/>
      <c r="O49" s="201"/>
      <c r="P49" s="202"/>
      <c r="Y49" s="200" t="s">
        <v>117</v>
      </c>
      <c r="Z49" s="201"/>
      <c r="AA49" s="201"/>
      <c r="AB49" s="201"/>
      <c r="AC49" s="201"/>
      <c r="AD49" s="201"/>
      <c r="AE49" s="201"/>
      <c r="AF49" s="202"/>
      <c r="AG49" s="200" t="s">
        <v>117</v>
      </c>
      <c r="AH49" s="201"/>
      <c r="AI49" s="201"/>
      <c r="AJ49" s="201"/>
      <c r="AK49" s="201"/>
      <c r="AL49" s="201"/>
      <c r="AM49" s="201"/>
      <c r="AN49" s="202"/>
      <c r="AO49" s="200" t="s">
        <v>117</v>
      </c>
      <c r="AP49" s="201"/>
      <c r="AQ49" s="201"/>
      <c r="AR49" s="201"/>
      <c r="AS49" s="201"/>
      <c r="AT49" s="201"/>
      <c r="AU49" s="201"/>
      <c r="AV49" s="202"/>
      <c r="AW49" s="200" t="s">
        <v>117</v>
      </c>
      <c r="AX49" s="201"/>
      <c r="AY49" s="201"/>
      <c r="AZ49" s="201"/>
      <c r="BA49" s="201"/>
      <c r="BB49" s="201"/>
      <c r="BC49" s="201"/>
      <c r="BD49" s="202"/>
      <c r="BE49" s="200" t="s">
        <v>117</v>
      </c>
      <c r="BF49" s="201"/>
      <c r="BG49" s="201"/>
      <c r="BH49" s="201"/>
      <c r="BI49" s="201"/>
      <c r="BJ49" s="201"/>
      <c r="BK49" s="201"/>
      <c r="BL49" s="202"/>
      <c r="BM49" s="200" t="s">
        <v>117</v>
      </c>
      <c r="BN49" s="201"/>
      <c r="BO49" s="201"/>
      <c r="BP49" s="201"/>
      <c r="BQ49" s="201"/>
      <c r="BR49" s="201"/>
      <c r="BS49" s="201"/>
      <c r="BT49" s="202"/>
      <c r="DA49" s="200" t="s">
        <v>117</v>
      </c>
      <c r="DB49" s="201"/>
      <c r="DC49" s="201"/>
      <c r="DD49" s="201"/>
      <c r="DE49" s="201"/>
      <c r="DF49" s="201"/>
      <c r="DG49" s="201"/>
      <c r="DH49" s="202"/>
      <c r="DI49" s="200" t="s">
        <v>117</v>
      </c>
      <c r="DJ49" s="201"/>
      <c r="DK49" s="201"/>
      <c r="DL49" s="201"/>
      <c r="DM49" s="201"/>
      <c r="DN49" s="201"/>
      <c r="DO49" s="201"/>
      <c r="DP49" s="202"/>
      <c r="DQ49" s="200" t="s">
        <v>117</v>
      </c>
      <c r="DR49" s="201"/>
      <c r="DS49" s="201"/>
      <c r="DT49" s="201"/>
      <c r="DU49" s="201"/>
      <c r="DV49" s="201"/>
      <c r="DW49" s="201"/>
      <c r="DX49" s="202"/>
      <c r="DY49" s="200" t="s">
        <v>117</v>
      </c>
      <c r="DZ49" s="201"/>
      <c r="EA49" s="201"/>
      <c r="EB49" s="201"/>
      <c r="EC49" s="201"/>
      <c r="ED49" s="201"/>
      <c r="EE49" s="201"/>
      <c r="EF49" s="202"/>
      <c r="EG49" s="200" t="s">
        <v>117</v>
      </c>
      <c r="EH49" s="201"/>
      <c r="EI49" s="201"/>
      <c r="EJ49" s="201"/>
      <c r="EK49" s="201"/>
      <c r="EL49" s="201"/>
      <c r="EM49" s="201"/>
      <c r="EN49" s="202"/>
      <c r="EO49" s="200" t="s">
        <v>117</v>
      </c>
      <c r="EP49" s="201"/>
      <c r="EQ49" s="201"/>
      <c r="ER49" s="201"/>
      <c r="ES49" s="201"/>
      <c r="ET49" s="201"/>
      <c r="EU49" s="201"/>
      <c r="EV49" s="202"/>
      <c r="FM49" s="200" t="s">
        <v>117</v>
      </c>
      <c r="FN49" s="201"/>
      <c r="FO49" s="201"/>
      <c r="FP49" s="201"/>
      <c r="FQ49" s="201"/>
      <c r="FR49" s="201"/>
      <c r="FS49" s="201"/>
      <c r="FT49" s="202"/>
      <c r="FU49" s="200" t="s">
        <v>117</v>
      </c>
      <c r="FV49" s="201"/>
      <c r="FW49" s="201"/>
      <c r="FX49" s="201"/>
      <c r="FY49" s="201"/>
      <c r="FZ49" s="201"/>
      <c r="GA49" s="201"/>
      <c r="GB49" s="202"/>
      <c r="GC49" s="200" t="s">
        <v>117</v>
      </c>
      <c r="GD49" s="201"/>
      <c r="GE49" s="201"/>
      <c r="GF49" s="201"/>
      <c r="GG49" s="201"/>
      <c r="GH49" s="201"/>
      <c r="GI49" s="201"/>
      <c r="GJ49" s="202"/>
      <c r="GK49" s="200" t="s">
        <v>117</v>
      </c>
      <c r="GL49" s="201"/>
      <c r="GM49" s="201"/>
      <c r="GN49" s="201"/>
      <c r="GO49" s="201"/>
      <c r="GP49" s="201"/>
      <c r="GQ49" s="201"/>
      <c r="GR49" s="202"/>
      <c r="GS49" s="200" t="s">
        <v>117</v>
      </c>
      <c r="GT49" s="201"/>
      <c r="GU49" s="201"/>
      <c r="GV49" s="201"/>
      <c r="GW49" s="201"/>
      <c r="GX49" s="201"/>
      <c r="GY49" s="201"/>
      <c r="GZ49" s="202"/>
      <c r="HA49" s="200" t="s">
        <v>117</v>
      </c>
      <c r="HB49" s="201"/>
      <c r="HC49" s="201"/>
      <c r="HD49" s="201"/>
      <c r="HE49" s="201"/>
      <c r="HF49" s="201"/>
      <c r="HG49" s="201"/>
      <c r="HH49" s="202"/>
      <c r="HI49" s="200" t="s">
        <v>117</v>
      </c>
      <c r="HJ49" s="201"/>
      <c r="HK49" s="201"/>
      <c r="HL49" s="201"/>
      <c r="HM49" s="201"/>
      <c r="HN49" s="201"/>
      <c r="HO49" s="201"/>
      <c r="HP49" s="202"/>
    </row>
    <row r="50" spans="1:224" ht="15.75" thickTop="1" x14ac:dyDescent="0.25">
      <c r="A50" s="24"/>
      <c r="B50" s="14"/>
      <c r="C50" s="14"/>
      <c r="D50" s="14"/>
      <c r="E50" s="14"/>
      <c r="F50" s="14"/>
      <c r="G50" s="14"/>
      <c r="H50" s="25"/>
      <c r="I50" s="24"/>
      <c r="J50" s="14"/>
      <c r="K50" s="14"/>
      <c r="L50" s="14"/>
      <c r="M50" s="14"/>
      <c r="N50" s="14"/>
      <c r="O50" s="14"/>
      <c r="P50" s="25"/>
      <c r="Y50" s="24"/>
      <c r="Z50" s="14"/>
      <c r="AA50" s="14"/>
      <c r="AB50" s="14"/>
      <c r="AC50" s="14"/>
      <c r="AD50" s="14"/>
      <c r="AE50" s="14"/>
      <c r="AF50" s="25"/>
      <c r="AG50" s="24"/>
      <c r="AH50" s="14"/>
      <c r="AI50" s="14"/>
      <c r="AJ50" s="14"/>
      <c r="AK50" s="14"/>
      <c r="AL50" s="14"/>
      <c r="AM50" s="14"/>
      <c r="AN50" s="25"/>
      <c r="AO50" s="24"/>
      <c r="AP50" s="14"/>
      <c r="AQ50" s="14"/>
      <c r="AR50" s="14"/>
      <c r="AS50" s="14"/>
      <c r="AT50" s="14"/>
      <c r="AU50" s="14"/>
      <c r="AV50" s="25"/>
      <c r="AW50" s="24"/>
      <c r="AX50" s="14"/>
      <c r="AY50" s="14"/>
      <c r="AZ50" s="14"/>
      <c r="BA50" s="14"/>
      <c r="BB50" s="14"/>
      <c r="BC50" s="14"/>
      <c r="BD50" s="25"/>
      <c r="BE50" s="24"/>
      <c r="BF50" s="14"/>
      <c r="BG50" s="14"/>
      <c r="BH50" s="14"/>
      <c r="BI50" s="14"/>
      <c r="BJ50" s="14"/>
      <c r="BK50" s="14"/>
      <c r="BL50" s="25"/>
      <c r="BM50" s="24"/>
      <c r="BN50" s="14"/>
      <c r="BO50" s="14"/>
      <c r="BP50" s="14"/>
      <c r="BQ50" s="14"/>
      <c r="BR50" s="14"/>
      <c r="BS50" s="14"/>
      <c r="BT50" s="25"/>
      <c r="DA50" s="24"/>
      <c r="DB50" s="14"/>
      <c r="DC50" s="14"/>
      <c r="DD50" s="14"/>
      <c r="DE50" s="14"/>
      <c r="DF50" s="14"/>
      <c r="DG50" s="14"/>
      <c r="DH50" s="25"/>
      <c r="DI50" s="24"/>
      <c r="DJ50" s="14"/>
      <c r="DK50" s="14"/>
      <c r="DL50" s="14"/>
      <c r="DM50" s="14"/>
      <c r="DN50" s="14"/>
      <c r="DO50" s="14"/>
      <c r="DP50" s="25"/>
      <c r="DQ50" s="24"/>
      <c r="DR50" s="14"/>
      <c r="DS50" s="14"/>
      <c r="DT50" s="14"/>
      <c r="DU50" s="14"/>
      <c r="DV50" s="14"/>
      <c r="DW50" s="14"/>
      <c r="DX50" s="25"/>
      <c r="DY50" s="24"/>
      <c r="DZ50" s="14"/>
      <c r="EA50" s="14"/>
      <c r="EB50" s="14"/>
      <c r="EC50" s="14"/>
      <c r="ED50" s="14"/>
      <c r="EE50" s="14"/>
      <c r="EF50" s="25"/>
      <c r="EG50" s="24"/>
      <c r="EH50" s="14"/>
      <c r="EI50" s="14"/>
      <c r="EJ50" s="14"/>
      <c r="EK50" s="14"/>
      <c r="EL50" s="14"/>
      <c r="EM50" s="14"/>
      <c r="EN50" s="25"/>
      <c r="EO50" s="24"/>
      <c r="EP50" s="14"/>
      <c r="EQ50" s="14"/>
      <c r="ER50" s="14"/>
      <c r="ES50" s="14"/>
      <c r="ET50" s="14"/>
      <c r="EU50" s="14"/>
      <c r="EV50" s="25"/>
      <c r="FM50" s="24"/>
      <c r="FN50" s="14"/>
      <c r="FO50" s="14"/>
      <c r="FP50" s="14"/>
      <c r="FQ50" s="14"/>
      <c r="FR50" s="14"/>
      <c r="FS50" s="14"/>
      <c r="FT50" s="25"/>
      <c r="FU50" s="24"/>
      <c r="FV50" s="14"/>
      <c r="FW50" s="14"/>
      <c r="FX50" s="14"/>
      <c r="FY50" s="14"/>
      <c r="FZ50" s="14"/>
      <c r="GA50" s="14"/>
      <c r="GB50" s="25"/>
      <c r="GC50" s="24"/>
      <c r="GD50" s="14"/>
      <c r="GE50" s="14"/>
      <c r="GF50" s="14"/>
      <c r="GG50" s="14"/>
      <c r="GH50" s="19"/>
      <c r="GI50" s="19"/>
      <c r="GJ50" s="25"/>
      <c r="GK50" s="24"/>
      <c r="GL50" s="14"/>
      <c r="GM50" s="14"/>
      <c r="GN50" s="14"/>
      <c r="GO50" s="14"/>
      <c r="GP50" s="19"/>
      <c r="GQ50" s="19"/>
      <c r="GR50" s="25"/>
      <c r="GS50" s="24"/>
      <c r="GT50" s="14"/>
      <c r="GU50" s="14"/>
      <c r="GV50" s="14"/>
      <c r="GW50" s="14"/>
      <c r="GX50" s="19"/>
      <c r="GY50" s="19"/>
      <c r="GZ50" s="25"/>
      <c r="HA50" s="24"/>
      <c r="HB50" s="14"/>
      <c r="HC50" s="14"/>
      <c r="HD50" s="14"/>
      <c r="HE50" s="14"/>
      <c r="HF50" s="19"/>
      <c r="HG50" s="19"/>
      <c r="HH50" s="25"/>
      <c r="HI50" s="24"/>
      <c r="HJ50" s="14"/>
      <c r="HK50" s="14"/>
      <c r="HL50" s="14"/>
      <c r="HM50" s="14"/>
      <c r="HN50" s="19"/>
      <c r="HO50" s="19"/>
      <c r="HP50" s="25"/>
    </row>
    <row r="51" spans="1:224" x14ac:dyDescent="0.25">
      <c r="A51" s="195" t="s">
        <v>18</v>
      </c>
      <c r="B51" s="194"/>
      <c r="C51" s="16">
        <f>C52+C53</f>
        <v>10.416864158894416</v>
      </c>
      <c r="D51" s="14"/>
      <c r="E51" s="14"/>
      <c r="F51" s="14"/>
      <c r="G51" s="14"/>
      <c r="H51" s="25"/>
      <c r="I51" s="195" t="s">
        <v>18</v>
      </c>
      <c r="J51" s="194"/>
      <c r="K51" s="16">
        <f>K52+K53</f>
        <v>63.900694332554806</v>
      </c>
      <c r="L51" s="14"/>
      <c r="M51" s="14"/>
      <c r="N51" s="14"/>
      <c r="O51" s="14"/>
      <c r="P51" s="25"/>
      <c r="Y51" s="195" t="s">
        <v>18</v>
      </c>
      <c r="Z51" s="194"/>
      <c r="AA51" s="16">
        <f>AA52+AA53</f>
        <v>6.6481447689716191</v>
      </c>
      <c r="AB51" s="14"/>
      <c r="AC51" s="14"/>
      <c r="AD51" s="14"/>
      <c r="AE51" s="14"/>
      <c r="AF51" s="25"/>
      <c r="AG51" s="195" t="s">
        <v>18</v>
      </c>
      <c r="AH51" s="194"/>
      <c r="AI51" s="16">
        <f>AI52+AI53</f>
        <v>28.212376019545111</v>
      </c>
      <c r="AJ51" s="14"/>
      <c r="AK51" s="14"/>
      <c r="AL51" s="14"/>
      <c r="AM51" s="14"/>
      <c r="AN51" s="25"/>
      <c r="AO51" s="195" t="s">
        <v>18</v>
      </c>
      <c r="AP51" s="194"/>
      <c r="AQ51" s="16">
        <f>AQ52+AQ53</f>
        <v>1.7210437498975377</v>
      </c>
      <c r="AR51" s="14"/>
      <c r="AS51" s="14"/>
      <c r="AT51" s="14"/>
      <c r="AU51" s="14"/>
      <c r="AV51" s="25"/>
      <c r="AW51" s="195" t="s">
        <v>18</v>
      </c>
      <c r="AX51" s="194"/>
      <c r="AY51" s="16">
        <f>AY52+AY53</f>
        <v>1.2482139318058496</v>
      </c>
      <c r="AZ51" s="14"/>
      <c r="BA51" s="14"/>
      <c r="BB51" s="14"/>
      <c r="BC51" s="14"/>
      <c r="BD51" s="25"/>
      <c r="BE51" s="195" t="s">
        <v>18</v>
      </c>
      <c r="BF51" s="194"/>
      <c r="BG51" s="16">
        <f>BG52+BG53</f>
        <v>1.3522302803244268</v>
      </c>
      <c r="BH51" s="14"/>
      <c r="BI51" s="14"/>
      <c r="BJ51" s="14"/>
      <c r="BK51" s="14"/>
      <c r="BL51" s="25"/>
      <c r="BM51" s="195" t="s">
        <v>18</v>
      </c>
      <c r="BN51" s="194"/>
      <c r="BO51" s="16">
        <f>BO52+BO53</f>
        <v>1.8134100929440842</v>
      </c>
      <c r="BP51" s="14"/>
      <c r="BQ51" s="14"/>
      <c r="BR51" s="14"/>
      <c r="BS51" s="14"/>
      <c r="BT51" s="25"/>
      <c r="DA51" s="195" t="s">
        <v>18</v>
      </c>
      <c r="DB51" s="194"/>
      <c r="DC51" s="16">
        <f>DC52+DC53</f>
        <v>2.3436800012514332</v>
      </c>
      <c r="DD51" s="14"/>
      <c r="DE51" s="14"/>
      <c r="DF51" s="14"/>
      <c r="DG51" s="14"/>
      <c r="DH51" s="25"/>
      <c r="DI51" s="195" t="s">
        <v>18</v>
      </c>
      <c r="DJ51" s="194"/>
      <c r="DK51" s="16">
        <f>DK52+DK53</f>
        <v>2.5637667561203905</v>
      </c>
      <c r="DL51" s="14"/>
      <c r="DM51" s="14"/>
      <c r="DN51" s="14"/>
      <c r="DO51" s="14"/>
      <c r="DP51" s="25"/>
      <c r="DQ51" s="195" t="s">
        <v>18</v>
      </c>
      <c r="DR51" s="194"/>
      <c r="DS51" s="16">
        <f>DS52+DS53</f>
        <v>2.3072300698408923</v>
      </c>
      <c r="DT51" s="14"/>
      <c r="DU51" s="14"/>
      <c r="DV51" s="14"/>
      <c r="DW51" s="14"/>
      <c r="DX51" s="25"/>
      <c r="DY51" s="195" t="s">
        <v>18</v>
      </c>
      <c r="DZ51" s="194"/>
      <c r="EA51" s="16">
        <f>EA52+EA53</f>
        <v>2.6331245413096145</v>
      </c>
      <c r="EB51" s="14"/>
      <c r="EC51" s="14"/>
      <c r="ED51" s="14"/>
      <c r="EE51" s="14"/>
      <c r="EF51" s="25"/>
      <c r="EG51" s="195" t="s">
        <v>18</v>
      </c>
      <c r="EH51" s="194"/>
      <c r="EI51" s="16">
        <f>EI52+EI53</f>
        <v>26.392020082292447</v>
      </c>
      <c r="EJ51" s="14"/>
      <c r="EK51" s="14"/>
      <c r="EL51" s="14"/>
      <c r="EM51" s="14"/>
      <c r="EN51" s="25"/>
      <c r="EO51" s="195" t="s">
        <v>18</v>
      </c>
      <c r="EP51" s="194"/>
      <c r="EQ51" s="16">
        <f>EQ52+EQ53</f>
        <v>79.12781835271953</v>
      </c>
      <c r="ER51" s="14"/>
      <c r="ES51" s="14"/>
      <c r="ET51" s="14"/>
      <c r="EU51" s="14"/>
      <c r="EV51" s="25"/>
      <c r="FM51" s="195" t="s">
        <v>18</v>
      </c>
      <c r="FN51" s="194"/>
      <c r="FO51" s="16">
        <f>FO52+FO53</f>
        <v>24.9405890501932</v>
      </c>
      <c r="FP51" s="14"/>
      <c r="FQ51" s="14"/>
      <c r="FR51" s="14"/>
      <c r="FS51" s="14"/>
      <c r="FT51" s="25"/>
      <c r="FU51" s="195" t="s">
        <v>18</v>
      </c>
      <c r="FV51" s="194"/>
      <c r="FW51" s="16">
        <f>FW52+FW53</f>
        <v>23.701716951764439</v>
      </c>
      <c r="FX51" s="14"/>
      <c r="FY51" s="14"/>
      <c r="FZ51" s="14"/>
      <c r="GA51" s="14"/>
      <c r="GB51" s="25"/>
      <c r="GC51" s="195" t="s">
        <v>115</v>
      </c>
      <c r="GD51" s="194"/>
      <c r="GE51" s="16">
        <f>GE52+GE53</f>
        <v>3.0997097788720898</v>
      </c>
      <c r="GF51" s="14"/>
      <c r="GG51" s="194" t="s">
        <v>108</v>
      </c>
      <c r="GH51" s="198"/>
      <c r="GI51" s="16">
        <f>GI52+GI53</f>
        <v>2.9409011184744687</v>
      </c>
      <c r="GJ51" s="25"/>
      <c r="GK51" s="195" t="s">
        <v>115</v>
      </c>
      <c r="GL51" s="194"/>
      <c r="GM51" s="16">
        <f>GM52+GM53</f>
        <v>41.667802778262747</v>
      </c>
      <c r="GN51" s="14"/>
      <c r="GO51" s="194" t="s">
        <v>108</v>
      </c>
      <c r="GP51" s="198"/>
      <c r="GQ51" s="16">
        <f>GQ52+GQ53</f>
        <v>40.336691944107208</v>
      </c>
      <c r="GR51" s="25"/>
      <c r="GS51" s="195" t="s">
        <v>115</v>
      </c>
      <c r="GT51" s="194"/>
      <c r="GU51" s="16">
        <f>GU52+GU53</f>
        <v>1.5350503938392444</v>
      </c>
      <c r="GV51" s="14"/>
      <c r="GW51" s="194" t="s">
        <v>108</v>
      </c>
      <c r="GX51" s="198"/>
      <c r="GY51" s="16">
        <f>GY52+GY53</f>
        <v>1.4564045482345773</v>
      </c>
      <c r="GZ51" s="25"/>
      <c r="HA51" s="195" t="s">
        <v>115</v>
      </c>
      <c r="HB51" s="194"/>
      <c r="HC51" s="16">
        <f>HC52+HC53</f>
        <v>17.079441532097377</v>
      </c>
      <c r="HD51" s="14"/>
      <c r="HE51" s="194" t="s">
        <v>108</v>
      </c>
      <c r="HF51" s="198"/>
      <c r="HG51" s="16">
        <f>HG52+HG53</f>
        <v>16.501875876422588</v>
      </c>
      <c r="HH51" s="25"/>
      <c r="HI51" s="195" t="s">
        <v>115</v>
      </c>
      <c r="HJ51" s="194"/>
      <c r="HK51" s="16">
        <f>HK52+HK53</f>
        <v>8.2017730481890574</v>
      </c>
      <c r="HL51" s="14"/>
      <c r="HM51" s="194" t="s">
        <v>108</v>
      </c>
      <c r="HN51" s="198"/>
      <c r="HO51" s="16">
        <f>HO52+HO53</f>
        <v>7.9244184040473993</v>
      </c>
      <c r="HP51" s="25"/>
    </row>
    <row r="52" spans="1:224" x14ac:dyDescent="0.25">
      <c r="A52" s="195" t="s">
        <v>19</v>
      </c>
      <c r="B52" s="194"/>
      <c r="C52" s="16">
        <f>(C15*G32*G38)+(C18*G32*G47)</f>
        <v>2.7755668904889417</v>
      </c>
      <c r="D52" s="14"/>
      <c r="E52" s="14"/>
      <c r="F52" s="14"/>
      <c r="G52" s="14"/>
      <c r="H52" s="25"/>
      <c r="I52" s="195" t="s">
        <v>19</v>
      </c>
      <c r="J52" s="194"/>
      <c r="K52" s="16">
        <f>(K15*O32*O38)+(K18*O32*O47)</f>
        <v>18.947882173168004</v>
      </c>
      <c r="L52" s="14"/>
      <c r="M52" s="14"/>
      <c r="N52" s="14"/>
      <c r="O52" s="14"/>
      <c r="P52" s="25"/>
      <c r="Y52" s="195" t="s">
        <v>19</v>
      </c>
      <c r="Z52" s="194"/>
      <c r="AA52" s="16">
        <f>(AA15*AE32*AE38)+(AA18*AE32*AE47)</f>
        <v>1.8858979476849891</v>
      </c>
      <c r="AB52" s="14"/>
      <c r="AC52" s="14"/>
      <c r="AD52" s="14"/>
      <c r="AE52" s="14"/>
      <c r="AF52" s="25"/>
      <c r="AG52" s="195" t="s">
        <v>19</v>
      </c>
      <c r="AH52" s="194"/>
      <c r="AI52" s="16">
        <f>(AI15*AM32*AM38)+(AI18*AM32*AM47)</f>
        <v>8.0548026090626834</v>
      </c>
      <c r="AJ52" s="14"/>
      <c r="AK52" s="14"/>
      <c r="AL52" s="14"/>
      <c r="AM52" s="14"/>
      <c r="AN52" s="25"/>
      <c r="AO52" s="195" t="s">
        <v>19</v>
      </c>
      <c r="AP52" s="194"/>
      <c r="AQ52" s="16">
        <f>AQ25*AU40</f>
        <v>0.48333121990120159</v>
      </c>
      <c r="AR52" s="14"/>
      <c r="AS52" s="14"/>
      <c r="AT52" s="14"/>
      <c r="AU52" s="14"/>
      <c r="AV52" s="25"/>
      <c r="AW52" s="195" t="s">
        <v>19</v>
      </c>
      <c r="AX52" s="194"/>
      <c r="AY52" s="16">
        <f>AY25*BC40</f>
        <v>0.40578012813643466</v>
      </c>
      <c r="AZ52" s="14"/>
      <c r="BA52" s="14"/>
      <c r="BB52" s="14"/>
      <c r="BC52" s="14"/>
      <c r="BD52" s="25"/>
      <c r="BE52" s="195" t="s">
        <v>19</v>
      </c>
      <c r="BF52" s="194"/>
      <c r="BG52" s="16">
        <f>BG25*BK40</f>
        <v>0.381826121500699</v>
      </c>
      <c r="BH52" s="14"/>
      <c r="BI52" s="14"/>
      <c r="BJ52" s="14"/>
      <c r="BK52" s="14"/>
      <c r="BL52" s="25"/>
      <c r="BM52" s="195" t="s">
        <v>19</v>
      </c>
      <c r="BN52" s="194"/>
      <c r="BO52" s="16">
        <f>BO25*BS40</f>
        <v>0.65652947236753822</v>
      </c>
      <c r="BP52" s="14"/>
      <c r="BQ52" s="14"/>
      <c r="BR52" s="14"/>
      <c r="BS52" s="14"/>
      <c r="BT52" s="25"/>
      <c r="DA52" s="195" t="s">
        <v>19</v>
      </c>
      <c r="DB52" s="194"/>
      <c r="DC52" s="16">
        <f>DC25*DG40</f>
        <v>0.65361170463629636</v>
      </c>
      <c r="DD52" s="14"/>
      <c r="DE52" s="14"/>
      <c r="DF52" s="14"/>
      <c r="DG52" s="14"/>
      <c r="DH52" s="25"/>
      <c r="DI52" s="195" t="s">
        <v>19</v>
      </c>
      <c r="DJ52" s="194"/>
      <c r="DK52" s="16">
        <f>DK25*DO40</f>
        <v>0.86278476799067849</v>
      </c>
      <c r="DL52" s="14"/>
      <c r="DM52" s="14"/>
      <c r="DN52" s="14"/>
      <c r="DO52" s="14"/>
      <c r="DP52" s="25"/>
      <c r="DQ52" s="195" t="s">
        <v>19</v>
      </c>
      <c r="DR52" s="194"/>
      <c r="DS52" s="16">
        <f>DS25*DW40</f>
        <v>0.64367476419254965</v>
      </c>
      <c r="DT52" s="14"/>
      <c r="DU52" s="14"/>
      <c r="DV52" s="14"/>
      <c r="DW52" s="14"/>
      <c r="DX52" s="25"/>
      <c r="DY52" s="195" t="s">
        <v>19</v>
      </c>
      <c r="DZ52" s="194"/>
      <c r="EA52" s="16">
        <f>EA25*EE40</f>
        <v>0.89671613029320174</v>
      </c>
      <c r="EB52" s="14"/>
      <c r="EC52" s="14"/>
      <c r="ED52" s="14"/>
      <c r="EE52" s="14"/>
      <c r="EF52" s="25"/>
      <c r="EG52" s="195" t="s">
        <v>19</v>
      </c>
      <c r="EH52" s="194"/>
      <c r="EI52" s="16">
        <f>EI18*EM46</f>
        <v>8.2824450727660484</v>
      </c>
      <c r="EJ52" s="14"/>
      <c r="EK52" s="14"/>
      <c r="EL52" s="115"/>
      <c r="EM52" s="14"/>
      <c r="EN52" s="25"/>
      <c r="EO52" s="195" t="s">
        <v>19</v>
      </c>
      <c r="EP52" s="194"/>
      <c r="EQ52" s="16">
        <f>EQ18*EU46</f>
        <v>27.522364506935599</v>
      </c>
      <c r="ER52" s="14"/>
      <c r="ES52" s="14"/>
      <c r="ET52" s="115"/>
      <c r="EU52" s="14"/>
      <c r="EV52" s="25"/>
      <c r="FM52" s="195" t="s">
        <v>19</v>
      </c>
      <c r="FN52" s="194"/>
      <c r="FO52" s="16">
        <f>FO18*FS46</f>
        <v>9.7728263196945502</v>
      </c>
      <c r="FP52" s="14"/>
      <c r="FQ52" s="14"/>
      <c r="FR52" s="115"/>
      <c r="FS52" s="14"/>
      <c r="FT52" s="25"/>
      <c r="FU52" s="195" t="s">
        <v>19</v>
      </c>
      <c r="FV52" s="194"/>
      <c r="FW52" s="16">
        <f>FW18*GA46</f>
        <v>8.385690979116605</v>
      </c>
      <c r="FX52" s="14"/>
      <c r="FY52" s="14"/>
      <c r="FZ52" s="115"/>
      <c r="GA52" s="14"/>
      <c r="GB52" s="25"/>
      <c r="GC52" s="195" t="s">
        <v>113</v>
      </c>
      <c r="GD52" s="198"/>
      <c r="GE52" s="16">
        <f>GI52+GI54+GI55</f>
        <v>1.0187490770840362</v>
      </c>
      <c r="GF52" s="14"/>
      <c r="GG52" s="194" t="s">
        <v>109</v>
      </c>
      <c r="GH52" s="198"/>
      <c r="GI52" s="16">
        <f>GE32*GI43</f>
        <v>0.85994041668641485</v>
      </c>
      <c r="GJ52" s="25"/>
      <c r="GK52" s="195" t="s">
        <v>113</v>
      </c>
      <c r="GL52" s="198"/>
      <c r="GM52" s="16">
        <f>GQ52+GQ54+GQ55</f>
        <v>12.48317711638507</v>
      </c>
      <c r="GN52" s="14"/>
      <c r="GO52" s="194" t="s">
        <v>109</v>
      </c>
      <c r="GP52" s="198"/>
      <c r="GQ52" s="16">
        <f>GM32*GQ43</f>
        <v>11.152066282229532</v>
      </c>
      <c r="GR52" s="25"/>
      <c r="GS52" s="195" t="s">
        <v>113</v>
      </c>
      <c r="GT52" s="198"/>
      <c r="GU52" s="16">
        <f>GY52+GY54+GY55</f>
        <v>0.48717915840901327</v>
      </c>
      <c r="GV52" s="14"/>
      <c r="GW52" s="194" t="s">
        <v>109</v>
      </c>
      <c r="GX52" s="198"/>
      <c r="GY52" s="16">
        <f>GU32*GY43</f>
        <v>0.40853331280434613</v>
      </c>
      <c r="GZ52" s="25"/>
      <c r="HA52" s="195" t="s">
        <v>113</v>
      </c>
      <c r="HB52" s="198"/>
      <c r="HC52" s="16">
        <f>HG52+HG54+HG55</f>
        <v>4.9562220539203352</v>
      </c>
      <c r="HD52" s="14"/>
      <c r="HE52" s="194" t="s">
        <v>109</v>
      </c>
      <c r="HF52" s="198"/>
      <c r="HG52" s="16">
        <f>HC32*HG43</f>
        <v>4.3786563982455444</v>
      </c>
      <c r="HH52" s="25"/>
      <c r="HI52" s="195" t="s">
        <v>113</v>
      </c>
      <c r="HJ52" s="198"/>
      <c r="HK52" s="16">
        <f>HO52+HO54+HO55</f>
        <v>2.379749292050799</v>
      </c>
      <c r="HL52" s="14"/>
      <c r="HM52" s="194" t="s">
        <v>109</v>
      </c>
      <c r="HN52" s="198"/>
      <c r="HO52" s="16">
        <f>HK32*HO43</f>
        <v>2.10239464790914</v>
      </c>
      <c r="HP52" s="25"/>
    </row>
    <row r="53" spans="1:224" x14ac:dyDescent="0.25">
      <c r="A53" s="195" t="s">
        <v>20</v>
      </c>
      <c r="B53" s="194"/>
      <c r="C53" s="16">
        <f>(C16*H32*H38)+(C19*H32*H47)</f>
        <v>7.6412972684054754</v>
      </c>
      <c r="D53" s="14"/>
      <c r="E53" s="14"/>
      <c r="F53" s="14"/>
      <c r="G53" s="14"/>
      <c r="H53" s="25"/>
      <c r="I53" s="195" t="s">
        <v>20</v>
      </c>
      <c r="J53" s="194"/>
      <c r="K53" s="16">
        <f>(K16*P32*P38)+(K19*P32*P47)</f>
        <v>44.952812159386802</v>
      </c>
      <c r="L53" s="14"/>
      <c r="M53" s="14"/>
      <c r="N53" s="14"/>
      <c r="O53" s="14"/>
      <c r="P53" s="25"/>
      <c r="Y53" s="195" t="s">
        <v>20</v>
      </c>
      <c r="Z53" s="194"/>
      <c r="AA53" s="16">
        <f>(AA16*AF32*AF38)+(AA19*AF32*AF47)</f>
        <v>4.76224682128663</v>
      </c>
      <c r="AB53" s="14"/>
      <c r="AC53" s="14"/>
      <c r="AD53" s="14"/>
      <c r="AE53" s="14"/>
      <c r="AF53" s="25"/>
      <c r="AG53" s="195" t="s">
        <v>20</v>
      </c>
      <c r="AH53" s="194"/>
      <c r="AI53" s="16">
        <f>(AI16*AN32*AN38)+(AI19*AN32*AN47)</f>
        <v>20.157573410482428</v>
      </c>
      <c r="AJ53" s="14"/>
      <c r="AK53" s="14"/>
      <c r="AL53" s="14"/>
      <c r="AM53" s="14"/>
      <c r="AN53" s="25"/>
      <c r="AO53" s="195" t="s">
        <v>20</v>
      </c>
      <c r="AP53" s="194"/>
      <c r="AQ53" s="16">
        <f>AQ26*AV40</f>
        <v>1.2377125299963361</v>
      </c>
      <c r="AR53" s="14"/>
      <c r="AS53" s="14"/>
      <c r="AT53" s="14"/>
      <c r="AU53" s="14"/>
      <c r="AV53" s="25"/>
      <c r="AW53" s="195" t="s">
        <v>20</v>
      </c>
      <c r="AX53" s="194"/>
      <c r="AY53" s="16">
        <f>AY26*BD40</f>
        <v>0.842433803669415</v>
      </c>
      <c r="AZ53" s="14"/>
      <c r="BA53" s="14"/>
      <c r="BB53" s="14"/>
      <c r="BC53" s="14"/>
      <c r="BD53" s="25"/>
      <c r="BE53" s="195" t="s">
        <v>20</v>
      </c>
      <c r="BF53" s="194"/>
      <c r="BG53" s="16">
        <f>BG26*BL40</f>
        <v>0.97040415882372777</v>
      </c>
      <c r="BH53" s="14"/>
      <c r="BI53" s="14"/>
      <c r="BJ53" s="14"/>
      <c r="BK53" s="14"/>
      <c r="BL53" s="25"/>
      <c r="BM53" s="195" t="s">
        <v>20</v>
      </c>
      <c r="BN53" s="194"/>
      <c r="BO53" s="16">
        <f>BO26*BT40</f>
        <v>1.1568806205765458</v>
      </c>
      <c r="BP53" s="14"/>
      <c r="BQ53" s="14"/>
      <c r="BR53" s="14"/>
      <c r="BS53" s="14"/>
      <c r="BT53" s="25"/>
      <c r="DA53" s="195" t="s">
        <v>20</v>
      </c>
      <c r="DB53" s="194"/>
      <c r="DC53" s="16">
        <f>DC26*DH40</f>
        <v>1.6900682966151368</v>
      </c>
      <c r="DD53" s="14"/>
      <c r="DE53" s="14"/>
      <c r="DF53" s="14"/>
      <c r="DG53" s="14"/>
      <c r="DH53" s="25"/>
      <c r="DI53" s="195" t="s">
        <v>20</v>
      </c>
      <c r="DJ53" s="194"/>
      <c r="DK53" s="16">
        <f>DK26*DP40</f>
        <v>1.7009819881297121</v>
      </c>
      <c r="DL53" s="14"/>
      <c r="DM53" s="14"/>
      <c r="DN53" s="14"/>
      <c r="DO53" s="14"/>
      <c r="DP53" s="25"/>
      <c r="DQ53" s="195" t="s">
        <v>20</v>
      </c>
      <c r="DR53" s="194"/>
      <c r="DS53" s="16">
        <f>DS26*DX40</f>
        <v>1.6635553056483425</v>
      </c>
      <c r="DT53" s="14"/>
      <c r="DU53" s="14"/>
      <c r="DV53" s="14"/>
      <c r="DW53" s="14"/>
      <c r="DX53" s="25"/>
      <c r="DY53" s="195" t="s">
        <v>20</v>
      </c>
      <c r="DZ53" s="194"/>
      <c r="EA53" s="16">
        <f>EA26*EF40</f>
        <v>1.7364084110164129</v>
      </c>
      <c r="EB53" s="14"/>
      <c r="EC53" s="14"/>
      <c r="ED53" s="14"/>
      <c r="EE53" s="14"/>
      <c r="EF53" s="25"/>
      <c r="EG53" s="195" t="s">
        <v>20</v>
      </c>
      <c r="EH53" s="194"/>
      <c r="EI53" s="75">
        <f>EI19*EN46</f>
        <v>18.109575009526399</v>
      </c>
      <c r="EJ53" s="14"/>
      <c r="EK53" s="14"/>
      <c r="EL53" s="115"/>
      <c r="EM53" s="14"/>
      <c r="EN53" s="25"/>
      <c r="EO53" s="195" t="s">
        <v>20</v>
      </c>
      <c r="EP53" s="194"/>
      <c r="EQ53" s="75">
        <f>EQ19*EV46</f>
        <v>51.605453845783927</v>
      </c>
      <c r="ER53" s="14"/>
      <c r="ES53" s="14"/>
      <c r="ET53" s="115"/>
      <c r="EU53" s="14"/>
      <c r="EV53" s="25"/>
      <c r="FM53" s="195" t="s">
        <v>20</v>
      </c>
      <c r="FN53" s="194"/>
      <c r="FO53" s="75">
        <f>FO19*FT46</f>
        <v>15.16776273049865</v>
      </c>
      <c r="FP53" s="14"/>
      <c r="FQ53" s="14"/>
      <c r="FR53" s="115"/>
      <c r="FS53" s="14"/>
      <c r="FT53" s="25"/>
      <c r="FU53" s="195" t="s">
        <v>20</v>
      </c>
      <c r="FV53" s="194"/>
      <c r="FW53" s="75">
        <f>FW19*GB46</f>
        <v>15.316025972647836</v>
      </c>
      <c r="FX53" s="14"/>
      <c r="FY53" s="14"/>
      <c r="FZ53" s="115"/>
      <c r="GA53" s="14"/>
      <c r="GB53" s="25"/>
      <c r="GC53" s="195" t="s">
        <v>114</v>
      </c>
      <c r="GD53" s="198"/>
      <c r="GE53" s="16">
        <f>GI53</f>
        <v>2.0809607017880536</v>
      </c>
      <c r="GF53" s="14"/>
      <c r="GG53" s="194" t="s">
        <v>110</v>
      </c>
      <c r="GH53" s="198"/>
      <c r="GI53" s="16">
        <f>GE33*GJ43</f>
        <v>2.0809607017880536</v>
      </c>
      <c r="GJ53" s="25"/>
      <c r="GK53" s="195" t="s">
        <v>114</v>
      </c>
      <c r="GL53" s="198"/>
      <c r="GM53" s="16">
        <f>GQ53</f>
        <v>29.184625661877678</v>
      </c>
      <c r="GN53" s="14"/>
      <c r="GO53" s="194" t="s">
        <v>110</v>
      </c>
      <c r="GP53" s="198"/>
      <c r="GQ53" s="16">
        <f>GM33*GR43</f>
        <v>29.184625661877678</v>
      </c>
      <c r="GR53" s="25"/>
      <c r="GS53" s="195" t="s">
        <v>114</v>
      </c>
      <c r="GT53" s="198"/>
      <c r="GU53" s="16">
        <f>GY53</f>
        <v>1.0478712354302311</v>
      </c>
      <c r="GV53" s="14"/>
      <c r="GW53" s="194" t="s">
        <v>110</v>
      </c>
      <c r="GX53" s="198"/>
      <c r="GY53" s="16">
        <f>GU33*GZ43</f>
        <v>1.0478712354302311</v>
      </c>
      <c r="GZ53" s="25"/>
      <c r="HA53" s="195" t="s">
        <v>114</v>
      </c>
      <c r="HB53" s="198"/>
      <c r="HC53" s="16">
        <f>HG53</f>
        <v>12.123219478177043</v>
      </c>
      <c r="HD53" s="14"/>
      <c r="HE53" s="194" t="s">
        <v>110</v>
      </c>
      <c r="HF53" s="198"/>
      <c r="HG53" s="16">
        <f>HC33*HH43</f>
        <v>12.123219478177043</v>
      </c>
      <c r="HH53" s="25"/>
      <c r="HI53" s="195" t="s">
        <v>114</v>
      </c>
      <c r="HJ53" s="198"/>
      <c r="HK53" s="16">
        <f>HO53</f>
        <v>5.8220237561382593</v>
      </c>
      <c r="HL53" s="14"/>
      <c r="HM53" s="194" t="s">
        <v>110</v>
      </c>
      <c r="HN53" s="198"/>
      <c r="HO53" s="16">
        <f>HK33*HP43</f>
        <v>5.8220237561382593</v>
      </c>
      <c r="HP53" s="25"/>
    </row>
    <row r="54" spans="1:224" x14ac:dyDescent="0.25">
      <c r="A54" s="24"/>
      <c r="B54" s="14"/>
      <c r="C54" s="14"/>
      <c r="D54" s="14"/>
      <c r="E54" s="14"/>
      <c r="F54" s="14"/>
      <c r="G54" s="14"/>
      <c r="H54" s="25"/>
      <c r="I54" s="24"/>
      <c r="J54" s="14"/>
      <c r="K54" s="14"/>
      <c r="L54" s="14"/>
      <c r="M54" s="14"/>
      <c r="N54" s="14"/>
      <c r="O54" s="14"/>
      <c r="P54" s="25"/>
      <c r="Y54" s="24"/>
      <c r="Z54" s="14"/>
      <c r="AA54" s="14"/>
      <c r="AB54" s="14"/>
      <c r="AC54" s="14"/>
      <c r="AD54" s="14"/>
      <c r="AE54" s="14"/>
      <c r="AF54" s="25"/>
      <c r="AG54" s="24"/>
      <c r="AH54" s="14"/>
      <c r="AI54" s="14"/>
      <c r="AJ54" s="14"/>
      <c r="AK54" s="14"/>
      <c r="AL54" s="14"/>
      <c r="AM54" s="14"/>
      <c r="AN54" s="25"/>
      <c r="AO54" s="24"/>
      <c r="AP54" s="14"/>
      <c r="AQ54" s="14"/>
      <c r="AR54" s="14"/>
      <c r="AS54" s="14"/>
      <c r="AT54" s="14"/>
      <c r="AU54" s="14"/>
      <c r="AV54" s="25"/>
      <c r="AW54" s="24"/>
      <c r="AX54" s="14"/>
      <c r="AY54" s="14"/>
      <c r="AZ54" s="14"/>
      <c r="BA54" s="14"/>
      <c r="BB54" s="14"/>
      <c r="BC54" s="14"/>
      <c r="BD54" s="25"/>
      <c r="BE54" s="24"/>
      <c r="BF54" s="14"/>
      <c r="BG54" s="14"/>
      <c r="BH54" s="14"/>
      <c r="BI54" s="14"/>
      <c r="BJ54" s="14"/>
      <c r="BK54" s="14"/>
      <c r="BL54" s="25"/>
      <c r="BM54" s="24"/>
      <c r="BN54" s="14"/>
      <c r="BO54" s="14"/>
      <c r="BP54" s="14"/>
      <c r="BQ54" s="14"/>
      <c r="BR54" s="14"/>
      <c r="BS54" s="14"/>
      <c r="BT54" s="25"/>
      <c r="DA54" s="24"/>
      <c r="DB54" s="14"/>
      <c r="DC54" s="14"/>
      <c r="DD54" s="14"/>
      <c r="DE54" s="14"/>
      <c r="DF54" s="14"/>
      <c r="DG54" s="14"/>
      <c r="DH54" s="25"/>
      <c r="DI54" s="24"/>
      <c r="DJ54" s="14"/>
      <c r="DK54" s="14"/>
      <c r="DL54" s="14"/>
      <c r="DM54" s="14"/>
      <c r="DN54" s="14"/>
      <c r="DO54" s="14"/>
      <c r="DP54" s="25"/>
      <c r="DQ54" s="24"/>
      <c r="DR54" s="14"/>
      <c r="DS54" s="14"/>
      <c r="DT54" s="14"/>
      <c r="DU54" s="14"/>
      <c r="DV54" s="14"/>
      <c r="DW54" s="14"/>
      <c r="DX54" s="25"/>
      <c r="DY54" s="24"/>
      <c r="DZ54" s="14"/>
      <c r="EA54" s="14"/>
      <c r="EB54" s="14"/>
      <c r="EC54" s="14"/>
      <c r="ED54" s="14"/>
      <c r="EE54" s="14"/>
      <c r="EF54" s="25"/>
      <c r="EG54" s="24"/>
      <c r="EH54" s="14"/>
      <c r="EI54" s="14"/>
      <c r="EJ54" s="14"/>
      <c r="EK54" s="14"/>
      <c r="EL54" s="115"/>
      <c r="EM54" s="14"/>
      <c r="EN54" s="25"/>
      <c r="EO54" s="24"/>
      <c r="EP54" s="14"/>
      <c r="EQ54" s="14"/>
      <c r="ER54" s="14"/>
      <c r="ES54" s="14"/>
      <c r="ET54" s="115"/>
      <c r="EU54" s="14"/>
      <c r="EV54" s="25"/>
      <c r="FM54" s="24"/>
      <c r="FN54" s="14"/>
      <c r="FO54" s="14"/>
      <c r="FP54" s="14"/>
      <c r="FQ54" s="14"/>
      <c r="FR54" s="115"/>
      <c r="FS54" s="14"/>
      <c r="FT54" s="25"/>
      <c r="FU54" s="24"/>
      <c r="FV54" s="14"/>
      <c r="FW54" s="14"/>
      <c r="FX54" s="14"/>
      <c r="FY54" s="14"/>
      <c r="FZ54" s="115"/>
      <c r="GA54" s="14"/>
      <c r="GB54" s="25"/>
      <c r="GC54" s="24"/>
      <c r="GD54" s="14"/>
      <c r="GE54" s="14"/>
      <c r="GF54" s="14"/>
      <c r="GG54" s="194" t="s">
        <v>111</v>
      </c>
      <c r="GH54" s="198"/>
      <c r="GI54" s="16">
        <f>GI28</f>
        <v>0.10587244026508086</v>
      </c>
      <c r="GJ54" s="25"/>
      <c r="GK54" s="24"/>
      <c r="GL54" s="14"/>
      <c r="GM54" s="14"/>
      <c r="GN54" s="14"/>
      <c r="GO54" s="194" t="s">
        <v>111</v>
      </c>
      <c r="GP54" s="198"/>
      <c r="GQ54" s="16">
        <f>GQ28</f>
        <v>0.88740722277035855</v>
      </c>
      <c r="GR54" s="25"/>
      <c r="GS54" s="24"/>
      <c r="GT54" s="14"/>
      <c r="GU54" s="14"/>
      <c r="GV54" s="14"/>
      <c r="GW54" s="194" t="s">
        <v>111</v>
      </c>
      <c r="GX54" s="198"/>
      <c r="GY54" s="16">
        <f>GY28</f>
        <v>5.243056373644478E-2</v>
      </c>
      <c r="GZ54" s="25"/>
      <c r="HA54" s="24"/>
      <c r="HB54" s="14"/>
      <c r="HC54" s="14"/>
      <c r="HD54" s="14"/>
      <c r="HE54" s="194" t="s">
        <v>111</v>
      </c>
      <c r="HF54" s="198"/>
      <c r="HG54" s="16">
        <f>HG28</f>
        <v>0.37954314515771953</v>
      </c>
      <c r="HH54" s="25"/>
      <c r="HI54" s="24"/>
      <c r="HJ54" s="14"/>
      <c r="HK54" s="14"/>
      <c r="HL54" s="14"/>
      <c r="HM54" s="194" t="s">
        <v>111</v>
      </c>
      <c r="HN54" s="198"/>
      <c r="HO54" s="16">
        <f>HO28</f>
        <v>0.18226162329309017</v>
      </c>
      <c r="HP54" s="25"/>
    </row>
    <row r="55" spans="1:224" x14ac:dyDescent="0.25">
      <c r="A55" s="24"/>
      <c r="B55" s="14"/>
      <c r="C55" s="14"/>
      <c r="D55" s="14"/>
      <c r="E55" s="14"/>
      <c r="F55" s="14"/>
      <c r="G55" s="14"/>
      <c r="H55" s="25"/>
      <c r="I55" s="24"/>
      <c r="J55" s="14"/>
      <c r="K55" s="14"/>
      <c r="L55" s="14"/>
      <c r="M55" s="14"/>
      <c r="N55" s="14"/>
      <c r="O55" s="14"/>
      <c r="P55" s="25"/>
      <c r="Y55" s="24"/>
      <c r="Z55" s="14"/>
      <c r="AA55" s="14"/>
      <c r="AB55" s="14"/>
      <c r="AC55" s="14"/>
      <c r="AD55" s="14"/>
      <c r="AE55" s="14"/>
      <c r="AF55" s="25"/>
      <c r="AG55" s="24"/>
      <c r="AH55" s="14"/>
      <c r="AI55" s="14"/>
      <c r="AJ55" s="14"/>
      <c r="AK55" s="14"/>
      <c r="AL55" s="14"/>
      <c r="AM55" s="14"/>
      <c r="AN55" s="25"/>
      <c r="AO55" s="24"/>
      <c r="AP55" s="14"/>
      <c r="AQ55" s="14"/>
      <c r="AR55" s="14"/>
      <c r="AS55" s="14"/>
      <c r="AT55" s="14"/>
      <c r="AU55" s="14"/>
      <c r="AV55" s="25"/>
      <c r="AW55" s="24"/>
      <c r="AX55" s="14"/>
      <c r="AY55" s="14"/>
      <c r="AZ55" s="14"/>
      <c r="BA55" s="14"/>
      <c r="BB55" s="14"/>
      <c r="BC55" s="14"/>
      <c r="BD55" s="25"/>
      <c r="BE55" s="24"/>
      <c r="BF55" s="14"/>
      <c r="BG55" s="14"/>
      <c r="BH55" s="14"/>
      <c r="BI55" s="14"/>
      <c r="BJ55" s="14"/>
      <c r="BK55" s="14"/>
      <c r="BL55" s="25"/>
      <c r="BM55" s="24"/>
      <c r="BN55" s="14"/>
      <c r="BO55" s="14"/>
      <c r="BP55" s="14"/>
      <c r="BQ55" s="14"/>
      <c r="BR55" s="14"/>
      <c r="BS55" s="14"/>
      <c r="BT55" s="25"/>
      <c r="DA55" s="24"/>
      <c r="DB55" s="14"/>
      <c r="DC55" s="14"/>
      <c r="DD55" s="14"/>
      <c r="DE55" s="14"/>
      <c r="DF55" s="14"/>
      <c r="DG55" s="14"/>
      <c r="DH55" s="25"/>
      <c r="DI55" s="24"/>
      <c r="DJ55" s="14"/>
      <c r="DK55" s="14"/>
      <c r="DL55" s="14"/>
      <c r="DM55" s="14"/>
      <c r="DN55" s="14"/>
      <c r="DO55" s="14"/>
      <c r="DP55" s="25"/>
      <c r="DQ55" s="24"/>
      <c r="DR55" s="14"/>
      <c r="DS55" s="14"/>
      <c r="DT55" s="14"/>
      <c r="DU55" s="14"/>
      <c r="DV55" s="14"/>
      <c r="DW55" s="14"/>
      <c r="DX55" s="25"/>
      <c r="DY55" s="24"/>
      <c r="DZ55" s="14"/>
      <c r="EA55" s="14"/>
      <c r="EB55" s="14"/>
      <c r="EC55" s="14"/>
      <c r="ED55" s="14"/>
      <c r="EE55" s="14"/>
      <c r="EF55" s="25"/>
      <c r="EG55" s="24"/>
      <c r="EH55" s="14"/>
      <c r="EI55" s="14"/>
      <c r="EJ55" s="14"/>
      <c r="EK55" s="14"/>
      <c r="EL55" s="115"/>
      <c r="EM55" s="14"/>
      <c r="EN55" s="25"/>
      <c r="EO55" s="24"/>
      <c r="EP55" s="14"/>
      <c r="EQ55" s="14"/>
      <c r="ER55" s="14"/>
      <c r="ES55" s="14"/>
      <c r="ET55" s="115"/>
      <c r="EU55" s="14"/>
      <c r="EV55" s="25"/>
      <c r="FM55" s="24"/>
      <c r="FN55" s="14"/>
      <c r="FO55" s="14"/>
      <c r="FP55" s="14"/>
      <c r="FQ55" s="14"/>
      <c r="FR55" s="115"/>
      <c r="FS55" s="14"/>
      <c r="FT55" s="25"/>
      <c r="FU55" s="24"/>
      <c r="FV55" s="14"/>
      <c r="FW55" s="14"/>
      <c r="FX55" s="14"/>
      <c r="FY55" s="14"/>
      <c r="FZ55" s="115"/>
      <c r="GA55" s="14"/>
      <c r="GB55" s="25"/>
      <c r="GC55" s="24"/>
      <c r="GD55" s="14"/>
      <c r="GE55" s="14"/>
      <c r="GF55" s="14"/>
      <c r="GG55" s="194" t="s">
        <v>112</v>
      </c>
      <c r="GH55" s="198"/>
      <c r="GI55" s="16">
        <f>GI29</f>
        <v>5.2936220132540429E-2</v>
      </c>
      <c r="GJ55" s="25"/>
      <c r="GK55" s="24"/>
      <c r="GL55" s="14"/>
      <c r="GM55" s="14"/>
      <c r="GN55" s="14"/>
      <c r="GO55" s="194" t="s">
        <v>112</v>
      </c>
      <c r="GP55" s="198"/>
      <c r="GQ55" s="16">
        <f>GQ29</f>
        <v>0.44370361138517928</v>
      </c>
      <c r="GR55" s="25"/>
      <c r="GS55" s="24"/>
      <c r="GT55" s="14"/>
      <c r="GU55" s="14"/>
      <c r="GV55" s="14"/>
      <c r="GW55" s="194" t="s">
        <v>112</v>
      </c>
      <c r="GX55" s="198"/>
      <c r="GY55" s="16">
        <f>GY29</f>
        <v>2.621528186822239E-2</v>
      </c>
      <c r="GZ55" s="25"/>
      <c r="HA55" s="24"/>
      <c r="HB55" s="14"/>
      <c r="HC55" s="14"/>
      <c r="HD55" s="14"/>
      <c r="HE55" s="194" t="s">
        <v>112</v>
      </c>
      <c r="HF55" s="198"/>
      <c r="HG55" s="16">
        <f>HG29</f>
        <v>0.19802251051707107</v>
      </c>
      <c r="HH55" s="25"/>
      <c r="HI55" s="24"/>
      <c r="HJ55" s="14"/>
      <c r="HK55" s="14"/>
      <c r="HL55" s="14"/>
      <c r="HM55" s="194" t="s">
        <v>112</v>
      </c>
      <c r="HN55" s="198"/>
      <c r="HO55" s="16">
        <f>HO29</f>
        <v>9.5093020848568799E-2</v>
      </c>
      <c r="HP55" s="25"/>
    </row>
    <row r="56" spans="1:224" x14ac:dyDescent="0.25">
      <c r="A56" s="24"/>
      <c r="B56" s="14"/>
      <c r="C56" s="14"/>
      <c r="D56" s="14"/>
      <c r="E56" s="14"/>
      <c r="F56" s="14"/>
      <c r="G56" s="14"/>
      <c r="H56" s="25"/>
      <c r="I56" s="24"/>
      <c r="J56" s="14"/>
      <c r="K56" s="14"/>
      <c r="L56" s="14"/>
      <c r="M56" s="14"/>
      <c r="N56" s="14"/>
      <c r="O56" s="14"/>
      <c r="P56" s="25"/>
      <c r="Y56" s="24"/>
      <c r="Z56" s="14"/>
      <c r="AA56" s="14"/>
      <c r="AB56" s="14"/>
      <c r="AC56" s="14"/>
      <c r="AD56" s="14"/>
      <c r="AE56" s="14"/>
      <c r="AF56" s="25"/>
      <c r="AG56" s="24"/>
      <c r="AH56" s="14"/>
      <c r="AI56" s="14"/>
      <c r="AJ56" s="14"/>
      <c r="AK56" s="14"/>
      <c r="AL56" s="14"/>
      <c r="AM56" s="14"/>
      <c r="AN56" s="25"/>
      <c r="AO56" s="24"/>
      <c r="AP56" s="14"/>
      <c r="AQ56" s="14"/>
      <c r="AR56" s="14"/>
      <c r="AS56" s="14"/>
      <c r="AT56" s="14"/>
      <c r="AU56" s="14"/>
      <c r="AV56" s="25"/>
      <c r="AW56" s="24"/>
      <c r="AX56" s="14"/>
      <c r="AY56" s="14"/>
      <c r="AZ56" s="14"/>
      <c r="BA56" s="14"/>
      <c r="BB56" s="14"/>
      <c r="BC56" s="14"/>
      <c r="BD56" s="25"/>
      <c r="BE56" s="24"/>
      <c r="BF56" s="14"/>
      <c r="BG56" s="14"/>
      <c r="BH56" s="14"/>
      <c r="BI56" s="14"/>
      <c r="BJ56" s="14"/>
      <c r="BK56" s="14"/>
      <c r="BL56" s="25"/>
      <c r="BM56" s="24"/>
      <c r="BN56" s="14"/>
      <c r="BO56" s="14"/>
      <c r="BP56" s="14"/>
      <c r="BQ56" s="14"/>
      <c r="BR56" s="14"/>
      <c r="BS56" s="14"/>
      <c r="BT56" s="25"/>
      <c r="DA56" s="24"/>
      <c r="DB56" s="14"/>
      <c r="DC56" s="14"/>
      <c r="DD56" s="14"/>
      <c r="DE56" s="14"/>
      <c r="DF56" s="14"/>
      <c r="DG56" s="14"/>
      <c r="DH56" s="25"/>
      <c r="DI56" s="24"/>
      <c r="DJ56" s="14"/>
      <c r="DK56" s="14"/>
      <c r="DL56" s="14"/>
      <c r="DM56" s="14"/>
      <c r="DN56" s="14"/>
      <c r="DO56" s="14"/>
      <c r="DP56" s="25"/>
      <c r="DQ56" s="24"/>
      <c r="DR56" s="14"/>
      <c r="DS56" s="14"/>
      <c r="DT56" s="14"/>
      <c r="DU56" s="14"/>
      <c r="DV56" s="14"/>
      <c r="DW56" s="14"/>
      <c r="DX56" s="25"/>
      <c r="DY56" s="24"/>
      <c r="DZ56" s="14"/>
      <c r="EA56" s="14"/>
      <c r="EB56" s="14"/>
      <c r="EC56" s="14"/>
      <c r="ED56" s="14"/>
      <c r="EE56" s="14"/>
      <c r="EF56" s="25"/>
      <c r="EG56" s="24"/>
      <c r="EH56" s="14"/>
      <c r="EI56" s="14"/>
      <c r="EJ56" s="14"/>
      <c r="EK56" s="14"/>
      <c r="EL56" s="115"/>
      <c r="EM56" s="14"/>
      <c r="EN56" s="25"/>
      <c r="EO56" s="24"/>
      <c r="EP56" s="14"/>
      <c r="EQ56" s="14"/>
      <c r="ER56" s="14"/>
      <c r="ES56" s="14"/>
      <c r="ET56" s="115"/>
      <c r="EU56" s="14"/>
      <c r="EV56" s="25"/>
      <c r="FM56" s="24"/>
      <c r="FN56" s="14"/>
      <c r="FO56" s="14"/>
      <c r="FP56" s="14"/>
      <c r="FQ56" s="14"/>
      <c r="FR56" s="115"/>
      <c r="FS56" s="14"/>
      <c r="FT56" s="25"/>
      <c r="FU56" s="24"/>
      <c r="FV56" s="14"/>
      <c r="FW56" s="14"/>
      <c r="FX56" s="14"/>
      <c r="FY56" s="14"/>
      <c r="FZ56" s="115"/>
      <c r="GA56" s="14"/>
      <c r="GB56" s="25"/>
      <c r="GC56" s="24"/>
      <c r="GD56" s="14"/>
      <c r="GE56" s="14"/>
      <c r="GF56" s="14"/>
      <c r="GG56" s="14"/>
      <c r="GH56" s="14"/>
      <c r="GI56" s="14"/>
      <c r="GJ56" s="25"/>
      <c r="GK56" s="24"/>
      <c r="GL56" s="14"/>
      <c r="GM56" s="14"/>
      <c r="GN56" s="14"/>
      <c r="GO56" s="14"/>
      <c r="GP56" s="14"/>
      <c r="GQ56" s="14"/>
      <c r="GR56" s="25"/>
      <c r="GS56" s="24"/>
      <c r="GT56" s="14"/>
      <c r="GU56" s="14"/>
      <c r="GV56" s="14"/>
      <c r="GW56" s="14"/>
      <c r="GX56" s="14"/>
      <c r="GY56" s="14"/>
      <c r="GZ56" s="25"/>
      <c r="HA56" s="24"/>
      <c r="HB56" s="14"/>
      <c r="HC56" s="14"/>
      <c r="HD56" s="14"/>
      <c r="HE56" s="14"/>
      <c r="HF56" s="14"/>
      <c r="HG56" s="14"/>
      <c r="HH56" s="25"/>
      <c r="HI56" s="24"/>
      <c r="HJ56" s="14"/>
      <c r="HK56" s="14"/>
      <c r="HL56" s="14"/>
      <c r="HM56" s="14"/>
      <c r="HN56" s="14"/>
      <c r="HO56" s="14"/>
      <c r="HP56" s="25"/>
    </row>
    <row r="57" spans="1:224" x14ac:dyDescent="0.25">
      <c r="A57" s="26"/>
      <c r="B57" s="27"/>
      <c r="C57" s="27"/>
      <c r="D57" s="27"/>
      <c r="E57" s="27"/>
      <c r="F57" s="27"/>
      <c r="G57" s="27"/>
      <c r="H57" s="28"/>
      <c r="I57" s="26"/>
      <c r="J57" s="27"/>
      <c r="K57" s="27"/>
      <c r="L57" s="27"/>
      <c r="M57" s="27"/>
      <c r="N57" s="27"/>
      <c r="O57" s="27"/>
      <c r="P57" s="28"/>
      <c r="Y57" s="26"/>
      <c r="Z57" s="27"/>
      <c r="AA57" s="27"/>
      <c r="AB57" s="27"/>
      <c r="AC57" s="27"/>
      <c r="AD57" s="27"/>
      <c r="AE57" s="27"/>
      <c r="AF57" s="28"/>
      <c r="AG57" s="26"/>
      <c r="AH57" s="27"/>
      <c r="AI57" s="27"/>
      <c r="AJ57" s="27"/>
      <c r="AK57" s="27"/>
      <c r="AL57" s="27"/>
      <c r="AM57" s="27"/>
      <c r="AN57" s="28"/>
      <c r="AO57" s="26"/>
      <c r="AP57" s="27"/>
      <c r="AQ57" s="27"/>
      <c r="AR57" s="27"/>
      <c r="AS57" s="27"/>
      <c r="AT57" s="27"/>
      <c r="AU57" s="27"/>
      <c r="AV57" s="28"/>
      <c r="AW57" s="26"/>
      <c r="AX57" s="27"/>
      <c r="AY57" s="27"/>
      <c r="AZ57" s="27"/>
      <c r="BA57" s="27"/>
      <c r="BB57" s="27"/>
      <c r="BC57" s="27"/>
      <c r="BD57" s="28"/>
      <c r="BE57" s="26"/>
      <c r="BF57" s="27"/>
      <c r="BG57" s="27"/>
      <c r="BH57" s="27"/>
      <c r="BI57" s="27"/>
      <c r="BJ57" s="27"/>
      <c r="BK57" s="27"/>
      <c r="BL57" s="28"/>
      <c r="BM57" s="26"/>
      <c r="BN57" s="27"/>
      <c r="BO57" s="27"/>
      <c r="BP57" s="27"/>
      <c r="BQ57" s="27"/>
      <c r="BR57" s="27"/>
      <c r="BS57" s="27"/>
      <c r="BT57" s="28"/>
      <c r="DA57" s="26"/>
      <c r="DB57" s="27"/>
      <c r="DC57" s="27"/>
      <c r="DD57" s="27"/>
      <c r="DE57" s="27"/>
      <c r="DF57" s="27"/>
      <c r="DG57" s="27"/>
      <c r="DH57" s="28"/>
      <c r="DI57" s="26"/>
      <c r="DJ57" s="27"/>
      <c r="DK57" s="27"/>
      <c r="DL57" s="27"/>
      <c r="DM57" s="27"/>
      <c r="DN57" s="27"/>
      <c r="DO57" s="27"/>
      <c r="DP57" s="28"/>
      <c r="DQ57" s="26"/>
      <c r="DR57" s="27"/>
      <c r="DS57" s="27"/>
      <c r="DT57" s="27"/>
      <c r="DU57" s="27"/>
      <c r="DV57" s="27"/>
      <c r="DW57" s="27"/>
      <c r="DX57" s="28"/>
      <c r="DY57" s="26"/>
      <c r="DZ57" s="27"/>
      <c r="EA57" s="27"/>
      <c r="EB57" s="27"/>
      <c r="EC57" s="27"/>
      <c r="ED57" s="27"/>
      <c r="EE57" s="27"/>
      <c r="EF57" s="28"/>
      <c r="EG57" s="26"/>
      <c r="EH57" s="27"/>
      <c r="EI57" s="27"/>
      <c r="EJ57" s="27"/>
      <c r="EK57" s="27"/>
      <c r="EL57" s="96"/>
      <c r="EM57" s="27"/>
      <c r="EN57" s="28"/>
      <c r="EO57" s="26"/>
      <c r="EP57" s="27"/>
      <c r="EQ57" s="27"/>
      <c r="ER57" s="27"/>
      <c r="ES57" s="27"/>
      <c r="ET57" s="96"/>
      <c r="EU57" s="27"/>
      <c r="EV57" s="28"/>
      <c r="FM57" s="26"/>
      <c r="FN57" s="27"/>
      <c r="FO57" s="27"/>
      <c r="FP57" s="27"/>
      <c r="FQ57" s="27"/>
      <c r="FR57" s="96"/>
      <c r="FS57" s="27"/>
      <c r="FT57" s="28"/>
      <c r="FU57" s="26"/>
      <c r="FV57" s="27"/>
      <c r="FW57" s="27"/>
      <c r="FX57" s="27"/>
      <c r="FY57" s="27"/>
      <c r="FZ57" s="96"/>
      <c r="GA57" s="27"/>
      <c r="GB57" s="28"/>
      <c r="GC57" s="26"/>
      <c r="GD57" s="27"/>
      <c r="GE57" s="27"/>
      <c r="GF57" s="27"/>
      <c r="GG57" s="27"/>
      <c r="GH57" s="27"/>
      <c r="GI57" s="27"/>
      <c r="GJ57" s="28"/>
      <c r="GK57" s="26"/>
      <c r="GL57" s="27"/>
      <c r="GM57" s="27"/>
      <c r="GN57" s="27"/>
      <c r="GO57" s="27"/>
      <c r="GP57" s="27"/>
      <c r="GQ57" s="27"/>
      <c r="GR57" s="28"/>
      <c r="GS57" s="26"/>
      <c r="GT57" s="27"/>
      <c r="GU57" s="27"/>
      <c r="GV57" s="27"/>
      <c r="GW57" s="27"/>
      <c r="GX57" s="27"/>
      <c r="GY57" s="27"/>
      <c r="GZ57" s="28"/>
      <c r="HA57" s="26"/>
      <c r="HB57" s="27"/>
      <c r="HC57" s="27"/>
      <c r="HD57" s="27"/>
      <c r="HE57" s="27"/>
      <c r="HF57" s="27"/>
      <c r="HG57" s="27"/>
      <c r="HH57" s="28"/>
      <c r="HI57" s="26"/>
      <c r="HJ57" s="27"/>
      <c r="HK57" s="27"/>
      <c r="HL57" s="27"/>
      <c r="HM57" s="27"/>
      <c r="HN57" s="27"/>
      <c r="HO57" s="27"/>
      <c r="HP57" s="28"/>
    </row>
    <row r="58" spans="1:224" x14ac:dyDescent="0.25"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90"/>
      <c r="CO58" s="90"/>
      <c r="CP58" s="90"/>
      <c r="CQ58" s="90"/>
      <c r="CR58" s="90"/>
      <c r="CS58" s="90"/>
      <c r="CT58" s="90"/>
      <c r="CU58" s="90"/>
      <c r="CV58" s="90"/>
      <c r="CW58" s="90"/>
      <c r="CX58" s="90"/>
      <c r="CY58" s="90"/>
      <c r="CZ58" s="90"/>
    </row>
    <row r="59" spans="1:224" x14ac:dyDescent="0.25"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90"/>
      <c r="CO59" s="90"/>
      <c r="CP59" s="90"/>
      <c r="CQ59" s="90"/>
      <c r="CR59" s="90"/>
      <c r="CS59" s="90"/>
      <c r="CT59" s="90"/>
      <c r="CU59" s="90"/>
      <c r="CV59" s="90"/>
      <c r="CW59" s="90"/>
      <c r="CX59" s="90"/>
      <c r="CY59" s="90"/>
      <c r="CZ59" s="90"/>
    </row>
    <row r="60" spans="1:224" x14ac:dyDescent="0.25"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90"/>
      <c r="CO60" s="90"/>
      <c r="CP60" s="90"/>
      <c r="CQ60" s="90"/>
      <c r="CR60" s="90"/>
      <c r="CS60" s="90"/>
      <c r="CT60" s="90"/>
      <c r="CU60" s="90"/>
      <c r="CV60" s="90"/>
      <c r="CW60" s="90"/>
      <c r="CX60" s="90"/>
      <c r="CY60" s="90"/>
      <c r="CZ60" s="90"/>
    </row>
    <row r="61" spans="1:224" x14ac:dyDescent="0.25"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90"/>
      <c r="CO61" s="90"/>
      <c r="CP61" s="90"/>
      <c r="CQ61" s="90"/>
      <c r="CR61" s="90"/>
      <c r="CS61" s="90"/>
      <c r="CT61" s="90"/>
      <c r="CU61" s="90"/>
      <c r="CV61" s="90"/>
      <c r="CW61" s="90"/>
      <c r="CX61" s="90"/>
      <c r="CY61" s="90"/>
      <c r="CZ61" s="90"/>
    </row>
    <row r="62" spans="1:224" ht="15.75" x14ac:dyDescent="0.25">
      <c r="A62" s="207" t="s">
        <v>388</v>
      </c>
      <c r="B62" s="207"/>
      <c r="C62" s="207"/>
      <c r="D62" s="207"/>
      <c r="E62" s="207"/>
      <c r="F62" s="207"/>
      <c r="G62" s="207"/>
      <c r="H62" s="208"/>
      <c r="I62" s="207" t="s">
        <v>389</v>
      </c>
      <c r="J62" s="207"/>
      <c r="K62" s="207"/>
      <c r="L62" s="207"/>
      <c r="M62" s="207"/>
      <c r="N62" s="207"/>
      <c r="O62" s="207"/>
      <c r="P62" s="208"/>
      <c r="Q62" s="207" t="s">
        <v>390</v>
      </c>
      <c r="R62" s="207"/>
      <c r="S62" s="207"/>
      <c r="T62" s="207"/>
      <c r="U62" s="207"/>
      <c r="V62" s="207"/>
      <c r="W62" s="207"/>
      <c r="X62" s="208"/>
      <c r="Y62" s="206" t="s">
        <v>391</v>
      </c>
      <c r="Z62" s="207"/>
      <c r="AA62" s="207"/>
      <c r="AB62" s="207"/>
      <c r="AC62" s="207"/>
      <c r="AD62" s="207"/>
      <c r="AE62" s="207"/>
      <c r="AF62" s="208"/>
      <c r="AG62" s="206" t="s">
        <v>392</v>
      </c>
      <c r="AH62" s="207"/>
      <c r="AI62" s="207"/>
      <c r="AJ62" s="207"/>
      <c r="AK62" s="207"/>
      <c r="AL62" s="207"/>
      <c r="AM62" s="207"/>
      <c r="AN62" s="208"/>
      <c r="AO62" s="206" t="s">
        <v>393</v>
      </c>
      <c r="AP62" s="207"/>
      <c r="AQ62" s="207"/>
      <c r="AR62" s="207"/>
      <c r="AS62" s="207"/>
      <c r="AT62" s="207"/>
      <c r="AU62" s="207"/>
      <c r="AV62" s="208"/>
      <c r="AW62" s="206" t="s">
        <v>394</v>
      </c>
      <c r="AX62" s="207"/>
      <c r="AY62" s="207"/>
      <c r="AZ62" s="207"/>
      <c r="BA62" s="207"/>
      <c r="BB62" s="207"/>
      <c r="BC62" s="207"/>
      <c r="BD62" s="208"/>
      <c r="BE62" s="206" t="s">
        <v>395</v>
      </c>
      <c r="BF62" s="207"/>
      <c r="BG62" s="207"/>
      <c r="BH62" s="207"/>
      <c r="BI62" s="207"/>
      <c r="BJ62" s="207"/>
      <c r="BK62" s="207"/>
      <c r="BL62" s="208"/>
      <c r="BM62" s="206" t="s">
        <v>396</v>
      </c>
      <c r="BN62" s="207"/>
      <c r="BO62" s="207"/>
      <c r="BP62" s="207"/>
      <c r="BQ62" s="207"/>
      <c r="BR62" s="207"/>
      <c r="BS62" s="207"/>
      <c r="BT62" s="208"/>
      <c r="BU62" s="206" t="s">
        <v>397</v>
      </c>
      <c r="BV62" s="207"/>
      <c r="BW62" s="207"/>
      <c r="BX62" s="207"/>
      <c r="BY62" s="207"/>
      <c r="BZ62" s="207"/>
      <c r="CA62" s="207"/>
      <c r="CB62" s="208"/>
      <c r="CC62" s="206" t="s">
        <v>398</v>
      </c>
      <c r="CD62" s="207"/>
      <c r="CE62" s="207"/>
      <c r="CF62" s="207"/>
      <c r="CG62" s="207"/>
      <c r="CH62" s="207"/>
      <c r="CI62" s="207"/>
      <c r="CJ62" s="208"/>
      <c r="CK62" s="206" t="s">
        <v>399</v>
      </c>
      <c r="CL62" s="207"/>
      <c r="CM62" s="207"/>
      <c r="CN62" s="207"/>
      <c r="CO62" s="207"/>
      <c r="CP62" s="207"/>
      <c r="CQ62" s="207"/>
      <c r="CR62" s="208"/>
      <c r="CS62" s="206" t="s">
        <v>400</v>
      </c>
      <c r="CT62" s="207"/>
      <c r="CU62" s="207"/>
      <c r="CV62" s="207"/>
      <c r="CW62" s="207"/>
      <c r="CX62" s="207"/>
      <c r="CY62" s="207"/>
      <c r="CZ62" s="208"/>
      <c r="DA62" s="206" t="s">
        <v>401</v>
      </c>
      <c r="DB62" s="207"/>
      <c r="DC62" s="207"/>
      <c r="DD62" s="207"/>
      <c r="DE62" s="207"/>
      <c r="DF62" s="207"/>
      <c r="DG62" s="207"/>
      <c r="DH62" s="208"/>
      <c r="DI62" s="206" t="s">
        <v>402</v>
      </c>
      <c r="DJ62" s="207"/>
      <c r="DK62" s="207"/>
      <c r="DL62" s="207"/>
      <c r="DM62" s="207"/>
      <c r="DN62" s="207"/>
      <c r="DO62" s="207"/>
      <c r="DP62" s="208"/>
      <c r="DQ62" s="206" t="s">
        <v>403</v>
      </c>
      <c r="DR62" s="207"/>
      <c r="DS62" s="207"/>
      <c r="DT62" s="207"/>
      <c r="DU62" s="207"/>
      <c r="DV62" s="207"/>
      <c r="DW62" s="207"/>
      <c r="DX62" s="208"/>
      <c r="DY62" s="206" t="s">
        <v>404</v>
      </c>
      <c r="DZ62" s="207"/>
      <c r="EA62" s="207"/>
      <c r="EB62" s="207"/>
      <c r="EC62" s="207"/>
      <c r="ED62" s="207"/>
      <c r="EE62" s="207"/>
      <c r="EF62" s="208"/>
      <c r="EG62" s="206" t="s">
        <v>405</v>
      </c>
      <c r="EH62" s="207"/>
      <c r="EI62" s="207"/>
      <c r="EJ62" s="207"/>
      <c r="EK62" s="207"/>
      <c r="EL62" s="207"/>
      <c r="EM62" s="207"/>
      <c r="EN62" s="208"/>
      <c r="EO62" s="206" t="s">
        <v>406</v>
      </c>
      <c r="EP62" s="207"/>
      <c r="EQ62" s="207"/>
      <c r="ER62" s="207"/>
      <c r="ES62" s="207"/>
      <c r="ET62" s="207"/>
      <c r="EU62" s="207"/>
      <c r="EV62" s="208"/>
      <c r="EW62" s="206" t="s">
        <v>407</v>
      </c>
      <c r="EX62" s="207"/>
      <c r="EY62" s="207"/>
      <c r="EZ62" s="207"/>
      <c r="FA62" s="207"/>
      <c r="FB62" s="207"/>
      <c r="FC62" s="207"/>
      <c r="FD62" s="208"/>
      <c r="FE62" s="206" t="s">
        <v>408</v>
      </c>
      <c r="FF62" s="207"/>
      <c r="FG62" s="207"/>
      <c r="FH62" s="207"/>
      <c r="FI62" s="207"/>
      <c r="FJ62" s="207"/>
      <c r="FK62" s="207"/>
      <c r="FL62" s="208"/>
      <c r="FM62" s="206" t="s">
        <v>409</v>
      </c>
      <c r="FN62" s="207"/>
      <c r="FO62" s="207"/>
      <c r="FP62" s="207"/>
      <c r="FQ62" s="207"/>
      <c r="FR62" s="207"/>
      <c r="FS62" s="207"/>
      <c r="FT62" s="208"/>
      <c r="FU62" s="206" t="s">
        <v>410</v>
      </c>
      <c r="FV62" s="207"/>
      <c r="FW62" s="207"/>
      <c r="FX62" s="207"/>
      <c r="FY62" s="207"/>
      <c r="FZ62" s="207"/>
      <c r="GA62" s="207"/>
      <c r="GB62" s="208"/>
      <c r="GC62" s="206" t="s">
        <v>411</v>
      </c>
      <c r="GD62" s="207"/>
      <c r="GE62" s="207"/>
      <c r="GF62" s="207"/>
      <c r="GG62" s="207"/>
      <c r="GH62" s="207"/>
      <c r="GI62" s="207"/>
      <c r="GJ62" s="208"/>
      <c r="GK62" s="206" t="s">
        <v>412</v>
      </c>
      <c r="GL62" s="207"/>
      <c r="GM62" s="207"/>
      <c r="GN62" s="207"/>
      <c r="GO62" s="207"/>
      <c r="GP62" s="207"/>
      <c r="GQ62" s="207"/>
      <c r="GR62" s="208"/>
      <c r="GS62" s="206" t="s">
        <v>413</v>
      </c>
      <c r="GT62" s="207"/>
      <c r="GU62" s="207"/>
      <c r="GV62" s="207"/>
      <c r="GW62" s="207"/>
      <c r="GX62" s="207"/>
      <c r="GY62" s="207"/>
      <c r="GZ62" s="208"/>
      <c r="HA62" s="206" t="s">
        <v>414</v>
      </c>
      <c r="HB62" s="207"/>
      <c r="HC62" s="207"/>
      <c r="HD62" s="207"/>
      <c r="HE62" s="207"/>
      <c r="HF62" s="207"/>
      <c r="HG62" s="207"/>
      <c r="HH62" s="208"/>
      <c r="HI62" s="206" t="s">
        <v>387</v>
      </c>
      <c r="HJ62" s="207"/>
      <c r="HK62" s="207"/>
      <c r="HL62" s="207"/>
      <c r="HM62" s="207"/>
      <c r="HN62" s="207"/>
      <c r="HO62" s="207"/>
      <c r="HP62" s="208"/>
    </row>
    <row r="63" spans="1:224" ht="15.75" x14ac:dyDescent="0.25">
      <c r="A63" s="210" t="s">
        <v>361</v>
      </c>
      <c r="B63" s="210"/>
      <c r="C63" s="210"/>
      <c r="D63" s="210"/>
      <c r="E63" s="210"/>
      <c r="F63" s="210"/>
      <c r="G63" s="210"/>
      <c r="H63" s="211"/>
      <c r="I63" s="210" t="s">
        <v>361</v>
      </c>
      <c r="J63" s="210"/>
      <c r="K63" s="210"/>
      <c r="L63" s="210"/>
      <c r="M63" s="210"/>
      <c r="N63" s="210"/>
      <c r="O63" s="210"/>
      <c r="P63" s="211"/>
      <c r="Q63" s="210" t="s">
        <v>361</v>
      </c>
      <c r="R63" s="210"/>
      <c r="S63" s="210"/>
      <c r="T63" s="210"/>
      <c r="U63" s="210"/>
      <c r="V63" s="210"/>
      <c r="W63" s="210"/>
      <c r="X63" s="211"/>
      <c r="Y63" s="209" t="s">
        <v>361</v>
      </c>
      <c r="Z63" s="210"/>
      <c r="AA63" s="210"/>
      <c r="AB63" s="210"/>
      <c r="AC63" s="210"/>
      <c r="AD63" s="210"/>
      <c r="AE63" s="210"/>
      <c r="AF63" s="211"/>
      <c r="AG63" s="209" t="s">
        <v>361</v>
      </c>
      <c r="AH63" s="210"/>
      <c r="AI63" s="210"/>
      <c r="AJ63" s="210"/>
      <c r="AK63" s="210"/>
      <c r="AL63" s="210"/>
      <c r="AM63" s="210"/>
      <c r="AN63" s="211"/>
      <c r="AO63" s="209" t="s">
        <v>360</v>
      </c>
      <c r="AP63" s="210"/>
      <c r="AQ63" s="210"/>
      <c r="AR63" s="210"/>
      <c r="AS63" s="210"/>
      <c r="AT63" s="210"/>
      <c r="AU63" s="210"/>
      <c r="AV63" s="211"/>
      <c r="AW63" s="209" t="s">
        <v>360</v>
      </c>
      <c r="AX63" s="210"/>
      <c r="AY63" s="210"/>
      <c r="AZ63" s="210"/>
      <c r="BA63" s="210"/>
      <c r="BB63" s="210"/>
      <c r="BC63" s="210"/>
      <c r="BD63" s="211"/>
      <c r="BE63" s="209" t="s">
        <v>360</v>
      </c>
      <c r="BF63" s="210"/>
      <c r="BG63" s="210"/>
      <c r="BH63" s="210"/>
      <c r="BI63" s="210"/>
      <c r="BJ63" s="210"/>
      <c r="BK63" s="210"/>
      <c r="BL63" s="211"/>
      <c r="BM63" s="209" t="s">
        <v>360</v>
      </c>
      <c r="BN63" s="210"/>
      <c r="BO63" s="210"/>
      <c r="BP63" s="210"/>
      <c r="BQ63" s="210"/>
      <c r="BR63" s="210"/>
      <c r="BS63" s="210"/>
      <c r="BT63" s="211"/>
      <c r="BU63" s="209" t="s">
        <v>360</v>
      </c>
      <c r="BV63" s="210"/>
      <c r="BW63" s="210"/>
      <c r="BX63" s="210"/>
      <c r="BY63" s="210"/>
      <c r="BZ63" s="210"/>
      <c r="CA63" s="210"/>
      <c r="CB63" s="211"/>
      <c r="CC63" s="209" t="s">
        <v>360</v>
      </c>
      <c r="CD63" s="210"/>
      <c r="CE63" s="210"/>
      <c r="CF63" s="210"/>
      <c r="CG63" s="210"/>
      <c r="CH63" s="210"/>
      <c r="CI63" s="210"/>
      <c r="CJ63" s="211"/>
      <c r="CK63" s="209" t="s">
        <v>360</v>
      </c>
      <c r="CL63" s="210"/>
      <c r="CM63" s="210"/>
      <c r="CN63" s="210"/>
      <c r="CO63" s="210"/>
      <c r="CP63" s="210"/>
      <c r="CQ63" s="210"/>
      <c r="CR63" s="211"/>
      <c r="CS63" s="209" t="s">
        <v>360</v>
      </c>
      <c r="CT63" s="210"/>
      <c r="CU63" s="210"/>
      <c r="CV63" s="210"/>
      <c r="CW63" s="210"/>
      <c r="CX63" s="210"/>
      <c r="CY63" s="210"/>
      <c r="CZ63" s="211"/>
      <c r="DA63" s="209" t="s">
        <v>360</v>
      </c>
      <c r="DB63" s="210"/>
      <c r="DC63" s="210"/>
      <c r="DD63" s="210"/>
      <c r="DE63" s="210"/>
      <c r="DF63" s="210"/>
      <c r="DG63" s="210"/>
      <c r="DH63" s="211"/>
      <c r="DI63" s="209" t="s">
        <v>360</v>
      </c>
      <c r="DJ63" s="210"/>
      <c r="DK63" s="210"/>
      <c r="DL63" s="210"/>
      <c r="DM63" s="210"/>
      <c r="DN63" s="210"/>
      <c r="DO63" s="210"/>
      <c r="DP63" s="211"/>
      <c r="DQ63" s="209" t="s">
        <v>360</v>
      </c>
      <c r="DR63" s="210"/>
      <c r="DS63" s="210"/>
      <c r="DT63" s="210"/>
      <c r="DU63" s="210"/>
      <c r="DV63" s="210"/>
      <c r="DW63" s="210"/>
      <c r="DX63" s="211"/>
      <c r="DY63" s="209" t="s">
        <v>360</v>
      </c>
      <c r="DZ63" s="210"/>
      <c r="EA63" s="210"/>
      <c r="EB63" s="210"/>
      <c r="EC63" s="210"/>
      <c r="ED63" s="210"/>
      <c r="EE63" s="210"/>
      <c r="EF63" s="211"/>
      <c r="EG63" s="209" t="s">
        <v>134</v>
      </c>
      <c r="EH63" s="210"/>
      <c r="EI63" s="210"/>
      <c r="EJ63" s="210"/>
      <c r="EK63" s="210"/>
      <c r="EL63" s="210"/>
      <c r="EM63" s="210"/>
      <c r="EN63" s="211"/>
      <c r="EO63" s="209" t="s">
        <v>134</v>
      </c>
      <c r="EP63" s="210"/>
      <c r="EQ63" s="210"/>
      <c r="ER63" s="210"/>
      <c r="ES63" s="210"/>
      <c r="ET63" s="210"/>
      <c r="EU63" s="210"/>
      <c r="EV63" s="211"/>
      <c r="EW63" s="209" t="s">
        <v>134</v>
      </c>
      <c r="EX63" s="210"/>
      <c r="EY63" s="210"/>
      <c r="EZ63" s="210"/>
      <c r="FA63" s="210"/>
      <c r="FB63" s="210"/>
      <c r="FC63" s="210"/>
      <c r="FD63" s="211"/>
      <c r="FE63" s="209" t="s">
        <v>134</v>
      </c>
      <c r="FF63" s="210"/>
      <c r="FG63" s="210"/>
      <c r="FH63" s="210"/>
      <c r="FI63" s="210"/>
      <c r="FJ63" s="210"/>
      <c r="FK63" s="210"/>
      <c r="FL63" s="211"/>
      <c r="FM63" s="209" t="s">
        <v>134</v>
      </c>
      <c r="FN63" s="210"/>
      <c r="FO63" s="210"/>
      <c r="FP63" s="210"/>
      <c r="FQ63" s="210"/>
      <c r="FR63" s="210"/>
      <c r="FS63" s="210"/>
      <c r="FT63" s="211"/>
      <c r="FU63" s="209" t="s">
        <v>134</v>
      </c>
      <c r="FV63" s="210"/>
      <c r="FW63" s="210"/>
      <c r="FX63" s="210"/>
      <c r="FY63" s="210"/>
      <c r="FZ63" s="210"/>
      <c r="GA63" s="210"/>
      <c r="GB63" s="211"/>
      <c r="GC63" s="209" t="s">
        <v>216</v>
      </c>
      <c r="GD63" s="210"/>
      <c r="GE63" s="210"/>
      <c r="GF63" s="210"/>
      <c r="GG63" s="210"/>
      <c r="GH63" s="210"/>
      <c r="GI63" s="210"/>
      <c r="GJ63" s="211"/>
      <c r="GK63" s="209" t="s">
        <v>216</v>
      </c>
      <c r="GL63" s="210"/>
      <c r="GM63" s="210"/>
      <c r="GN63" s="210"/>
      <c r="GO63" s="210"/>
      <c r="GP63" s="210"/>
      <c r="GQ63" s="210"/>
      <c r="GR63" s="211"/>
      <c r="GS63" s="209" t="s">
        <v>216</v>
      </c>
      <c r="GT63" s="210"/>
      <c r="GU63" s="210"/>
      <c r="GV63" s="210"/>
      <c r="GW63" s="210"/>
      <c r="GX63" s="210"/>
      <c r="GY63" s="210"/>
      <c r="GZ63" s="211"/>
      <c r="HA63" s="209" t="s">
        <v>216</v>
      </c>
      <c r="HB63" s="210"/>
      <c r="HC63" s="210"/>
      <c r="HD63" s="210"/>
      <c r="HE63" s="210"/>
      <c r="HF63" s="210"/>
      <c r="HG63" s="210"/>
      <c r="HH63" s="211"/>
      <c r="HI63" s="209" t="s">
        <v>216</v>
      </c>
      <c r="HJ63" s="210"/>
      <c r="HK63" s="210"/>
      <c r="HL63" s="210"/>
      <c r="HM63" s="210"/>
      <c r="HN63" s="210"/>
      <c r="HO63" s="210"/>
      <c r="HP63" s="211"/>
    </row>
    <row r="64" spans="1:224" x14ac:dyDescent="0.25">
      <c r="A64" s="42" t="s">
        <v>0</v>
      </c>
      <c r="B64" s="190" t="s">
        <v>64</v>
      </c>
      <c r="C64" s="190"/>
      <c r="D64" s="190"/>
      <c r="E64" s="190"/>
      <c r="F64" s="190"/>
      <c r="G64" s="190" t="s">
        <v>415</v>
      </c>
      <c r="H64" s="205"/>
      <c r="I64" s="42" t="s">
        <v>0</v>
      </c>
      <c r="J64" s="190" t="s">
        <v>64</v>
      </c>
      <c r="K64" s="190"/>
      <c r="L64" s="190"/>
      <c r="M64" s="190"/>
      <c r="N64" s="190"/>
      <c r="O64" s="190" t="s">
        <v>415</v>
      </c>
      <c r="P64" s="205"/>
      <c r="Q64" s="42" t="s">
        <v>0</v>
      </c>
      <c r="R64" s="190" t="s">
        <v>64</v>
      </c>
      <c r="S64" s="190"/>
      <c r="T64" s="190"/>
      <c r="U64" s="190"/>
      <c r="V64" s="190"/>
      <c r="W64" s="190" t="s">
        <v>415</v>
      </c>
      <c r="X64" s="205"/>
      <c r="Y64" s="23" t="s">
        <v>0</v>
      </c>
      <c r="Z64" s="190" t="s">
        <v>64</v>
      </c>
      <c r="AA64" s="190"/>
      <c r="AB64" s="190"/>
      <c r="AC64" s="190"/>
      <c r="AD64" s="190"/>
      <c r="AE64" s="190" t="s">
        <v>415</v>
      </c>
      <c r="AF64" s="205"/>
      <c r="AG64" s="23" t="s">
        <v>0</v>
      </c>
      <c r="AH64" s="190" t="s">
        <v>64</v>
      </c>
      <c r="AI64" s="190"/>
      <c r="AJ64" s="190"/>
      <c r="AK64" s="190"/>
      <c r="AL64" s="190"/>
      <c r="AM64" s="190" t="s">
        <v>415</v>
      </c>
      <c r="AN64" s="205"/>
      <c r="AO64" s="23" t="s">
        <v>0</v>
      </c>
      <c r="AP64" s="190" t="s">
        <v>46</v>
      </c>
      <c r="AQ64" s="190"/>
      <c r="AR64" s="190"/>
      <c r="AS64" s="190"/>
      <c r="AT64" s="190"/>
      <c r="AU64" s="190" t="s">
        <v>56</v>
      </c>
      <c r="AV64" s="205"/>
      <c r="AW64" s="23" t="s">
        <v>0</v>
      </c>
      <c r="AX64" s="190" t="s">
        <v>46</v>
      </c>
      <c r="AY64" s="190"/>
      <c r="AZ64" s="190"/>
      <c r="BA64" s="190"/>
      <c r="BB64" s="190"/>
      <c r="BC64" s="190" t="s">
        <v>56</v>
      </c>
      <c r="BD64" s="205"/>
      <c r="BE64" s="23" t="s">
        <v>0</v>
      </c>
      <c r="BF64" s="190" t="s">
        <v>46</v>
      </c>
      <c r="BG64" s="190"/>
      <c r="BH64" s="190"/>
      <c r="BI64" s="190"/>
      <c r="BJ64" s="190"/>
      <c r="BK64" s="190" t="s">
        <v>56</v>
      </c>
      <c r="BL64" s="205"/>
      <c r="BM64" s="23" t="s">
        <v>0</v>
      </c>
      <c r="BN64" s="190" t="s">
        <v>46</v>
      </c>
      <c r="BO64" s="190"/>
      <c r="BP64" s="190"/>
      <c r="BQ64" s="190"/>
      <c r="BR64" s="190"/>
      <c r="BS64" s="190" t="s">
        <v>56</v>
      </c>
      <c r="BT64" s="205"/>
      <c r="BU64" s="23" t="s">
        <v>0</v>
      </c>
      <c r="BV64" s="190" t="s">
        <v>46</v>
      </c>
      <c r="BW64" s="190"/>
      <c r="BX64" s="190"/>
      <c r="BY64" s="190"/>
      <c r="BZ64" s="190"/>
      <c r="CA64" s="190" t="s">
        <v>56</v>
      </c>
      <c r="CB64" s="205"/>
      <c r="CC64" s="23" t="s">
        <v>0</v>
      </c>
      <c r="CD64" s="190" t="s">
        <v>46</v>
      </c>
      <c r="CE64" s="190"/>
      <c r="CF64" s="190"/>
      <c r="CG64" s="190"/>
      <c r="CH64" s="190"/>
      <c r="CI64" s="190" t="s">
        <v>56</v>
      </c>
      <c r="CJ64" s="205"/>
      <c r="CK64" s="23" t="s">
        <v>0</v>
      </c>
      <c r="CL64" s="190" t="s">
        <v>46</v>
      </c>
      <c r="CM64" s="190"/>
      <c r="CN64" s="190"/>
      <c r="CO64" s="190"/>
      <c r="CP64" s="190"/>
      <c r="CQ64" s="190" t="s">
        <v>56</v>
      </c>
      <c r="CR64" s="205"/>
      <c r="CS64" s="23" t="s">
        <v>0</v>
      </c>
      <c r="CT64" s="190" t="s">
        <v>46</v>
      </c>
      <c r="CU64" s="190"/>
      <c r="CV64" s="190"/>
      <c r="CW64" s="190"/>
      <c r="CX64" s="190"/>
      <c r="CY64" s="190" t="s">
        <v>56</v>
      </c>
      <c r="CZ64" s="205"/>
      <c r="DA64" s="23" t="s">
        <v>0</v>
      </c>
      <c r="DB64" s="190" t="s">
        <v>46</v>
      </c>
      <c r="DC64" s="190"/>
      <c r="DD64" s="190"/>
      <c r="DE64" s="190"/>
      <c r="DF64" s="190"/>
      <c r="DG64" s="190" t="s">
        <v>56</v>
      </c>
      <c r="DH64" s="205"/>
      <c r="DI64" s="23" t="s">
        <v>0</v>
      </c>
      <c r="DJ64" s="190" t="s">
        <v>46</v>
      </c>
      <c r="DK64" s="190"/>
      <c r="DL64" s="190"/>
      <c r="DM64" s="190"/>
      <c r="DN64" s="190"/>
      <c r="DO64" s="190" t="s">
        <v>56</v>
      </c>
      <c r="DP64" s="205"/>
      <c r="DQ64" s="23" t="s">
        <v>0</v>
      </c>
      <c r="DR64" s="190" t="s">
        <v>46</v>
      </c>
      <c r="DS64" s="190"/>
      <c r="DT64" s="190"/>
      <c r="DU64" s="190"/>
      <c r="DV64" s="190"/>
      <c r="DW64" s="190" t="s">
        <v>56</v>
      </c>
      <c r="DX64" s="205"/>
      <c r="DY64" s="23" t="s">
        <v>0</v>
      </c>
      <c r="DZ64" s="190" t="s">
        <v>46</v>
      </c>
      <c r="EA64" s="190"/>
      <c r="EB64" s="190"/>
      <c r="EC64" s="190"/>
      <c r="ED64" s="190"/>
      <c r="EE64" s="190" t="s">
        <v>56</v>
      </c>
      <c r="EF64" s="205"/>
      <c r="EG64" s="195" t="s">
        <v>0</v>
      </c>
      <c r="EH64" s="194"/>
      <c r="EI64" s="190" t="s">
        <v>135</v>
      </c>
      <c r="EJ64" s="190"/>
      <c r="EK64" s="190"/>
      <c r="EL64" s="190"/>
      <c r="EM64" s="190" t="s">
        <v>357</v>
      </c>
      <c r="EN64" s="205"/>
      <c r="EO64" s="195" t="s">
        <v>0</v>
      </c>
      <c r="EP64" s="194"/>
      <c r="EQ64" s="190" t="s">
        <v>135</v>
      </c>
      <c r="ER64" s="190"/>
      <c r="ES64" s="190"/>
      <c r="ET64" s="190"/>
      <c r="EU64" s="190" t="s">
        <v>357</v>
      </c>
      <c r="EV64" s="205"/>
      <c r="EW64" s="195" t="s">
        <v>0</v>
      </c>
      <c r="EX64" s="194"/>
      <c r="EY64" s="190" t="s">
        <v>135</v>
      </c>
      <c r="EZ64" s="190"/>
      <c r="FA64" s="190"/>
      <c r="FB64" s="190"/>
      <c r="FC64" s="190" t="s">
        <v>357</v>
      </c>
      <c r="FD64" s="205"/>
      <c r="FE64" s="195" t="s">
        <v>0</v>
      </c>
      <c r="FF64" s="194"/>
      <c r="FG64" s="190" t="s">
        <v>135</v>
      </c>
      <c r="FH64" s="190"/>
      <c r="FI64" s="190"/>
      <c r="FJ64" s="190"/>
      <c r="FK64" s="190" t="s">
        <v>357</v>
      </c>
      <c r="FL64" s="205"/>
      <c r="FM64" s="195" t="s">
        <v>0</v>
      </c>
      <c r="FN64" s="194"/>
      <c r="FO64" s="190" t="s">
        <v>135</v>
      </c>
      <c r="FP64" s="190"/>
      <c r="FQ64" s="190"/>
      <c r="FR64" s="190"/>
      <c r="FS64" s="190" t="s">
        <v>357</v>
      </c>
      <c r="FT64" s="205"/>
      <c r="FU64" s="195" t="s">
        <v>0</v>
      </c>
      <c r="FV64" s="194"/>
      <c r="FW64" s="190" t="s">
        <v>135</v>
      </c>
      <c r="FX64" s="190"/>
      <c r="FY64" s="190"/>
      <c r="FZ64" s="190"/>
      <c r="GA64" s="190" t="s">
        <v>357</v>
      </c>
      <c r="GB64" s="205"/>
      <c r="GC64" s="195" t="s">
        <v>90</v>
      </c>
      <c r="GD64" s="194"/>
      <c r="GE64" s="190" t="s">
        <v>248</v>
      </c>
      <c r="GF64" s="190"/>
      <c r="GG64" s="190"/>
      <c r="GH64" s="190"/>
      <c r="GI64" s="190" t="s">
        <v>358</v>
      </c>
      <c r="GJ64" s="205"/>
      <c r="GK64" s="195" t="s">
        <v>90</v>
      </c>
      <c r="GL64" s="194"/>
      <c r="GM64" s="190" t="s">
        <v>248</v>
      </c>
      <c r="GN64" s="190"/>
      <c r="GO64" s="190"/>
      <c r="GP64" s="190"/>
      <c r="GQ64" s="190" t="s">
        <v>358</v>
      </c>
      <c r="GR64" s="205"/>
      <c r="GS64" s="195" t="s">
        <v>90</v>
      </c>
      <c r="GT64" s="194"/>
      <c r="GU64" s="190" t="s">
        <v>248</v>
      </c>
      <c r="GV64" s="190"/>
      <c r="GW64" s="190"/>
      <c r="GX64" s="190"/>
      <c r="GY64" s="190" t="s">
        <v>358</v>
      </c>
      <c r="GZ64" s="205"/>
      <c r="HA64" s="195" t="s">
        <v>90</v>
      </c>
      <c r="HB64" s="194"/>
      <c r="HC64" s="190" t="s">
        <v>248</v>
      </c>
      <c r="HD64" s="190"/>
      <c r="HE64" s="190"/>
      <c r="HF64" s="190"/>
      <c r="HG64" s="190" t="s">
        <v>358</v>
      </c>
      <c r="HH64" s="205"/>
      <c r="HI64" s="195" t="s">
        <v>90</v>
      </c>
      <c r="HJ64" s="194"/>
      <c r="HK64" s="190" t="s">
        <v>248</v>
      </c>
      <c r="HL64" s="190"/>
      <c r="HM64" s="190"/>
      <c r="HN64" s="190"/>
      <c r="HO64" s="190" t="s">
        <v>358</v>
      </c>
      <c r="HP64" s="205"/>
    </row>
    <row r="65" spans="1:224" x14ac:dyDescent="0.25">
      <c r="A65" s="14"/>
      <c r="B65" s="13"/>
      <c r="C65" s="13"/>
      <c r="D65" s="13"/>
      <c r="E65" s="13"/>
      <c r="F65" s="13"/>
      <c r="G65" s="13"/>
      <c r="H65" s="29"/>
      <c r="I65" s="14"/>
      <c r="J65" s="13"/>
      <c r="K65" s="13"/>
      <c r="L65" s="13"/>
      <c r="M65" s="13"/>
      <c r="N65" s="13"/>
      <c r="O65" s="13"/>
      <c r="P65" s="29"/>
      <c r="Q65" s="14"/>
      <c r="R65" s="13"/>
      <c r="S65" s="13"/>
      <c r="T65" s="13"/>
      <c r="U65" s="13"/>
      <c r="V65" s="13"/>
      <c r="W65" s="13"/>
      <c r="X65" s="29"/>
      <c r="Y65" s="24"/>
      <c r="Z65" s="13"/>
      <c r="AA65" s="13"/>
      <c r="AB65" s="13"/>
      <c r="AC65" s="13"/>
      <c r="AD65" s="13"/>
      <c r="AE65" s="13"/>
      <c r="AF65" s="29"/>
      <c r="AG65" s="24"/>
      <c r="AH65" s="13"/>
      <c r="AI65" s="13"/>
      <c r="AJ65" s="13"/>
      <c r="AK65" s="13"/>
      <c r="AL65" s="13"/>
      <c r="AM65" s="13"/>
      <c r="AN65" s="29"/>
      <c r="AO65" s="24"/>
      <c r="AP65" s="13"/>
      <c r="AQ65" s="13"/>
      <c r="AR65" s="13"/>
      <c r="AS65" s="13"/>
      <c r="AT65" s="13"/>
      <c r="AU65" s="13"/>
      <c r="AV65" s="29"/>
      <c r="AW65" s="24"/>
      <c r="AX65" s="13"/>
      <c r="AY65" s="13"/>
      <c r="AZ65" s="13"/>
      <c r="BA65" s="13"/>
      <c r="BB65" s="13"/>
      <c r="BC65" s="13"/>
      <c r="BD65" s="29"/>
      <c r="BE65" s="24"/>
      <c r="BF65" s="13"/>
      <c r="BG65" s="13"/>
      <c r="BH65" s="13"/>
      <c r="BI65" s="13"/>
      <c r="BJ65" s="13"/>
      <c r="BK65" s="13"/>
      <c r="BL65" s="29"/>
      <c r="BM65" s="24"/>
      <c r="BN65" s="13"/>
      <c r="BO65" s="13"/>
      <c r="BP65" s="13"/>
      <c r="BQ65" s="13"/>
      <c r="BR65" s="13"/>
      <c r="BS65" s="13"/>
      <c r="BT65" s="29"/>
      <c r="BU65" s="24"/>
      <c r="BV65" s="13"/>
      <c r="BW65" s="13"/>
      <c r="BX65" s="13"/>
      <c r="BY65" s="13"/>
      <c r="BZ65" s="13"/>
      <c r="CA65" s="13"/>
      <c r="CB65" s="29"/>
      <c r="CC65" s="24"/>
      <c r="CD65" s="13"/>
      <c r="CE65" s="13"/>
      <c r="CF65" s="13"/>
      <c r="CG65" s="13"/>
      <c r="CH65" s="13"/>
      <c r="CI65" s="13"/>
      <c r="CJ65" s="29"/>
      <c r="CK65" s="24"/>
      <c r="CL65" s="13"/>
      <c r="CM65" s="13"/>
      <c r="CN65" s="13"/>
      <c r="CO65" s="13"/>
      <c r="CP65" s="13"/>
      <c r="CQ65" s="13"/>
      <c r="CR65" s="29"/>
      <c r="CS65" s="24"/>
      <c r="CT65" s="13"/>
      <c r="CU65" s="13"/>
      <c r="CV65" s="13"/>
      <c r="CW65" s="13"/>
      <c r="CX65" s="13"/>
      <c r="CY65" s="13"/>
      <c r="CZ65" s="29"/>
      <c r="DA65" s="24"/>
      <c r="DB65" s="13"/>
      <c r="DC65" s="13"/>
      <c r="DD65" s="13"/>
      <c r="DE65" s="13"/>
      <c r="DF65" s="13"/>
      <c r="DG65" s="13"/>
      <c r="DH65" s="29"/>
      <c r="DI65" s="24"/>
      <c r="DJ65" s="13"/>
      <c r="DK65" s="13"/>
      <c r="DL65" s="13"/>
      <c r="DM65" s="13"/>
      <c r="DN65" s="13"/>
      <c r="DO65" s="13"/>
      <c r="DP65" s="29"/>
      <c r="DQ65" s="24"/>
      <c r="DR65" s="13"/>
      <c r="DS65" s="13"/>
      <c r="DT65" s="13"/>
      <c r="DU65" s="13"/>
      <c r="DV65" s="13"/>
      <c r="DW65" s="13"/>
      <c r="DX65" s="29"/>
      <c r="DY65" s="24"/>
      <c r="DZ65" s="13"/>
      <c r="EA65" s="13"/>
      <c r="EB65" s="13"/>
      <c r="EC65" s="13"/>
      <c r="ED65" s="13"/>
      <c r="EE65" s="13"/>
      <c r="EF65" s="29"/>
      <c r="EG65" s="24"/>
      <c r="EH65" s="14"/>
      <c r="EI65" s="14"/>
      <c r="EJ65" s="14"/>
      <c r="EK65" s="14"/>
      <c r="EL65" s="14"/>
      <c r="EM65" s="14"/>
      <c r="EN65" s="25"/>
      <c r="EO65" s="24"/>
      <c r="EP65" s="14"/>
      <c r="EQ65" s="14"/>
      <c r="ER65" s="14"/>
      <c r="ES65" s="14"/>
      <c r="ET65" s="14"/>
      <c r="EU65" s="14"/>
      <c r="EV65" s="25"/>
      <c r="EW65" s="24"/>
      <c r="EX65" s="14"/>
      <c r="EY65" s="14"/>
      <c r="EZ65" s="14"/>
      <c r="FA65" s="14"/>
      <c r="FB65" s="14"/>
      <c r="FC65" s="14"/>
      <c r="FD65" s="25"/>
      <c r="FE65" s="24"/>
      <c r="FF65" s="14"/>
      <c r="FG65" s="14"/>
      <c r="FH65" s="14"/>
      <c r="FI65" s="14"/>
      <c r="FJ65" s="14"/>
      <c r="FK65" s="14"/>
      <c r="FL65" s="25"/>
      <c r="FM65" s="24"/>
      <c r="FN65" s="14"/>
      <c r="FO65" s="14"/>
      <c r="FP65" s="14"/>
      <c r="FQ65" s="14"/>
      <c r="FR65" s="14"/>
      <c r="FS65" s="14"/>
      <c r="FT65" s="25"/>
      <c r="FU65" s="24"/>
      <c r="FV65" s="14"/>
      <c r="FW65" s="14"/>
      <c r="FX65" s="14"/>
      <c r="FY65" s="14"/>
      <c r="FZ65" s="14"/>
      <c r="GA65" s="14"/>
      <c r="GB65" s="25"/>
      <c r="GC65" s="24"/>
      <c r="GD65" s="14"/>
      <c r="GE65" s="14"/>
      <c r="GF65" s="14"/>
      <c r="GG65" s="14"/>
      <c r="GH65" s="14"/>
      <c r="GI65" s="14"/>
      <c r="GJ65" s="25"/>
      <c r="GK65" s="24"/>
      <c r="GL65" s="14"/>
      <c r="GM65" s="14"/>
      <c r="GN65" s="14"/>
      <c r="GO65" s="14"/>
      <c r="GP65" s="14"/>
      <c r="GQ65" s="14"/>
      <c r="GR65" s="25"/>
      <c r="GS65" s="24"/>
      <c r="GT65" s="14"/>
      <c r="GU65" s="14"/>
      <c r="GV65" s="14"/>
      <c r="GW65" s="14"/>
      <c r="GX65" s="14"/>
      <c r="GY65" s="14"/>
      <c r="GZ65" s="25"/>
      <c r="HA65" s="24"/>
      <c r="HB65" s="14"/>
      <c r="HC65" s="14"/>
      <c r="HD65" s="14"/>
      <c r="HE65" s="14"/>
      <c r="HF65" s="14"/>
      <c r="HG65" s="14"/>
      <c r="HH65" s="25"/>
      <c r="HI65" s="24"/>
      <c r="HJ65" s="14"/>
      <c r="HK65" s="14"/>
      <c r="HL65" s="14"/>
      <c r="HM65" s="14"/>
      <c r="HN65" s="14"/>
      <c r="HO65" s="14"/>
      <c r="HP65" s="25"/>
    </row>
    <row r="66" spans="1:224" ht="18" x14ac:dyDescent="0.35">
      <c r="A66" s="106" t="s">
        <v>48</v>
      </c>
      <c r="B66" s="109">
        <v>104800</v>
      </c>
      <c r="C66" s="106" t="s">
        <v>62</v>
      </c>
      <c r="D66" s="109">
        <v>0.5</v>
      </c>
      <c r="E66" s="221" t="s">
        <v>63</v>
      </c>
      <c r="F66" s="190"/>
      <c r="G66" s="213" t="s">
        <v>291</v>
      </c>
      <c r="H66" s="214"/>
      <c r="I66" s="106" t="s">
        <v>48</v>
      </c>
      <c r="J66" s="109">
        <v>62000</v>
      </c>
      <c r="K66" s="106" t="s">
        <v>62</v>
      </c>
      <c r="L66" s="109">
        <v>3.35</v>
      </c>
      <c r="M66" s="221" t="s">
        <v>63</v>
      </c>
      <c r="N66" s="190"/>
      <c r="O66" s="213" t="s">
        <v>291</v>
      </c>
      <c r="P66" s="214"/>
      <c r="Q66" s="106" t="s">
        <v>48</v>
      </c>
      <c r="R66" s="109">
        <v>77400</v>
      </c>
      <c r="S66" s="106" t="s">
        <v>62</v>
      </c>
      <c r="T66" s="109">
        <f>6.82-3.35</f>
        <v>3.47</v>
      </c>
      <c r="U66" s="221" t="s">
        <v>63</v>
      </c>
      <c r="V66" s="190"/>
      <c r="W66" s="213" t="s">
        <v>291</v>
      </c>
      <c r="X66" s="214"/>
      <c r="Y66" s="107" t="s">
        <v>48</v>
      </c>
      <c r="Z66" s="109">
        <v>76600</v>
      </c>
      <c r="AA66" s="106" t="s">
        <v>62</v>
      </c>
      <c r="AB66" s="109">
        <v>0.5</v>
      </c>
      <c r="AC66" s="221" t="s">
        <v>63</v>
      </c>
      <c r="AD66" s="190"/>
      <c r="AE66" s="213" t="s">
        <v>291</v>
      </c>
      <c r="AF66" s="214"/>
      <c r="AG66" s="107" t="s">
        <v>48</v>
      </c>
      <c r="AH66" s="109">
        <v>44000</v>
      </c>
      <c r="AI66" s="106" t="s">
        <v>62</v>
      </c>
      <c r="AJ66" s="109">
        <v>3.5</v>
      </c>
      <c r="AK66" s="221" t="s">
        <v>63</v>
      </c>
      <c r="AL66" s="190"/>
      <c r="AM66" s="213" t="s">
        <v>290</v>
      </c>
      <c r="AN66" s="214"/>
      <c r="AO66" s="116" t="s">
        <v>48</v>
      </c>
      <c r="AP66" s="118">
        <v>77600</v>
      </c>
      <c r="AQ66" s="112" t="s">
        <v>47</v>
      </c>
      <c r="AR66" s="118">
        <v>0.25</v>
      </c>
      <c r="AS66" s="194" t="s">
        <v>30</v>
      </c>
      <c r="AT66" s="194"/>
      <c r="AU66" s="213" t="s">
        <v>286</v>
      </c>
      <c r="AV66" s="214"/>
      <c r="AW66" s="116" t="s">
        <v>48</v>
      </c>
      <c r="AX66" s="118">
        <v>77400</v>
      </c>
      <c r="AY66" s="112" t="s">
        <v>47</v>
      </c>
      <c r="AZ66" s="118">
        <v>0.25</v>
      </c>
      <c r="BA66" s="194" t="s">
        <v>30</v>
      </c>
      <c r="BB66" s="194"/>
      <c r="BC66" s="213" t="s">
        <v>60</v>
      </c>
      <c r="BD66" s="214"/>
      <c r="BE66" s="116" t="s">
        <v>48</v>
      </c>
      <c r="BF66" s="118">
        <v>77400</v>
      </c>
      <c r="BG66" s="112" t="s">
        <v>47</v>
      </c>
      <c r="BH66" s="118">
        <v>0.25</v>
      </c>
      <c r="BI66" s="194" t="s">
        <v>30</v>
      </c>
      <c r="BJ66" s="194"/>
      <c r="BK66" s="213" t="s">
        <v>286</v>
      </c>
      <c r="BL66" s="214"/>
      <c r="BM66" s="116" t="s">
        <v>48</v>
      </c>
      <c r="BN66" s="118">
        <v>77600</v>
      </c>
      <c r="BO66" s="112" t="s">
        <v>47</v>
      </c>
      <c r="BP66" s="118">
        <v>0.25</v>
      </c>
      <c r="BQ66" s="194" t="s">
        <v>30</v>
      </c>
      <c r="BR66" s="194"/>
      <c r="BS66" s="213" t="s">
        <v>60</v>
      </c>
      <c r="BT66" s="214"/>
      <c r="BU66" s="116" t="s">
        <v>48</v>
      </c>
      <c r="BV66" s="118">
        <v>77400</v>
      </c>
      <c r="BW66" s="112" t="s">
        <v>47</v>
      </c>
      <c r="BX66" s="118">
        <v>0.25</v>
      </c>
      <c r="BY66" s="194" t="s">
        <v>30</v>
      </c>
      <c r="BZ66" s="194"/>
      <c r="CA66" s="213" t="s">
        <v>286</v>
      </c>
      <c r="CB66" s="214"/>
      <c r="CC66" s="116" t="s">
        <v>48</v>
      </c>
      <c r="CD66" s="118">
        <v>62000</v>
      </c>
      <c r="CE66" s="112" t="s">
        <v>47</v>
      </c>
      <c r="CF66" s="118">
        <v>0.25</v>
      </c>
      <c r="CG66" s="194" t="s">
        <v>30</v>
      </c>
      <c r="CH66" s="194"/>
      <c r="CI66" s="213" t="s">
        <v>60</v>
      </c>
      <c r="CJ66" s="214"/>
      <c r="CK66" s="116" t="s">
        <v>48</v>
      </c>
      <c r="CL66" s="118">
        <v>62000</v>
      </c>
      <c r="CM66" s="112" t="s">
        <v>47</v>
      </c>
      <c r="CN66" s="118">
        <v>0.25</v>
      </c>
      <c r="CO66" s="194" t="s">
        <v>30</v>
      </c>
      <c r="CP66" s="194"/>
      <c r="CQ66" s="213" t="s">
        <v>286</v>
      </c>
      <c r="CR66" s="214"/>
      <c r="CS66" s="116" t="s">
        <v>48</v>
      </c>
      <c r="CT66" s="118">
        <v>77400</v>
      </c>
      <c r="CU66" s="112" t="s">
        <v>47</v>
      </c>
      <c r="CV66" s="118">
        <v>0.25</v>
      </c>
      <c r="CW66" s="194" t="s">
        <v>30</v>
      </c>
      <c r="CX66" s="194"/>
      <c r="CY66" s="213" t="s">
        <v>60</v>
      </c>
      <c r="CZ66" s="214"/>
      <c r="DA66" s="116" t="s">
        <v>48</v>
      </c>
      <c r="DB66" s="118">
        <v>10600</v>
      </c>
      <c r="DC66" s="112" t="s">
        <v>47</v>
      </c>
      <c r="DD66" s="118">
        <v>0.25</v>
      </c>
      <c r="DE66" s="194" t="s">
        <v>30</v>
      </c>
      <c r="DF66" s="194"/>
      <c r="DG66" s="213" t="s">
        <v>286</v>
      </c>
      <c r="DH66" s="214"/>
      <c r="DI66" s="116" t="s">
        <v>48</v>
      </c>
      <c r="DJ66" s="118">
        <v>104800</v>
      </c>
      <c r="DK66" s="112" t="s">
        <v>47</v>
      </c>
      <c r="DL66" s="118">
        <v>0.25</v>
      </c>
      <c r="DM66" s="194" t="s">
        <v>30</v>
      </c>
      <c r="DN66" s="194"/>
      <c r="DO66" s="213" t="s">
        <v>60</v>
      </c>
      <c r="DP66" s="214"/>
      <c r="DQ66" s="116" t="s">
        <v>48</v>
      </c>
      <c r="DR66" s="118">
        <v>104800</v>
      </c>
      <c r="DS66" s="112" t="s">
        <v>47</v>
      </c>
      <c r="DT66" s="118">
        <v>0.25</v>
      </c>
      <c r="DU66" s="194" t="s">
        <v>30</v>
      </c>
      <c r="DV66" s="194"/>
      <c r="DW66" s="213" t="s">
        <v>286</v>
      </c>
      <c r="DX66" s="214"/>
      <c r="DY66" s="116" t="s">
        <v>48</v>
      </c>
      <c r="DZ66" s="118">
        <v>10600</v>
      </c>
      <c r="EA66" s="112" t="s">
        <v>47</v>
      </c>
      <c r="EB66" s="118">
        <v>0.25</v>
      </c>
      <c r="EC66" s="194" t="s">
        <v>30</v>
      </c>
      <c r="ED66" s="194"/>
      <c r="EE66" s="213" t="s">
        <v>60</v>
      </c>
      <c r="EF66" s="214"/>
      <c r="EG66" s="119" t="s">
        <v>161</v>
      </c>
      <c r="EH66" s="51">
        <f>0.5*(EH69+EH70)</f>
        <v>15250</v>
      </c>
      <c r="EI66" s="14"/>
      <c r="EJ66" s="120" t="s">
        <v>166</v>
      </c>
      <c r="EK66" s="34" t="s">
        <v>213</v>
      </c>
      <c r="EL66" s="120" t="s">
        <v>168</v>
      </c>
      <c r="EM66" s="236" t="s">
        <v>138</v>
      </c>
      <c r="EN66" s="237"/>
      <c r="EO66" s="119" t="s">
        <v>161</v>
      </c>
      <c r="EP66" s="51">
        <f>0.5*(EP69+EP70)</f>
        <v>32250</v>
      </c>
      <c r="EQ66" s="14"/>
      <c r="ER66" s="120" t="s">
        <v>166</v>
      </c>
      <c r="ES66" s="34" t="s">
        <v>213</v>
      </c>
      <c r="ET66" s="120" t="s">
        <v>168</v>
      </c>
      <c r="EU66" s="236" t="s">
        <v>138</v>
      </c>
      <c r="EV66" s="237"/>
      <c r="EW66" s="119" t="s">
        <v>161</v>
      </c>
      <c r="EX66" s="51">
        <f>0.5*(EX69+EX70)</f>
        <v>2225</v>
      </c>
      <c r="EY66" s="14"/>
      <c r="EZ66" s="120" t="s">
        <v>166</v>
      </c>
      <c r="FA66" s="34" t="s">
        <v>213</v>
      </c>
      <c r="FB66" s="120" t="s">
        <v>168</v>
      </c>
      <c r="FC66" s="236" t="s">
        <v>142</v>
      </c>
      <c r="FD66" s="237"/>
      <c r="FE66" s="119" t="s">
        <v>161</v>
      </c>
      <c r="FF66" s="51">
        <f>0.5*(FF69+FF70)</f>
        <v>4675</v>
      </c>
      <c r="FG66" s="14"/>
      <c r="FH66" s="120" t="s">
        <v>166</v>
      </c>
      <c r="FI66" s="34" t="s">
        <v>213</v>
      </c>
      <c r="FJ66" s="120" t="s">
        <v>168</v>
      </c>
      <c r="FK66" s="236" t="s">
        <v>138</v>
      </c>
      <c r="FL66" s="237"/>
      <c r="FM66" s="119" t="s">
        <v>161</v>
      </c>
      <c r="FN66" s="51">
        <f>0.5*(FN69+FN70)</f>
        <v>29250</v>
      </c>
      <c r="FO66" s="14"/>
      <c r="FP66" s="120" t="s">
        <v>166</v>
      </c>
      <c r="FQ66" s="34" t="s">
        <v>213</v>
      </c>
      <c r="FR66" s="120" t="s">
        <v>168</v>
      </c>
      <c r="FS66" s="236" t="s">
        <v>138</v>
      </c>
      <c r="FT66" s="237"/>
      <c r="FU66" s="119" t="s">
        <v>161</v>
      </c>
      <c r="FV66" s="51">
        <f>0.5*(FV69+FV70)</f>
        <v>23750</v>
      </c>
      <c r="FW66" s="14"/>
      <c r="FX66" s="120" t="s">
        <v>166</v>
      </c>
      <c r="FY66" s="34" t="s">
        <v>213</v>
      </c>
      <c r="FZ66" s="120" t="s">
        <v>168</v>
      </c>
      <c r="GA66" s="236" t="s">
        <v>138</v>
      </c>
      <c r="GB66" s="237"/>
      <c r="GC66" s="107" t="s">
        <v>247</v>
      </c>
      <c r="GD66" s="109">
        <v>12000</v>
      </c>
      <c r="GE66" s="106" t="s">
        <v>249</v>
      </c>
      <c r="GF66" s="109">
        <v>0.35</v>
      </c>
      <c r="GG66" s="212" t="s">
        <v>246</v>
      </c>
      <c r="GH66" s="197"/>
      <c r="GI66" s="213" t="s">
        <v>225</v>
      </c>
      <c r="GJ66" s="214"/>
      <c r="GK66" s="107" t="s">
        <v>247</v>
      </c>
      <c r="GL66" s="109">
        <v>25000</v>
      </c>
      <c r="GM66" s="106" t="s">
        <v>249</v>
      </c>
      <c r="GN66" s="109">
        <v>2.4700000000000002</v>
      </c>
      <c r="GO66" s="212" t="s">
        <v>246</v>
      </c>
      <c r="GP66" s="197"/>
      <c r="GQ66" s="213" t="s">
        <v>224</v>
      </c>
      <c r="GR66" s="214"/>
      <c r="GS66" s="116" t="s">
        <v>247</v>
      </c>
      <c r="GT66" s="118">
        <v>32000</v>
      </c>
      <c r="GU66" s="112" t="s">
        <v>249</v>
      </c>
      <c r="GV66" s="118">
        <v>1</v>
      </c>
      <c r="GW66" s="212" t="s">
        <v>246</v>
      </c>
      <c r="GX66" s="197"/>
      <c r="GY66" s="213" t="s">
        <v>225</v>
      </c>
      <c r="GZ66" s="214"/>
      <c r="HA66" s="116" t="s">
        <v>247</v>
      </c>
      <c r="HB66" s="118">
        <v>32000</v>
      </c>
      <c r="HC66" s="112" t="s">
        <v>249</v>
      </c>
      <c r="HD66" s="118">
        <v>0.3</v>
      </c>
      <c r="HE66" s="212" t="s">
        <v>246</v>
      </c>
      <c r="HF66" s="197"/>
      <c r="HG66" s="213" t="s">
        <v>222</v>
      </c>
      <c r="HH66" s="214"/>
      <c r="HI66" s="116" t="s">
        <v>247</v>
      </c>
      <c r="HJ66" s="118">
        <v>21000</v>
      </c>
      <c r="HK66" s="112" t="s">
        <v>249</v>
      </c>
      <c r="HL66" s="118">
        <v>0.3</v>
      </c>
      <c r="HM66" s="212" t="s">
        <v>246</v>
      </c>
      <c r="HN66" s="197"/>
      <c r="HO66" s="213" t="s">
        <v>222</v>
      </c>
      <c r="HP66" s="214"/>
    </row>
    <row r="67" spans="1:224" ht="18" x14ac:dyDescent="0.35">
      <c r="A67" s="14"/>
      <c r="B67" s="14"/>
      <c r="C67" s="14"/>
      <c r="D67" s="14"/>
      <c r="E67" s="14"/>
      <c r="F67" s="14"/>
      <c r="G67" s="14"/>
      <c r="H67" s="25"/>
      <c r="I67" s="14"/>
      <c r="J67" s="14"/>
      <c r="K67" s="14"/>
      <c r="L67" s="14"/>
      <c r="M67" s="14"/>
      <c r="N67" s="14"/>
      <c r="O67" s="14"/>
      <c r="P67" s="25"/>
      <c r="Q67" s="14"/>
      <c r="R67" s="14"/>
      <c r="S67" s="14"/>
      <c r="T67" s="14"/>
      <c r="U67" s="14"/>
      <c r="V67" s="14"/>
      <c r="W67" s="14"/>
      <c r="X67" s="25"/>
      <c r="Y67" s="24"/>
      <c r="Z67" s="14"/>
      <c r="AA67" s="14"/>
      <c r="AB67" s="14"/>
      <c r="AC67" s="14"/>
      <c r="AD67" s="14"/>
      <c r="AE67" s="14"/>
      <c r="AF67" s="25"/>
      <c r="AG67" s="24"/>
      <c r="AH67" s="14"/>
      <c r="AI67" s="14"/>
      <c r="AJ67" s="14"/>
      <c r="AK67" s="14"/>
      <c r="AL67" s="14"/>
      <c r="AM67" s="14"/>
      <c r="AN67" s="25"/>
      <c r="AO67" s="116" t="s">
        <v>281</v>
      </c>
      <c r="AP67" s="118">
        <v>5400</v>
      </c>
      <c r="AQ67" s="112" t="s">
        <v>277</v>
      </c>
      <c r="AR67" s="118" t="s">
        <v>280</v>
      </c>
      <c r="AS67" s="14"/>
      <c r="AT67" s="14"/>
      <c r="AU67" s="14"/>
      <c r="AV67" s="25"/>
      <c r="AW67" s="116" t="s">
        <v>281</v>
      </c>
      <c r="AX67" s="118">
        <v>5300</v>
      </c>
      <c r="AY67" s="112" t="s">
        <v>277</v>
      </c>
      <c r="AZ67" s="118" t="s">
        <v>280</v>
      </c>
      <c r="BA67" s="14"/>
      <c r="BB67" s="14"/>
      <c r="BC67" s="14"/>
      <c r="BD67" s="25"/>
      <c r="BE67" s="116" t="s">
        <v>281</v>
      </c>
      <c r="BF67" s="118">
        <v>5300</v>
      </c>
      <c r="BG67" s="112" t="s">
        <v>277</v>
      </c>
      <c r="BH67" s="118" t="s">
        <v>280</v>
      </c>
      <c r="BI67" s="14"/>
      <c r="BJ67" s="14"/>
      <c r="BK67" s="14"/>
      <c r="BL67" s="25"/>
      <c r="BM67" s="116" t="s">
        <v>281</v>
      </c>
      <c r="BN67" s="118">
        <v>12000</v>
      </c>
      <c r="BO67" s="112" t="s">
        <v>277</v>
      </c>
      <c r="BP67" s="118" t="s">
        <v>280</v>
      </c>
      <c r="BQ67" s="14"/>
      <c r="BR67" s="14"/>
      <c r="BS67" s="14"/>
      <c r="BT67" s="25"/>
      <c r="BU67" s="116" t="s">
        <v>281</v>
      </c>
      <c r="BV67" s="118">
        <v>12000</v>
      </c>
      <c r="BW67" s="112" t="s">
        <v>277</v>
      </c>
      <c r="BX67" s="118" t="s">
        <v>280</v>
      </c>
      <c r="BY67" s="14"/>
      <c r="BZ67" s="14"/>
      <c r="CA67" s="14"/>
      <c r="CB67" s="25"/>
      <c r="CC67" s="116" t="s">
        <v>281</v>
      </c>
      <c r="CD67" s="118">
        <v>4300</v>
      </c>
      <c r="CE67" s="112" t="s">
        <v>277</v>
      </c>
      <c r="CF67" s="118" t="s">
        <v>280</v>
      </c>
      <c r="CG67" s="14"/>
      <c r="CH67" s="14"/>
      <c r="CI67" s="14"/>
      <c r="CJ67" s="25"/>
      <c r="CK67" s="116" t="s">
        <v>281</v>
      </c>
      <c r="CL67" s="118">
        <v>4300</v>
      </c>
      <c r="CM67" s="112" t="s">
        <v>277</v>
      </c>
      <c r="CN67" s="118" t="s">
        <v>280</v>
      </c>
      <c r="CO67" s="14"/>
      <c r="CP67" s="14"/>
      <c r="CQ67" s="14"/>
      <c r="CR67" s="25"/>
      <c r="CS67" s="116" t="s">
        <v>281</v>
      </c>
      <c r="CT67" s="118">
        <v>12000</v>
      </c>
      <c r="CU67" s="112" t="s">
        <v>277</v>
      </c>
      <c r="CV67" s="118" t="s">
        <v>280</v>
      </c>
      <c r="CW67" s="14"/>
      <c r="CX67" s="14"/>
      <c r="CY67" s="14"/>
      <c r="CZ67" s="25"/>
      <c r="DA67" s="116" t="s">
        <v>281</v>
      </c>
      <c r="DB67" s="118">
        <v>7800</v>
      </c>
      <c r="DC67" s="112" t="s">
        <v>277</v>
      </c>
      <c r="DD67" s="118" t="s">
        <v>280</v>
      </c>
      <c r="DE67" s="14"/>
      <c r="DF67" s="14"/>
      <c r="DG67" s="14"/>
      <c r="DH67" s="25"/>
      <c r="DI67" s="116" t="s">
        <v>281</v>
      </c>
      <c r="DJ67" s="118">
        <v>7200</v>
      </c>
      <c r="DK67" s="112" t="s">
        <v>277</v>
      </c>
      <c r="DL67" s="118" t="s">
        <v>280</v>
      </c>
      <c r="DM67" s="14"/>
      <c r="DN67" s="14"/>
      <c r="DO67" s="14"/>
      <c r="DP67" s="25"/>
      <c r="DQ67" s="116" t="s">
        <v>281</v>
      </c>
      <c r="DR67" s="118">
        <v>7200</v>
      </c>
      <c r="DS67" s="112" t="s">
        <v>277</v>
      </c>
      <c r="DT67" s="118" t="s">
        <v>280</v>
      </c>
      <c r="DU67" s="14"/>
      <c r="DV67" s="14"/>
      <c r="DW67" s="14"/>
      <c r="DX67" s="25"/>
      <c r="DY67" s="116" t="s">
        <v>281</v>
      </c>
      <c r="DZ67" s="118">
        <v>7800</v>
      </c>
      <c r="EA67" s="112" t="s">
        <v>277</v>
      </c>
      <c r="EB67" s="118" t="s">
        <v>280</v>
      </c>
      <c r="EC67" s="14"/>
      <c r="ED67" s="14"/>
      <c r="EE67" s="14"/>
      <c r="EF67" s="25"/>
      <c r="EG67" s="119" t="s">
        <v>162</v>
      </c>
      <c r="EH67" s="35">
        <v>5300</v>
      </c>
      <c r="EI67" s="14"/>
      <c r="EJ67" s="14"/>
      <c r="EK67" s="14"/>
      <c r="EL67" s="14"/>
      <c r="EM67" s="14"/>
      <c r="EN67" s="25"/>
      <c r="EO67" s="119" t="s">
        <v>162</v>
      </c>
      <c r="EP67" s="35">
        <f>5400+5300</f>
        <v>10700</v>
      </c>
      <c r="EQ67" s="14"/>
      <c r="ER67" s="14"/>
      <c r="ES67" s="14"/>
      <c r="ET67" s="14"/>
      <c r="EU67" s="14"/>
      <c r="EV67" s="25"/>
      <c r="EW67" s="119" t="s">
        <v>162</v>
      </c>
      <c r="EX67" s="35">
        <v>4300</v>
      </c>
      <c r="EY67" s="14"/>
      <c r="EZ67" s="14"/>
      <c r="FA67" s="14"/>
      <c r="FB67" s="14"/>
      <c r="FC67" s="14"/>
      <c r="FD67" s="25"/>
      <c r="FE67" s="119" t="s">
        <v>162</v>
      </c>
      <c r="FF67" s="35">
        <v>12000</v>
      </c>
      <c r="FG67" s="14"/>
      <c r="FH67" s="14"/>
      <c r="FI67" s="14"/>
      <c r="FJ67" s="14"/>
      <c r="FK67" s="14"/>
      <c r="FL67" s="25"/>
      <c r="FM67" s="119" t="s">
        <v>162</v>
      </c>
      <c r="FN67" s="35">
        <v>7200</v>
      </c>
      <c r="FO67" s="14"/>
      <c r="FP67" s="14"/>
      <c r="FQ67" s="14"/>
      <c r="FR67" s="14"/>
      <c r="FS67" s="14"/>
      <c r="FT67" s="25"/>
      <c r="FU67" s="119" t="s">
        <v>162</v>
      </c>
      <c r="FV67" s="35">
        <v>7800</v>
      </c>
      <c r="FW67" s="14"/>
      <c r="FX67" s="14"/>
      <c r="FY67" s="14"/>
      <c r="FZ67" s="14"/>
      <c r="GA67" s="14"/>
      <c r="GB67" s="25"/>
      <c r="GC67" s="24"/>
      <c r="GD67" s="14"/>
      <c r="GE67" s="14"/>
      <c r="GF67" s="14"/>
      <c r="GG67" s="212" t="s">
        <v>250</v>
      </c>
      <c r="GH67" s="197"/>
      <c r="GI67" s="213" t="s">
        <v>251</v>
      </c>
      <c r="GJ67" s="214"/>
      <c r="GK67" s="24"/>
      <c r="GL67" s="14"/>
      <c r="GM67" s="14"/>
      <c r="GN67" s="14"/>
      <c r="GO67" s="212" t="s">
        <v>250</v>
      </c>
      <c r="GP67" s="197"/>
      <c r="GQ67" s="213" t="s">
        <v>251</v>
      </c>
      <c r="GR67" s="214"/>
      <c r="GS67" s="24"/>
      <c r="GT67" s="14"/>
      <c r="GU67" s="14"/>
      <c r="GV67" s="14"/>
      <c r="GW67" s="212" t="s">
        <v>250</v>
      </c>
      <c r="GX67" s="197"/>
      <c r="GY67" s="213" t="s">
        <v>251</v>
      </c>
      <c r="GZ67" s="214"/>
      <c r="HA67" s="24"/>
      <c r="HB67" s="14"/>
      <c r="HC67" s="14"/>
      <c r="HD67" s="14"/>
      <c r="HE67" s="212" t="s">
        <v>250</v>
      </c>
      <c r="HF67" s="197"/>
      <c r="HG67" s="213" t="s">
        <v>298</v>
      </c>
      <c r="HH67" s="214"/>
      <c r="HI67" s="24"/>
      <c r="HJ67" s="14"/>
      <c r="HK67" s="14"/>
      <c r="HL67" s="14"/>
      <c r="HM67" s="212" t="s">
        <v>250</v>
      </c>
      <c r="HN67" s="197"/>
      <c r="HO67" s="213" t="s">
        <v>298</v>
      </c>
      <c r="HP67" s="214"/>
    </row>
    <row r="68" spans="1:224" ht="18" x14ac:dyDescent="0.35">
      <c r="A68" s="14"/>
      <c r="B68" s="14"/>
      <c r="C68" s="106" t="s">
        <v>7</v>
      </c>
      <c r="D68" s="106" t="s">
        <v>6</v>
      </c>
      <c r="E68" s="106" t="s">
        <v>8</v>
      </c>
      <c r="F68" s="14"/>
      <c r="G68" s="13"/>
      <c r="H68" s="29"/>
      <c r="I68" s="14"/>
      <c r="J68" s="14"/>
      <c r="K68" s="106" t="s">
        <v>7</v>
      </c>
      <c r="L68" s="106" t="s">
        <v>6</v>
      </c>
      <c r="M68" s="106" t="s">
        <v>8</v>
      </c>
      <c r="N68" s="14"/>
      <c r="O68" s="13"/>
      <c r="P68" s="29"/>
      <c r="Q68" s="14"/>
      <c r="R68" s="14"/>
      <c r="S68" s="106" t="s">
        <v>7</v>
      </c>
      <c r="T68" s="106" t="s">
        <v>6</v>
      </c>
      <c r="U68" s="106" t="s">
        <v>8</v>
      </c>
      <c r="V68" s="14"/>
      <c r="W68" s="13"/>
      <c r="X68" s="29"/>
      <c r="Y68" s="24"/>
      <c r="Z68" s="14"/>
      <c r="AA68" s="106" t="s">
        <v>7</v>
      </c>
      <c r="AB68" s="106" t="s">
        <v>6</v>
      </c>
      <c r="AC68" s="106" t="s">
        <v>8</v>
      </c>
      <c r="AD68" s="14"/>
      <c r="AE68" s="13"/>
      <c r="AF68" s="29"/>
      <c r="AG68" s="24"/>
      <c r="AH68" s="14"/>
      <c r="AI68" s="106" t="s">
        <v>7</v>
      </c>
      <c r="AJ68" s="106" t="s">
        <v>6</v>
      </c>
      <c r="AK68" s="106" t="s">
        <v>8</v>
      </c>
      <c r="AL68" s="14"/>
      <c r="AM68" s="13"/>
      <c r="AN68" s="29"/>
      <c r="AO68" s="24"/>
      <c r="AP68" s="14"/>
      <c r="AQ68" s="112" t="s">
        <v>7</v>
      </c>
      <c r="AR68" s="112" t="s">
        <v>6</v>
      </c>
      <c r="AS68" s="112" t="s">
        <v>8</v>
      </c>
      <c r="AT68" s="14"/>
      <c r="AU68" s="13"/>
      <c r="AV68" s="29"/>
      <c r="AW68" s="24"/>
      <c r="AX68" s="14"/>
      <c r="AY68" s="112" t="s">
        <v>7</v>
      </c>
      <c r="AZ68" s="112" t="s">
        <v>6</v>
      </c>
      <c r="BA68" s="112" t="s">
        <v>8</v>
      </c>
      <c r="BB68" s="14"/>
      <c r="BC68" s="13"/>
      <c r="BD68" s="29"/>
      <c r="BE68" s="24"/>
      <c r="BF68" s="14"/>
      <c r="BG68" s="112" t="s">
        <v>7</v>
      </c>
      <c r="BH68" s="112" t="s">
        <v>6</v>
      </c>
      <c r="BI68" s="112" t="s">
        <v>8</v>
      </c>
      <c r="BJ68" s="14"/>
      <c r="BK68" s="13"/>
      <c r="BL68" s="29"/>
      <c r="BM68" s="24"/>
      <c r="BN68" s="14"/>
      <c r="BO68" s="112" t="s">
        <v>7</v>
      </c>
      <c r="BP68" s="112" t="s">
        <v>6</v>
      </c>
      <c r="BQ68" s="112" t="s">
        <v>8</v>
      </c>
      <c r="BR68" s="14"/>
      <c r="BS68" s="13"/>
      <c r="BT68" s="29"/>
      <c r="BU68" s="24"/>
      <c r="BV68" s="14"/>
      <c r="BW68" s="112" t="s">
        <v>7</v>
      </c>
      <c r="BX68" s="112" t="s">
        <v>6</v>
      </c>
      <c r="BY68" s="112" t="s">
        <v>8</v>
      </c>
      <c r="BZ68" s="14"/>
      <c r="CA68" s="13"/>
      <c r="CB68" s="29"/>
      <c r="CC68" s="24"/>
      <c r="CD68" s="14"/>
      <c r="CE68" s="112" t="s">
        <v>7</v>
      </c>
      <c r="CF68" s="112" t="s">
        <v>6</v>
      </c>
      <c r="CG68" s="112" t="s">
        <v>8</v>
      </c>
      <c r="CH68" s="14"/>
      <c r="CI68" s="13"/>
      <c r="CJ68" s="29"/>
      <c r="CK68" s="24"/>
      <c r="CL68" s="14"/>
      <c r="CM68" s="112" t="s">
        <v>7</v>
      </c>
      <c r="CN68" s="112" t="s">
        <v>6</v>
      </c>
      <c r="CO68" s="112" t="s">
        <v>8</v>
      </c>
      <c r="CP68" s="14"/>
      <c r="CQ68" s="13"/>
      <c r="CR68" s="29"/>
      <c r="CS68" s="24"/>
      <c r="CT68" s="14"/>
      <c r="CU68" s="112" t="s">
        <v>7</v>
      </c>
      <c r="CV68" s="112" t="s">
        <v>6</v>
      </c>
      <c r="CW68" s="112" t="s">
        <v>8</v>
      </c>
      <c r="CX68" s="14"/>
      <c r="CY68" s="13"/>
      <c r="CZ68" s="29"/>
      <c r="DA68" s="24"/>
      <c r="DB68" s="14"/>
      <c r="DC68" s="112" t="s">
        <v>7</v>
      </c>
      <c r="DD68" s="112" t="s">
        <v>6</v>
      </c>
      <c r="DE68" s="112" t="s">
        <v>8</v>
      </c>
      <c r="DF68" s="14"/>
      <c r="DG68" s="13"/>
      <c r="DH68" s="29"/>
      <c r="DI68" s="24"/>
      <c r="DJ68" s="14"/>
      <c r="DK68" s="112" t="s">
        <v>7</v>
      </c>
      <c r="DL68" s="112" t="s">
        <v>6</v>
      </c>
      <c r="DM68" s="112" t="s">
        <v>8</v>
      </c>
      <c r="DN68" s="14"/>
      <c r="DO68" s="13"/>
      <c r="DP68" s="29"/>
      <c r="DQ68" s="24"/>
      <c r="DR68" s="14"/>
      <c r="DS68" s="112" t="s">
        <v>7</v>
      </c>
      <c r="DT68" s="112" t="s">
        <v>6</v>
      </c>
      <c r="DU68" s="112" t="s">
        <v>8</v>
      </c>
      <c r="DV68" s="14"/>
      <c r="DW68" s="13"/>
      <c r="DX68" s="29"/>
      <c r="DY68" s="24"/>
      <c r="DZ68" s="14"/>
      <c r="EA68" s="112" t="s">
        <v>7</v>
      </c>
      <c r="EB68" s="112" t="s">
        <v>6</v>
      </c>
      <c r="EC68" s="112" t="s">
        <v>8</v>
      </c>
      <c r="ED68" s="14"/>
      <c r="EE68" s="13"/>
      <c r="EF68" s="29"/>
      <c r="EG68" s="119" t="s">
        <v>163</v>
      </c>
      <c r="EH68" s="35">
        <v>5400</v>
      </c>
      <c r="EI68" s="227" t="s">
        <v>167</v>
      </c>
      <c r="EJ68" s="228"/>
      <c r="EK68" s="34">
        <v>4</v>
      </c>
      <c r="EL68" s="14"/>
      <c r="EM68" s="14"/>
      <c r="EN68" s="25"/>
      <c r="EO68" s="119" t="s">
        <v>163</v>
      </c>
      <c r="EP68" s="35">
        <v>5300</v>
      </c>
      <c r="EQ68" s="227" t="s">
        <v>167</v>
      </c>
      <c r="ER68" s="228"/>
      <c r="ES68" s="34">
        <v>4</v>
      </c>
      <c r="ET68" s="14"/>
      <c r="EU68" s="14"/>
      <c r="EV68" s="25"/>
      <c r="EW68" s="119" t="s">
        <v>163</v>
      </c>
      <c r="EX68" s="35">
        <v>12000</v>
      </c>
      <c r="EY68" s="227" t="s">
        <v>167</v>
      </c>
      <c r="EZ68" s="228"/>
      <c r="FA68" s="34">
        <v>2</v>
      </c>
      <c r="FB68" s="14"/>
      <c r="FC68" s="14"/>
      <c r="FD68" s="25"/>
      <c r="FE68" s="119" t="s">
        <v>163</v>
      </c>
      <c r="FF68" s="35">
        <v>4300</v>
      </c>
      <c r="FG68" s="227" t="s">
        <v>167</v>
      </c>
      <c r="FH68" s="228"/>
      <c r="FI68" s="34">
        <v>2</v>
      </c>
      <c r="FJ68" s="14"/>
      <c r="FK68" s="14"/>
      <c r="FL68" s="25"/>
      <c r="FM68" s="119" t="s">
        <v>163</v>
      </c>
      <c r="FN68" s="35">
        <v>7800</v>
      </c>
      <c r="FO68" s="227" t="s">
        <v>167</v>
      </c>
      <c r="FP68" s="228"/>
      <c r="FQ68" s="34">
        <v>4</v>
      </c>
      <c r="FR68" s="14"/>
      <c r="FS68" s="14"/>
      <c r="FT68" s="25"/>
      <c r="FU68" s="119" t="s">
        <v>163</v>
      </c>
      <c r="FV68" s="35">
        <v>7200</v>
      </c>
      <c r="FW68" s="227" t="s">
        <v>167</v>
      </c>
      <c r="FX68" s="228"/>
      <c r="FY68" s="34">
        <v>4</v>
      </c>
      <c r="FZ68" s="14"/>
      <c r="GA68" s="14"/>
      <c r="GB68" s="25"/>
      <c r="GC68" s="24"/>
      <c r="GD68" s="14"/>
      <c r="GE68" s="106" t="s">
        <v>7</v>
      </c>
      <c r="GF68" s="106" t="s">
        <v>6</v>
      </c>
      <c r="GG68" s="14"/>
      <c r="GH68" s="14"/>
      <c r="GI68" s="13"/>
      <c r="GJ68" s="29"/>
      <c r="GK68" s="24"/>
      <c r="GL68" s="14"/>
      <c r="GM68" s="106" t="s">
        <v>7</v>
      </c>
      <c r="GN68" s="106" t="s">
        <v>6</v>
      </c>
      <c r="GO68" s="14"/>
      <c r="GP68" s="14"/>
      <c r="GQ68" s="13"/>
      <c r="GR68" s="29"/>
      <c r="GS68" s="24"/>
      <c r="GT68" s="14"/>
      <c r="GU68" s="112" t="s">
        <v>7</v>
      </c>
      <c r="GV68" s="112" t="s">
        <v>6</v>
      </c>
      <c r="GW68" s="14"/>
      <c r="GX68" s="14"/>
      <c r="GY68" s="13"/>
      <c r="GZ68" s="29"/>
      <c r="HA68" s="24"/>
      <c r="HB68" s="14"/>
      <c r="HC68" s="112" t="s">
        <v>7</v>
      </c>
      <c r="HD68" s="112" t="s">
        <v>6</v>
      </c>
      <c r="HE68" s="14"/>
      <c r="HF68" s="14"/>
      <c r="HG68" s="13"/>
      <c r="HH68" s="29"/>
      <c r="HI68" s="24"/>
      <c r="HJ68" s="14"/>
      <c r="HK68" s="112" t="s">
        <v>7</v>
      </c>
      <c r="HL68" s="112" t="s">
        <v>6</v>
      </c>
      <c r="HM68" s="14"/>
      <c r="HN68" s="14"/>
      <c r="HO68" s="13"/>
      <c r="HP68" s="29"/>
    </row>
    <row r="69" spans="1:224" ht="18" x14ac:dyDescent="0.35">
      <c r="A69" s="194" t="s">
        <v>1</v>
      </c>
      <c r="B69" s="194"/>
      <c r="C69" s="17">
        <f>LOOKUP(G66,Reference!$A$256:$A$259,Reference!$C$256:$C$259)</f>
        <v>-5.5869999999999997</v>
      </c>
      <c r="D69" s="17">
        <f>LOOKUP(G66,Reference!$A$256:$A$259,Reference!$D$256:$D$259)</f>
        <v>1.492</v>
      </c>
      <c r="E69" s="17">
        <f>LOOKUP(G66,Reference!$A$256:$A$259,Reference!$E$256:$E$259)</f>
        <v>1E-3</v>
      </c>
      <c r="F69" s="14"/>
      <c r="G69" s="14"/>
      <c r="H69" s="30">
        <f>D66*EXP(C69+D69*LN(E69*B66))</f>
        <v>1.9361801691375304</v>
      </c>
      <c r="I69" s="194" t="s">
        <v>1</v>
      </c>
      <c r="J69" s="194"/>
      <c r="K69" s="17">
        <f>LOOKUP(O66,Reference!$A$256:$A$259,Reference!$C$256:$C$259)</f>
        <v>-5.5869999999999997</v>
      </c>
      <c r="L69" s="17">
        <f>LOOKUP(O66,Reference!$A$256:$A$259,Reference!$D$256:$D$259)</f>
        <v>1.492</v>
      </c>
      <c r="M69" s="17">
        <f>LOOKUP(O66,Reference!$A$256:$A$259,Reference!$E$256:$E$259)</f>
        <v>1E-3</v>
      </c>
      <c r="N69" s="14"/>
      <c r="O69" s="14"/>
      <c r="P69" s="30">
        <f>L66*EXP(K69+L69*LN(M69*J66))</f>
        <v>5.9277507940773058</v>
      </c>
      <c r="Q69" s="194" t="s">
        <v>1</v>
      </c>
      <c r="R69" s="194"/>
      <c r="S69" s="17">
        <f>LOOKUP(W66,Reference!$A$256:$A$259,Reference!$C$256:$C$259)</f>
        <v>-5.5869999999999997</v>
      </c>
      <c r="T69" s="17">
        <f>LOOKUP(W66,Reference!$A$256:$A$259,Reference!$D$256:$D$259)</f>
        <v>1.492</v>
      </c>
      <c r="U69" s="17">
        <f>LOOKUP(W66,Reference!$A$256:$A$259,Reference!$E$256:$E$259)</f>
        <v>1E-3</v>
      </c>
      <c r="V69" s="14"/>
      <c r="W69" s="14"/>
      <c r="X69" s="30">
        <f>T66*EXP(S69+T69*LN(U69*R66))</f>
        <v>8.549244107898808</v>
      </c>
      <c r="Y69" s="195" t="s">
        <v>1</v>
      </c>
      <c r="Z69" s="194"/>
      <c r="AA69" s="17">
        <f>LOOKUP(AE66,Reference!$A$256:$A$259,Reference!$C$256:$C$259)</f>
        <v>-5.5869999999999997</v>
      </c>
      <c r="AB69" s="17">
        <f>LOOKUP(AE66,Reference!$A$256:$A$259,Reference!$D$256:$D$259)</f>
        <v>1.492</v>
      </c>
      <c r="AC69" s="17">
        <f>LOOKUP(AE66,Reference!$A$256:$A$259,Reference!$E$256:$E$259)</f>
        <v>1E-3</v>
      </c>
      <c r="AD69" s="14"/>
      <c r="AE69" s="14"/>
      <c r="AF69" s="30">
        <f>AB66*EXP(AA69+AB69*LN(AC69*Z66))</f>
        <v>1.2129308949131254</v>
      </c>
      <c r="AG69" s="195" t="s">
        <v>1</v>
      </c>
      <c r="AH69" s="194"/>
      <c r="AI69" s="17">
        <f>LOOKUP(AM66,Reference!$A$256:$A$259,Reference!$C$256:$C$259)</f>
        <v>-5.47</v>
      </c>
      <c r="AJ69" s="17">
        <f>LOOKUP(AM66,Reference!$A$256:$A$259,Reference!$D$256:$D$259)</f>
        <v>1.492</v>
      </c>
      <c r="AK69" s="17">
        <f>LOOKUP(AM66,Reference!$A$256:$A$259,Reference!$E$256:$E$259)</f>
        <v>1E-3</v>
      </c>
      <c r="AL69" s="14"/>
      <c r="AM69" s="14"/>
      <c r="AN69" s="30">
        <f>AJ66*EXP(AI69+AJ69*LN(AK69*AH66))</f>
        <v>4.1735788381294041</v>
      </c>
      <c r="AO69" s="195" t="s">
        <v>19</v>
      </c>
      <c r="AP69" s="194"/>
      <c r="AQ69" s="17">
        <f>LOOKUP(AU66,Reference!$A$208:$A$215,Reference!$C$208:$C$215)</f>
        <v>-2.6789999999999998</v>
      </c>
      <c r="AR69" s="17">
        <f>LOOKUP(AU66,Reference!$A$208:$A$215,Reference!$D$208:$D$215)</f>
        <v>0.90300000000000002</v>
      </c>
      <c r="AS69" s="21">
        <f>LOOKUP(AU66,Reference!$A$208:$A$215,Reference!$E$208:$E$215)</f>
        <v>5.0000000000000001E-4</v>
      </c>
      <c r="AT69" s="14"/>
      <c r="AU69" s="14"/>
      <c r="AV69" s="30">
        <f>AR66*EXP(AQ69+AR69*LN(AS69*AP66))</f>
        <v>0.46685298487967791</v>
      </c>
      <c r="AW69" s="195" t="s">
        <v>19</v>
      </c>
      <c r="AX69" s="194"/>
      <c r="AY69" s="17">
        <f>LOOKUP(BC66,Reference!$A$208:$A$215,Reference!$C$208:$C$215)</f>
        <v>-3.9740000000000002</v>
      </c>
      <c r="AZ69" s="17">
        <f>LOOKUP(BC66,Reference!$A$208:$A$215,Reference!$D$208:$D$215)</f>
        <v>1.173</v>
      </c>
      <c r="BA69" s="21">
        <f>LOOKUP(BC66,Reference!$A$208:$A$215,Reference!$E$208:$E$215)</f>
        <v>5.0000000000000001E-4</v>
      </c>
      <c r="BB69" s="14"/>
      <c r="BC69" s="14"/>
      <c r="BD69" s="30">
        <f>AZ66*EXP(AY69+AZ69*LN(BA69*AX66))</f>
        <v>0.34232506520808065</v>
      </c>
      <c r="BE69" s="195" t="s">
        <v>19</v>
      </c>
      <c r="BF69" s="194"/>
      <c r="BG69" s="17">
        <f>LOOKUP(BK66,Reference!$A$208:$A$215,Reference!$C$208:$C$215)</f>
        <v>-2.6789999999999998</v>
      </c>
      <c r="BH69" s="17">
        <f>LOOKUP(BK66,Reference!$A$208:$A$215,Reference!$D$208:$D$215)</f>
        <v>0.90300000000000002</v>
      </c>
      <c r="BI69" s="21">
        <f>LOOKUP(BK66,Reference!$A$208:$A$215,Reference!$E$208:$E$215)</f>
        <v>5.0000000000000001E-4</v>
      </c>
      <c r="BJ69" s="14"/>
      <c r="BK69" s="14"/>
      <c r="BL69" s="30">
        <f>BH66*EXP(BG69+BH69*LN(BI69*BF66))</f>
        <v>0.4657663328407422</v>
      </c>
      <c r="BM69" s="195" t="s">
        <v>19</v>
      </c>
      <c r="BN69" s="194"/>
      <c r="BO69" s="17">
        <f>LOOKUP(BS66,Reference!$A$208:$A$215,Reference!$C$208:$C$215)</f>
        <v>-3.9740000000000002</v>
      </c>
      <c r="BP69" s="17">
        <f>LOOKUP(BS66,Reference!$A$208:$A$215,Reference!$D$208:$D$215)</f>
        <v>1.173</v>
      </c>
      <c r="BQ69" s="21">
        <f>LOOKUP(BS66,Reference!$A$208:$A$215,Reference!$E$208:$E$215)</f>
        <v>5.0000000000000001E-4</v>
      </c>
      <c r="BR69" s="14"/>
      <c r="BS69" s="14"/>
      <c r="BT69" s="30">
        <f>BP66*EXP(BO69+BP69*LN(BQ69*BN66))</f>
        <v>0.34336288688550071</v>
      </c>
      <c r="BU69" s="195" t="s">
        <v>19</v>
      </c>
      <c r="BV69" s="194"/>
      <c r="BW69" s="17">
        <f>LOOKUP(CA66,Reference!$A$208:$A$215,Reference!$C$208:$C$215)</f>
        <v>-2.6789999999999998</v>
      </c>
      <c r="BX69" s="17">
        <f>LOOKUP(CA66,Reference!$A$208:$A$215,Reference!$D$208:$D$215)</f>
        <v>0.90300000000000002</v>
      </c>
      <c r="BY69" s="21">
        <f>LOOKUP(CA66,Reference!$A$208:$A$215,Reference!$E$208:$E$215)</f>
        <v>5.0000000000000001E-4</v>
      </c>
      <c r="BZ69" s="14"/>
      <c r="CA69" s="14"/>
      <c r="CB69" s="30">
        <f>BX66*EXP(BW69+BX69*LN(BY69*BV66))</f>
        <v>0.4657663328407422</v>
      </c>
      <c r="CC69" s="195" t="s">
        <v>19</v>
      </c>
      <c r="CD69" s="194"/>
      <c r="CE69" s="17">
        <f>LOOKUP(CI66,Reference!$A$208:$A$215,Reference!$C$208:$C$215)</f>
        <v>-3.9740000000000002</v>
      </c>
      <c r="CF69" s="17">
        <f>LOOKUP(CI66,Reference!$A$208:$A$215,Reference!$D$208:$D$215)</f>
        <v>1.173</v>
      </c>
      <c r="CG69" s="21">
        <f>LOOKUP(CI66,Reference!$A$208:$A$215,Reference!$E$208:$E$215)</f>
        <v>5.0000000000000001E-4</v>
      </c>
      <c r="CH69" s="14"/>
      <c r="CI69" s="14"/>
      <c r="CJ69" s="30">
        <f>CF66*EXP(CE69+CF69*LN(CG69*CD66))</f>
        <v>0.2638888280864683</v>
      </c>
      <c r="CK69" s="195" t="s">
        <v>19</v>
      </c>
      <c r="CL69" s="194"/>
      <c r="CM69" s="17">
        <f>LOOKUP(CQ66,Reference!$A$208:$A$215,Reference!$C$208:$C$215)</f>
        <v>-2.6789999999999998</v>
      </c>
      <c r="CN69" s="17">
        <f>LOOKUP(CQ66,Reference!$A$208:$A$215,Reference!$D$208:$D$215)</f>
        <v>0.90300000000000002</v>
      </c>
      <c r="CO69" s="21">
        <f>LOOKUP(CQ66,Reference!$A$208:$A$215,Reference!$E$208:$E$215)</f>
        <v>5.0000000000000001E-4</v>
      </c>
      <c r="CP69" s="14"/>
      <c r="CQ69" s="14"/>
      <c r="CR69" s="30">
        <f>CN66*EXP(CM69+CN69*LN(CO69*CL66))</f>
        <v>0.38121036562927679</v>
      </c>
      <c r="CS69" s="195" t="s">
        <v>19</v>
      </c>
      <c r="CT69" s="194"/>
      <c r="CU69" s="17">
        <f>LOOKUP(CY66,Reference!$A$208:$A$215,Reference!$C$208:$C$215)</f>
        <v>-3.9740000000000002</v>
      </c>
      <c r="CV69" s="17">
        <f>LOOKUP(CY66,Reference!$A$208:$A$215,Reference!$D$208:$D$215)</f>
        <v>1.173</v>
      </c>
      <c r="CW69" s="21">
        <f>LOOKUP(CY66,Reference!$A$208:$A$215,Reference!$E$208:$E$215)</f>
        <v>5.0000000000000001E-4</v>
      </c>
      <c r="CX69" s="14"/>
      <c r="CY69" s="14"/>
      <c r="CZ69" s="30">
        <f>CV66*EXP(CU69+CV69*LN(CW69*CT66))</f>
        <v>0.34232506520808065</v>
      </c>
      <c r="DA69" s="195" t="s">
        <v>19</v>
      </c>
      <c r="DB69" s="194"/>
      <c r="DC69" s="17">
        <f>LOOKUP(DG66,Reference!$A$208:$A$215,Reference!$C$208:$C$215)</f>
        <v>-2.6789999999999998</v>
      </c>
      <c r="DD69" s="17">
        <f>LOOKUP(DG66,Reference!$A$208:$A$215,Reference!$D$208:$D$215)</f>
        <v>0.90300000000000002</v>
      </c>
      <c r="DE69" s="21">
        <f>LOOKUP(DG66,Reference!$A$208:$A$215,Reference!$E$208:$E$215)</f>
        <v>5.0000000000000001E-4</v>
      </c>
      <c r="DF69" s="14"/>
      <c r="DG69" s="14"/>
      <c r="DH69" s="30">
        <f>DD66*EXP(DC69+DD69*LN(DE69*DB66))</f>
        <v>7.7354610182461911E-2</v>
      </c>
      <c r="DI69" s="195" t="s">
        <v>19</v>
      </c>
      <c r="DJ69" s="194"/>
      <c r="DK69" s="17">
        <f>LOOKUP(DO66,Reference!$A$208:$A$215,Reference!$C$208:$C$215)</f>
        <v>-3.9740000000000002</v>
      </c>
      <c r="DL69" s="17">
        <f>LOOKUP(DO66,Reference!$A$208:$A$215,Reference!$D$208:$D$215)</f>
        <v>1.173</v>
      </c>
      <c r="DM69" s="21">
        <f>LOOKUP(DO66,Reference!$A$208:$A$215,Reference!$E$208:$E$215)</f>
        <v>5.0000000000000001E-4</v>
      </c>
      <c r="DN69" s="14"/>
      <c r="DO69" s="14"/>
      <c r="DP69" s="30">
        <f>DL66*EXP(DK69+DL69*LN(DM69*DJ66))</f>
        <v>0.48846037351323057</v>
      </c>
      <c r="DQ69" s="195" t="s">
        <v>19</v>
      </c>
      <c r="DR69" s="194"/>
      <c r="DS69" s="17">
        <f>LOOKUP(DW66,Reference!$A$208:$A$215,Reference!$C$208:$C$215)</f>
        <v>-2.6789999999999998</v>
      </c>
      <c r="DT69" s="17">
        <f>LOOKUP(DW66,Reference!$A$208:$A$215,Reference!$D$208:$D$215)</f>
        <v>0.90300000000000002</v>
      </c>
      <c r="DU69" s="21">
        <f>LOOKUP(DW66,Reference!$A$208:$A$215,Reference!$E$208:$E$215)</f>
        <v>5.0000000000000001E-4</v>
      </c>
      <c r="DV69" s="14"/>
      <c r="DW69" s="14"/>
      <c r="DX69" s="30">
        <f>DT66*EXP(DS69+DT69*LN(DU69*DR66))</f>
        <v>0.6123803459785695</v>
      </c>
      <c r="DY69" s="195" t="s">
        <v>19</v>
      </c>
      <c r="DZ69" s="194"/>
      <c r="EA69" s="17">
        <f>LOOKUP(EE66,Reference!$A$208:$A$215,Reference!$C$208:$C$215)</f>
        <v>-3.9740000000000002</v>
      </c>
      <c r="EB69" s="17">
        <f>LOOKUP(EE66,Reference!$A$208:$A$215,Reference!$D$208:$D$215)</f>
        <v>1.173</v>
      </c>
      <c r="EC69" s="21">
        <f>LOOKUP(EE66,Reference!$A$208:$A$215,Reference!$E$208:$E$215)</f>
        <v>5.0000000000000001E-4</v>
      </c>
      <c r="ED69" s="14"/>
      <c r="EE69" s="14"/>
      <c r="EF69" s="30">
        <f>EB66*EXP(EA69+EB69*LN(EC69*DZ66))</f>
        <v>3.3237575176919491E-2</v>
      </c>
      <c r="EG69" s="119" t="s">
        <v>164</v>
      </c>
      <c r="EH69" s="35">
        <v>18500</v>
      </c>
      <c r="EI69" s="14"/>
      <c r="EJ69" s="14"/>
      <c r="EK69" s="14"/>
      <c r="EL69" s="14"/>
      <c r="EM69" s="14"/>
      <c r="EN69" s="25"/>
      <c r="EO69" s="119" t="s">
        <v>164</v>
      </c>
      <c r="EP69" s="35">
        <v>18500</v>
      </c>
      <c r="EQ69" s="14"/>
      <c r="ER69" s="14"/>
      <c r="ES69" s="14"/>
      <c r="ET69" s="14"/>
      <c r="EU69" s="14"/>
      <c r="EV69" s="25"/>
      <c r="EW69" s="119" t="s">
        <v>164</v>
      </c>
      <c r="EX69" s="35">
        <f>(1000+5900)/2</f>
        <v>3450</v>
      </c>
      <c r="EY69" s="14"/>
      <c r="EZ69" s="14"/>
      <c r="FA69" s="14"/>
      <c r="FB69" s="14"/>
      <c r="FC69" s="14"/>
      <c r="FD69" s="25"/>
      <c r="FE69" s="119" t="s">
        <v>164</v>
      </c>
      <c r="FF69" s="35">
        <f>(1000+5900)/2</f>
        <v>3450</v>
      </c>
      <c r="FG69" s="14"/>
      <c r="FH69" s="14"/>
      <c r="FI69" s="14"/>
      <c r="FJ69" s="14"/>
      <c r="FK69" s="14"/>
      <c r="FL69" s="25"/>
      <c r="FM69" s="119" t="s">
        <v>164</v>
      </c>
      <c r="FN69" s="35">
        <v>26500</v>
      </c>
      <c r="FO69" s="14"/>
      <c r="FP69" s="14"/>
      <c r="FQ69" s="14"/>
      <c r="FR69" s="14"/>
      <c r="FS69" s="14"/>
      <c r="FT69" s="25"/>
      <c r="FU69" s="119" t="s">
        <v>164</v>
      </c>
      <c r="FV69" s="35">
        <v>26500</v>
      </c>
      <c r="FW69" s="14"/>
      <c r="FX69" s="14"/>
      <c r="FY69" s="14"/>
      <c r="FZ69" s="14"/>
      <c r="GA69" s="14"/>
      <c r="GB69" s="25"/>
      <c r="GC69" s="195" t="s">
        <v>342</v>
      </c>
      <c r="GD69" s="194"/>
      <c r="GE69" s="15">
        <f>LOOKUP(GI66,Reference!$A$81:$A$85,Reference!$C$81:$C$85)</f>
        <v>-15.22</v>
      </c>
      <c r="GF69" s="15">
        <f>LOOKUP(GI66,Reference!$A$81:$A$85,Reference!$D$81:$D$85)</f>
        <v>1.68</v>
      </c>
      <c r="GG69" s="14"/>
      <c r="GH69" s="14"/>
      <c r="GI69" s="14"/>
      <c r="GJ69" s="30">
        <f>EXP(GE69+GF69*LN(GD66)+LN(GF66))</f>
        <v>0.61253445556311792</v>
      </c>
      <c r="GK69" s="195" t="s">
        <v>342</v>
      </c>
      <c r="GL69" s="194"/>
      <c r="GM69" s="15">
        <f>LOOKUP(GQ66,Reference!$A$81:$A$85,Reference!$C$81:$C$85)</f>
        <v>-11.63</v>
      </c>
      <c r="GN69" s="15">
        <f>LOOKUP(GQ66,Reference!$A$81:$A$85,Reference!$D$81:$D$85)</f>
        <v>1.33</v>
      </c>
      <c r="GO69" s="14"/>
      <c r="GP69" s="14"/>
      <c r="GQ69" s="14"/>
      <c r="GR69" s="30">
        <f>EXP(GM69+GN69*LN(GL66)+LN(GN66))</f>
        <v>15.5278862251168</v>
      </c>
      <c r="GS69" s="195" t="s">
        <v>342</v>
      </c>
      <c r="GT69" s="194"/>
      <c r="GU69" s="15">
        <f>LOOKUP(GY66,Reference!$A$81:$A$85,Reference!$C$81:$C$85)</f>
        <v>-15.22</v>
      </c>
      <c r="GV69" s="15">
        <f>LOOKUP(GY66,Reference!$A$81:$A$85,Reference!$D$81:$D$85)</f>
        <v>1.68</v>
      </c>
      <c r="GW69" s="14"/>
      <c r="GX69" s="14"/>
      <c r="GY69" s="14"/>
      <c r="GZ69" s="30">
        <f>EXP(GU69+GV69*LN(GT66)+LN(GV66))</f>
        <v>9.0926390027882924</v>
      </c>
      <c r="HA69" s="195" t="s">
        <v>342</v>
      </c>
      <c r="HB69" s="194"/>
      <c r="HC69" s="15">
        <f>LOOKUP(HG66,Reference!$A$81:$A$85,Reference!$C$81:$C$85)</f>
        <v>-9.6999999999999993</v>
      </c>
      <c r="HD69" s="15">
        <f>LOOKUP(HG66,Reference!$A$81:$A$85,Reference!$D$81:$D$85)</f>
        <v>1.17</v>
      </c>
      <c r="HE69" s="14"/>
      <c r="HF69" s="14"/>
      <c r="HG69" s="14"/>
      <c r="HH69" s="30">
        <f>EXP(HC69+HD69*LN(HB66)+LN(HD66))</f>
        <v>3.4315493967715827</v>
      </c>
      <c r="HI69" s="195" t="s">
        <v>342</v>
      </c>
      <c r="HJ69" s="194"/>
      <c r="HK69" s="15">
        <f>LOOKUP(HO66,Reference!$A$81:$A$85,Reference!$C$81:$C$85)</f>
        <v>-9.6999999999999993</v>
      </c>
      <c r="HL69" s="15">
        <f>LOOKUP(HO66,Reference!$A$81:$A$85,Reference!$D$81:$D$85)</f>
        <v>1.17</v>
      </c>
      <c r="HM69" s="14"/>
      <c r="HN69" s="14"/>
      <c r="HO69" s="14"/>
      <c r="HP69" s="30">
        <f>EXP(HK69+HL69*LN(HJ66)+LN(HL66))</f>
        <v>2.0963382331541172</v>
      </c>
    </row>
    <row r="70" spans="1:224" ht="18" x14ac:dyDescent="0.35">
      <c r="A70" s="194" t="s">
        <v>2</v>
      </c>
      <c r="B70" s="194"/>
      <c r="C70" s="17">
        <f>LOOKUP(G66,Reference!$A$261:$A$264,Reference!$C$261:$C$264)</f>
        <v>-6.8090000000000002</v>
      </c>
      <c r="D70" s="17">
        <f>LOOKUP(G66,Reference!$A$261:$A$264,Reference!$D$261:$D$264)</f>
        <v>1.9359999999999999</v>
      </c>
      <c r="E70" s="17">
        <f>LOOKUP(G66,Reference!$A$261:$A$264,Reference!$E$261:$E$264)</f>
        <v>1E-3</v>
      </c>
      <c r="F70" s="14"/>
      <c r="G70" s="14"/>
      <c r="H70" s="30">
        <f>D66*EXP(C70+D70*LN(E70*B66))</f>
        <v>4.5006819143282906</v>
      </c>
      <c r="I70" s="194" t="s">
        <v>2</v>
      </c>
      <c r="J70" s="194"/>
      <c r="K70" s="17">
        <f>LOOKUP(O66,Reference!$A$261:$A$264,Reference!$C$261:$C$264)</f>
        <v>-6.8090000000000002</v>
      </c>
      <c r="L70" s="17">
        <f>LOOKUP(O66,Reference!$A$261:$A$264,Reference!$D$261:$D$264)</f>
        <v>1.9359999999999999</v>
      </c>
      <c r="M70" s="17">
        <f>LOOKUP(O66,Reference!$A$261:$A$264,Reference!$E$261:$E$264)</f>
        <v>1E-3</v>
      </c>
      <c r="N70" s="14"/>
      <c r="O70" s="14"/>
      <c r="P70" s="30">
        <f>L66*EXP(K70+L70*LN(M70*J66))</f>
        <v>10.914503654742678</v>
      </c>
      <c r="Q70" s="194" t="s">
        <v>2</v>
      </c>
      <c r="R70" s="194"/>
      <c r="S70" s="17">
        <f>LOOKUP(W66,Reference!$A$261:$A$264,Reference!$C$261:$C$264)</f>
        <v>-6.8090000000000002</v>
      </c>
      <c r="T70" s="17">
        <f>LOOKUP(W66,Reference!$A$261:$A$264,Reference!$D$261:$D$264)</f>
        <v>1.9359999999999999</v>
      </c>
      <c r="U70" s="17">
        <f>LOOKUP(W66,Reference!$A$261:$A$264,Reference!$E$261:$E$264)</f>
        <v>1E-3</v>
      </c>
      <c r="V70" s="14"/>
      <c r="W70" s="14"/>
      <c r="X70" s="30">
        <f>T66*EXP(S70+T70*LN(U70*R66))</f>
        <v>17.370841092073366</v>
      </c>
      <c r="Y70" s="195" t="s">
        <v>2</v>
      </c>
      <c r="Z70" s="194"/>
      <c r="AA70" s="17">
        <f>LOOKUP(AE66,Reference!$A$261:$A$264,Reference!$C$261:$C$264)</f>
        <v>-6.8090000000000002</v>
      </c>
      <c r="AB70" s="17">
        <f>LOOKUP(AE66,Reference!$A$261:$A$264,Reference!$D$261:$D$264)</f>
        <v>1.9359999999999999</v>
      </c>
      <c r="AC70" s="17">
        <f>LOOKUP(AE66,Reference!$A$261:$A$264,Reference!$E$261:$E$264)</f>
        <v>1E-3</v>
      </c>
      <c r="AD70" s="14"/>
      <c r="AE70" s="14"/>
      <c r="AF70" s="30">
        <f>AB66*EXP(AA70+AB70*LN(AC70*Z66))</f>
        <v>2.4531594372907586</v>
      </c>
      <c r="AG70" s="195" t="s">
        <v>2</v>
      </c>
      <c r="AH70" s="194"/>
      <c r="AI70" s="17">
        <f>LOOKUP(AM66,Reference!$A$261:$A$264,Reference!$C$261:$C$264)</f>
        <v>-6.548</v>
      </c>
      <c r="AJ70" s="17">
        <f>LOOKUP(AM66,Reference!$A$261:$A$264,Reference!$D$261:$D$264)</f>
        <v>1.9359999999999999</v>
      </c>
      <c r="AK70" s="17">
        <f>LOOKUP(AM66,Reference!$A$261:$A$264,Reference!$E$261:$E$264)</f>
        <v>1E-3</v>
      </c>
      <c r="AL70" s="14"/>
      <c r="AM70" s="14"/>
      <c r="AN70" s="30">
        <f>AJ66*EXP(AI70+AJ70*LN(AK70*AH66))</f>
        <v>7.621354423434072</v>
      </c>
      <c r="AO70" s="195" t="s">
        <v>20</v>
      </c>
      <c r="AP70" s="194"/>
      <c r="AQ70" s="17">
        <f>LOOKUP(AU66,Reference!$A$217:$A$224,Reference!$C$217:$C$224)</f>
        <v>-1.798</v>
      </c>
      <c r="AR70" s="17">
        <f>LOOKUP(AU66,Reference!$A$217:$A$224,Reference!$D$217:$D$224)</f>
        <v>0.93200000000000005</v>
      </c>
      <c r="AS70" s="21">
        <f>LOOKUP(AU66,Reference!$A$217:$A$224,Reference!$E$217:$E$224)</f>
        <v>5.0000000000000001E-4</v>
      </c>
      <c r="AT70" s="14"/>
      <c r="AU70" s="14"/>
      <c r="AV70" s="30">
        <f>AR66*EXP(AQ70+AR70*LN(AS70*AP66))</f>
        <v>1.2527652509220695</v>
      </c>
      <c r="AW70" s="195" t="s">
        <v>20</v>
      </c>
      <c r="AX70" s="194"/>
      <c r="AY70" s="17">
        <f>LOOKUP(BC66,Reference!$A$217:$A$224,Reference!$C$217:$C$224)</f>
        <v>-2.9980000000000002</v>
      </c>
      <c r="AZ70" s="17">
        <f>LOOKUP(BC66,Reference!$A$217:$A$224,Reference!$D$217:$D$224)</f>
        <v>1.2150000000000001</v>
      </c>
      <c r="BA70" s="21">
        <f>LOOKUP(BC66,Reference!$A$217:$A$224,Reference!$E$217:$E$224)</f>
        <v>5.0000000000000001E-4</v>
      </c>
      <c r="BB70" s="14"/>
      <c r="BC70" s="14"/>
      <c r="BD70" s="30">
        <f>AZ66*EXP(AY70+AZ70*LN(BA70*AX66))</f>
        <v>1.0592390287679561</v>
      </c>
      <c r="BE70" s="195" t="s">
        <v>20</v>
      </c>
      <c r="BF70" s="194"/>
      <c r="BG70" s="17">
        <f>LOOKUP(BK66,Reference!$A$217:$A$224,Reference!$C$217:$C$224)</f>
        <v>-1.798</v>
      </c>
      <c r="BH70" s="17">
        <f>LOOKUP(BK66,Reference!$A$217:$A$224,Reference!$D$217:$D$224)</f>
        <v>0.93200000000000005</v>
      </c>
      <c r="BI70" s="21">
        <f>LOOKUP(BK66,Reference!$A$217:$A$224,Reference!$E$217:$E$224)</f>
        <v>5.0000000000000001E-4</v>
      </c>
      <c r="BJ70" s="14"/>
      <c r="BK70" s="14"/>
      <c r="BL70" s="30">
        <f>BH66*EXP(BG70+BH70*LN(BI70*BF66))</f>
        <v>1.2497557673619482</v>
      </c>
      <c r="BM70" s="195" t="s">
        <v>20</v>
      </c>
      <c r="BN70" s="194"/>
      <c r="BO70" s="17">
        <f>LOOKUP(BS66,Reference!$A$217:$A$224,Reference!$C$217:$C$224)</f>
        <v>-2.9980000000000002</v>
      </c>
      <c r="BP70" s="17">
        <f>LOOKUP(BS66,Reference!$A$217:$A$224,Reference!$D$217:$D$224)</f>
        <v>1.2150000000000001</v>
      </c>
      <c r="BQ70" s="21">
        <f>LOOKUP(BS66,Reference!$A$217:$A$224,Reference!$E$217:$E$224)</f>
        <v>5.0000000000000001E-4</v>
      </c>
      <c r="BR70" s="14"/>
      <c r="BS70" s="14"/>
      <c r="BT70" s="30">
        <f>BP66*EXP(BO70+BP70*LN(BQ70*BN66))</f>
        <v>1.0625654697800688</v>
      </c>
      <c r="BU70" s="195" t="s">
        <v>20</v>
      </c>
      <c r="BV70" s="194"/>
      <c r="BW70" s="17">
        <f>LOOKUP(CA66,Reference!$A$217:$A$224,Reference!$C$217:$C$224)</f>
        <v>-1.798</v>
      </c>
      <c r="BX70" s="17">
        <f>LOOKUP(CA66,Reference!$A$217:$A$224,Reference!$D$217:$D$224)</f>
        <v>0.93200000000000005</v>
      </c>
      <c r="BY70" s="21">
        <f>LOOKUP(CA66,Reference!$A$217:$A$224,Reference!$E$217:$E$224)</f>
        <v>5.0000000000000001E-4</v>
      </c>
      <c r="BZ70" s="14"/>
      <c r="CA70" s="14"/>
      <c r="CB70" s="30">
        <f>BX66*EXP(BW70+BX70*LN(BY70*BV66))</f>
        <v>1.2497557673619482</v>
      </c>
      <c r="CC70" s="195" t="s">
        <v>20</v>
      </c>
      <c r="CD70" s="194"/>
      <c r="CE70" s="17">
        <f>LOOKUP(CI66,Reference!$A$217:$A$224,Reference!$C$217:$C$224)</f>
        <v>-2.9980000000000002</v>
      </c>
      <c r="CF70" s="17">
        <f>LOOKUP(CI66,Reference!$A$217:$A$224,Reference!$D$217:$D$224)</f>
        <v>1.2150000000000001</v>
      </c>
      <c r="CG70" s="21">
        <f>LOOKUP(CI66,Reference!$A$217:$A$224,Reference!$E$217:$E$224)</f>
        <v>5.0000000000000001E-4</v>
      </c>
      <c r="CH70" s="14"/>
      <c r="CI70" s="14"/>
      <c r="CJ70" s="30">
        <f>CF66*EXP(CE70+CF70*LN(CG70*CD66))</f>
        <v>0.80896477225785968</v>
      </c>
      <c r="CK70" s="195" t="s">
        <v>20</v>
      </c>
      <c r="CL70" s="194"/>
      <c r="CM70" s="17">
        <f>LOOKUP(CQ66,Reference!$A$217:$A$224,Reference!$C$217:$C$224)</f>
        <v>-1.798</v>
      </c>
      <c r="CN70" s="17">
        <f>LOOKUP(CQ66,Reference!$A$217:$A$224,Reference!$D$217:$D$224)</f>
        <v>0.93200000000000005</v>
      </c>
      <c r="CO70" s="21">
        <f>LOOKUP(CQ66,Reference!$A$217:$A$224,Reference!$E$217:$E$224)</f>
        <v>5.0000000000000001E-4</v>
      </c>
      <c r="CP70" s="14"/>
      <c r="CQ70" s="14"/>
      <c r="CR70" s="30">
        <f>CN66*EXP(CM70+CN70*LN(CO70*CL66))</f>
        <v>1.0163133464427851</v>
      </c>
      <c r="CS70" s="195" t="s">
        <v>20</v>
      </c>
      <c r="CT70" s="194"/>
      <c r="CU70" s="17">
        <f>LOOKUP(CY66,Reference!$A$217:$A$224,Reference!$C$217:$C$224)</f>
        <v>-2.9980000000000002</v>
      </c>
      <c r="CV70" s="17">
        <f>LOOKUP(CY66,Reference!$A$217:$A$224,Reference!$D$217:$D$224)</f>
        <v>1.2150000000000001</v>
      </c>
      <c r="CW70" s="21">
        <f>LOOKUP(CY66,Reference!$A$217:$A$224,Reference!$E$217:$E$224)</f>
        <v>5.0000000000000001E-4</v>
      </c>
      <c r="CX70" s="14"/>
      <c r="CY70" s="14"/>
      <c r="CZ70" s="30">
        <f>CV66*EXP(CU70+CV70*LN(CW70*CT66))</f>
        <v>1.0592390287679561</v>
      </c>
      <c r="DA70" s="195" t="s">
        <v>20</v>
      </c>
      <c r="DB70" s="194"/>
      <c r="DC70" s="17">
        <f>LOOKUP(DG66,Reference!$A$217:$A$224,Reference!$C$217:$C$224)</f>
        <v>-1.798</v>
      </c>
      <c r="DD70" s="17">
        <f>LOOKUP(DG66,Reference!$A$217:$A$224,Reference!$D$217:$D$224)</f>
        <v>0.93200000000000005</v>
      </c>
      <c r="DE70" s="21">
        <f>LOOKUP(DG66,Reference!$A$217:$A$224,Reference!$E$217:$E$224)</f>
        <v>5.0000000000000001E-4</v>
      </c>
      <c r="DF70" s="14"/>
      <c r="DG70" s="14"/>
      <c r="DH70" s="30">
        <f>DD66*EXP(DC70+DD70*LN(DE70*DB66))</f>
        <v>0.19593121908803063</v>
      </c>
      <c r="DI70" s="195" t="s">
        <v>20</v>
      </c>
      <c r="DJ70" s="194"/>
      <c r="DK70" s="17">
        <f>LOOKUP(DO66,Reference!$A$217:$A$224,Reference!$C$217:$C$224)</f>
        <v>-2.9980000000000002</v>
      </c>
      <c r="DL70" s="17">
        <f>LOOKUP(DO66,Reference!$A$217:$A$224,Reference!$D$217:$D$224)</f>
        <v>1.2150000000000001</v>
      </c>
      <c r="DM70" s="21">
        <f>LOOKUP(DO66,Reference!$A$217:$A$224,Reference!$E$217:$E$224)</f>
        <v>5.0000000000000001E-4</v>
      </c>
      <c r="DN70" s="14"/>
      <c r="DO70" s="14"/>
      <c r="DP70" s="30">
        <f>DL66*EXP(DK70+DL70*LN(DM70*DJ66))</f>
        <v>1.5307795988168549</v>
      </c>
      <c r="DQ70" s="195" t="s">
        <v>20</v>
      </c>
      <c r="DR70" s="194"/>
      <c r="DS70" s="17">
        <f>LOOKUP(DW66,Reference!$A$217:$A$224,Reference!$C$217:$C$224)</f>
        <v>-1.798</v>
      </c>
      <c r="DT70" s="17">
        <f>LOOKUP(DW66,Reference!$A$217:$A$224,Reference!$D$217:$D$224)</f>
        <v>0.93200000000000005</v>
      </c>
      <c r="DU70" s="21">
        <f>LOOKUP(DW66,Reference!$A$217:$A$224,Reference!$E$217:$E$224)</f>
        <v>5.0000000000000001E-4</v>
      </c>
      <c r="DV70" s="14"/>
      <c r="DW70" s="14"/>
      <c r="DX70" s="30">
        <f>DT66*EXP(DS70+DT70*LN(DU70*DR66))</f>
        <v>1.6576593579183516</v>
      </c>
      <c r="DY70" s="195" t="s">
        <v>20</v>
      </c>
      <c r="DZ70" s="194"/>
      <c r="EA70" s="17">
        <f>LOOKUP(EE66,Reference!$A$217:$A$224,Reference!$C$217:$C$224)</f>
        <v>-2.9980000000000002</v>
      </c>
      <c r="EB70" s="17">
        <f>LOOKUP(EE66,Reference!$A$217:$A$224,Reference!$D$217:$D$224)</f>
        <v>1.2150000000000001</v>
      </c>
      <c r="EC70" s="21">
        <f>LOOKUP(EE66,Reference!$A$217:$A$224,Reference!$E$217:$E$224)</f>
        <v>5.0000000000000001E-4</v>
      </c>
      <c r="ED70" s="14"/>
      <c r="EE70" s="14"/>
      <c r="EF70" s="30">
        <f>EB66*EXP(EA70+EB70*LN(EC70*DZ66))</f>
        <v>9.4606360056609273E-2</v>
      </c>
      <c r="EG70" s="119" t="s">
        <v>165</v>
      </c>
      <c r="EH70" s="35">
        <v>12000</v>
      </c>
      <c r="EI70" s="31"/>
      <c r="EJ70" s="120" t="s">
        <v>169</v>
      </c>
      <c r="EK70" s="34" t="s">
        <v>296</v>
      </c>
      <c r="EL70" s="14"/>
      <c r="EM70" s="14"/>
      <c r="EN70" s="25"/>
      <c r="EO70" s="119" t="s">
        <v>165</v>
      </c>
      <c r="EP70" s="35">
        <v>46000</v>
      </c>
      <c r="EQ70" s="31"/>
      <c r="ER70" s="120" t="s">
        <v>169</v>
      </c>
      <c r="ES70" s="34" t="s">
        <v>296</v>
      </c>
      <c r="ET70" s="14"/>
      <c r="EU70" s="14"/>
      <c r="EV70" s="25"/>
      <c r="EW70" s="119" t="s">
        <v>165</v>
      </c>
      <c r="EX70" s="35">
        <v>1000</v>
      </c>
      <c r="EY70" s="31"/>
      <c r="EZ70" s="120" t="s">
        <v>169</v>
      </c>
      <c r="FA70" s="34" t="s">
        <v>296</v>
      </c>
      <c r="FB70" s="14"/>
      <c r="FC70" s="14"/>
      <c r="FD70" s="25"/>
      <c r="FE70" s="119" t="s">
        <v>165</v>
      </c>
      <c r="FF70" s="35">
        <v>5900</v>
      </c>
      <c r="FG70" s="31"/>
      <c r="FH70" s="120" t="s">
        <v>169</v>
      </c>
      <c r="FI70" s="34" t="s">
        <v>296</v>
      </c>
      <c r="FJ70" s="14"/>
      <c r="FK70" s="14"/>
      <c r="FL70" s="25"/>
      <c r="FM70" s="119" t="s">
        <v>165</v>
      </c>
      <c r="FN70" s="35">
        <v>32000</v>
      </c>
      <c r="FO70" s="31"/>
      <c r="FP70" s="120" t="s">
        <v>169</v>
      </c>
      <c r="FQ70" s="34" t="s">
        <v>296</v>
      </c>
      <c r="FR70" s="14"/>
      <c r="FS70" s="14"/>
      <c r="FT70" s="25"/>
      <c r="FU70" s="119" t="s">
        <v>165</v>
      </c>
      <c r="FV70" s="35">
        <v>21000</v>
      </c>
      <c r="FW70" s="31"/>
      <c r="FX70" s="120" t="s">
        <v>169</v>
      </c>
      <c r="FY70" s="34" t="s">
        <v>296</v>
      </c>
      <c r="FZ70" s="14"/>
      <c r="GA70" s="14"/>
      <c r="GB70" s="25"/>
      <c r="GC70" s="195" t="s">
        <v>217</v>
      </c>
      <c r="GD70" s="194"/>
      <c r="GE70" s="15">
        <f>LOOKUP(GI66,Reference!$A$87:$A$91,Reference!$C$87:$C$91)</f>
        <v>-16.22</v>
      </c>
      <c r="GF70" s="15">
        <f>LOOKUP(GI66,Reference!$A$87:$A$91,Reference!$D$87:$D$91)</f>
        <v>1.66</v>
      </c>
      <c r="GG70" s="14"/>
      <c r="GH70" s="14"/>
      <c r="GI70" s="14"/>
      <c r="GJ70" s="30">
        <f>EXP(GE70+GF70*LN(GD66)+LN(GF66))</f>
        <v>0.18674647647699896</v>
      </c>
      <c r="GK70" s="195" t="s">
        <v>217</v>
      </c>
      <c r="GL70" s="194"/>
      <c r="GM70" s="15">
        <f>LOOKUP(GQ66,Reference!$A$87:$A$91,Reference!$C$87:$C$91)</f>
        <v>-12.08</v>
      </c>
      <c r="GN70" s="15">
        <f>LOOKUP(GQ66,Reference!$A$87:$A$91,Reference!$D$87:$D$91)</f>
        <v>1.25</v>
      </c>
      <c r="GO70" s="14"/>
      <c r="GP70" s="14"/>
      <c r="GQ70" s="14"/>
      <c r="GR70" s="30">
        <f>EXP(GM70+GN70*LN(GL66)+LN(GN66))</f>
        <v>4.4039727463371436</v>
      </c>
      <c r="GS70" s="195" t="s">
        <v>217</v>
      </c>
      <c r="GT70" s="194"/>
      <c r="GU70" s="15">
        <f>LOOKUP(GY66,Reference!$A$87:$A$91,Reference!$C$87:$C$91)</f>
        <v>-16.22</v>
      </c>
      <c r="GV70" s="15">
        <f>LOOKUP(GY66,Reference!$A$87:$A$91,Reference!$D$87:$D$91)</f>
        <v>1.66</v>
      </c>
      <c r="GW70" s="14"/>
      <c r="GX70" s="14"/>
      <c r="GY70" s="14"/>
      <c r="GZ70" s="30">
        <f>EXP(GU70+GV70*LN(GT66)+LN(GV66))</f>
        <v>2.7182692204390499</v>
      </c>
      <c r="HA70" s="195" t="s">
        <v>217</v>
      </c>
      <c r="HB70" s="194"/>
      <c r="HC70" s="15">
        <f>LOOKUP(HG66,Reference!$A$87:$A$91,Reference!$C$87:$C$91)</f>
        <v>-10.47</v>
      </c>
      <c r="HD70" s="15">
        <f>LOOKUP(HG66,Reference!$A$87:$A$91,Reference!$D$87:$D$91)</f>
        <v>1.1200000000000001</v>
      </c>
      <c r="HE70" s="14"/>
      <c r="HF70" s="14"/>
      <c r="HG70" s="14"/>
      <c r="HH70" s="30">
        <f>EXP(HC70+HD70*LN(HB66)+LN(HD66))</f>
        <v>0.94585813826103593</v>
      </c>
      <c r="HI70" s="195" t="s">
        <v>217</v>
      </c>
      <c r="HJ70" s="194"/>
      <c r="HK70" s="15">
        <f>LOOKUP(HO66,Reference!$A$87:$A$91,Reference!$C$87:$C$91)</f>
        <v>-10.47</v>
      </c>
      <c r="HL70" s="15">
        <f>LOOKUP(HO66,Reference!$A$87:$A$91,Reference!$D$87:$D$91)</f>
        <v>1.1200000000000001</v>
      </c>
      <c r="HM70" s="14"/>
      <c r="HN70" s="14"/>
      <c r="HO70" s="14"/>
      <c r="HP70" s="30">
        <f>EXP(HK70+HL70*LN(HJ66)+LN(HL66))</f>
        <v>0.59012449160751757</v>
      </c>
    </row>
    <row r="71" spans="1:224" x14ac:dyDescent="0.25">
      <c r="A71" s="194" t="s">
        <v>4</v>
      </c>
      <c r="B71" s="194"/>
      <c r="C71" s="17">
        <f>LOOKUP(G66,Reference!$A$256:$A$259,Reference!$F$256:$F$259)</f>
        <v>-2.0550000000000002</v>
      </c>
      <c r="D71" s="17">
        <f>LOOKUP(G66,Reference!$A$256:$A$259,Reference!$G$256:$G$259)</f>
        <v>0.64600000000000002</v>
      </c>
      <c r="E71" s="17">
        <f>LOOKUP(G66,Reference!$A$256:$A$259,Reference!$H$256:$H$259)</f>
        <v>1E-3</v>
      </c>
      <c r="F71" s="14"/>
      <c r="G71" s="14"/>
      <c r="H71" s="30">
        <f>D66*EXP(C71+D71*LN(E71*B66))</f>
        <v>1.2931480004516926</v>
      </c>
      <c r="I71" s="194" t="s">
        <v>4</v>
      </c>
      <c r="J71" s="194"/>
      <c r="K71" s="17">
        <f>LOOKUP(O66,Reference!$A$256:$A$259,Reference!$F$256:$F$259)</f>
        <v>-2.0550000000000002</v>
      </c>
      <c r="L71" s="17">
        <f>LOOKUP(O66,Reference!$A$256:$A$259,Reference!$G$256:$G$259)</f>
        <v>0.64600000000000002</v>
      </c>
      <c r="M71" s="17">
        <f>LOOKUP(O66,Reference!$A$256:$A$259,Reference!$H$256:$H$259)</f>
        <v>1E-3</v>
      </c>
      <c r="N71" s="14"/>
      <c r="O71" s="14"/>
      <c r="P71" s="30">
        <f>L66*EXP(K71+L71*LN(M71*J66))</f>
        <v>6.1724087485264194</v>
      </c>
      <c r="Q71" s="194" t="s">
        <v>4</v>
      </c>
      <c r="R71" s="194"/>
      <c r="S71" s="17">
        <f>LOOKUP(W66,Reference!$A$256:$A$259,Reference!$F$256:$F$259)</f>
        <v>-2.0550000000000002</v>
      </c>
      <c r="T71" s="17">
        <f>LOOKUP(W66,Reference!$A$256:$A$259,Reference!$G$256:$G$259)</f>
        <v>0.64600000000000002</v>
      </c>
      <c r="U71" s="17">
        <f>LOOKUP(W66,Reference!$A$256:$A$259,Reference!$H$256:$H$259)</f>
        <v>1E-3</v>
      </c>
      <c r="V71" s="14"/>
      <c r="W71" s="14"/>
      <c r="X71" s="30">
        <f>T66*EXP(S71+T71*LN(U71*R66))</f>
        <v>7.3787190583895841</v>
      </c>
      <c r="Y71" s="195" t="s">
        <v>4</v>
      </c>
      <c r="Z71" s="194"/>
      <c r="AA71" s="17">
        <f>LOOKUP(AE66,Reference!$A$256:$A$259,Reference!$F$256:$F$259)</f>
        <v>-2.0550000000000002</v>
      </c>
      <c r="AB71" s="17">
        <f>LOOKUP(AE66,Reference!$A$256:$A$259,Reference!$G$256:$G$259)</f>
        <v>0.64600000000000002</v>
      </c>
      <c r="AC71" s="17">
        <f>LOOKUP(AE66,Reference!$A$256:$A$259,Reference!$H$256:$H$259)</f>
        <v>1E-3</v>
      </c>
      <c r="AD71" s="14"/>
      <c r="AE71" s="14"/>
      <c r="AF71" s="30">
        <f>AB66*EXP(AA71+AB71*LN(AC71*Z66))</f>
        <v>1.0561038582022935</v>
      </c>
      <c r="AG71" s="195" t="s">
        <v>4</v>
      </c>
      <c r="AH71" s="194"/>
      <c r="AI71" s="17">
        <f>LOOKUP(AM66,Reference!$A$256:$A$259,Reference!$F$256:$F$259)</f>
        <v>-2.1259999999999999</v>
      </c>
      <c r="AJ71" s="17">
        <f>LOOKUP(AM66,Reference!$A$256:$A$259,Reference!$G$256:$G$259)</f>
        <v>0.64600000000000002</v>
      </c>
      <c r="AK71" s="17">
        <f>LOOKUP(AM66,Reference!$A$256:$A$259,Reference!$H$256:$H$259)</f>
        <v>1E-3</v>
      </c>
      <c r="AL71" s="14"/>
      <c r="AM71" s="14"/>
      <c r="AN71" s="30">
        <f>AJ66*EXP(AI71+AJ71*LN(AK71*AH66))</f>
        <v>4.8131390095601629</v>
      </c>
      <c r="AO71" s="24"/>
      <c r="AP71" s="14"/>
      <c r="AQ71" s="14"/>
      <c r="AR71" s="14"/>
      <c r="AS71" s="14"/>
      <c r="AT71" s="14"/>
      <c r="AU71" s="14"/>
      <c r="AV71" s="25"/>
      <c r="AW71" s="24"/>
      <c r="AX71" s="14"/>
      <c r="AY71" s="14"/>
      <c r="AZ71" s="14"/>
      <c r="BA71" s="14"/>
      <c r="BB71" s="14"/>
      <c r="BC71" s="14"/>
      <c r="BD71" s="25"/>
      <c r="BE71" s="24"/>
      <c r="BF71" s="14"/>
      <c r="BG71" s="14"/>
      <c r="BH71" s="14"/>
      <c r="BI71" s="14"/>
      <c r="BJ71" s="14"/>
      <c r="BK71" s="14"/>
      <c r="BL71" s="25"/>
      <c r="BM71" s="24"/>
      <c r="BN71" s="14"/>
      <c r="BO71" s="14"/>
      <c r="BP71" s="14"/>
      <c r="BQ71" s="14"/>
      <c r="BR71" s="14"/>
      <c r="BS71" s="14"/>
      <c r="BT71" s="25"/>
      <c r="BU71" s="24"/>
      <c r="BV71" s="14"/>
      <c r="BW71" s="14"/>
      <c r="BX71" s="14"/>
      <c r="BY71" s="14"/>
      <c r="BZ71" s="14"/>
      <c r="CA71" s="14"/>
      <c r="CB71" s="25"/>
      <c r="CC71" s="24"/>
      <c r="CD71" s="14"/>
      <c r="CE71" s="14"/>
      <c r="CF71" s="14"/>
      <c r="CG71" s="14"/>
      <c r="CH71" s="14"/>
      <c r="CI71" s="14"/>
      <c r="CJ71" s="25"/>
      <c r="CK71" s="24"/>
      <c r="CL71" s="14"/>
      <c r="CM71" s="14"/>
      <c r="CN71" s="14"/>
      <c r="CO71" s="14"/>
      <c r="CP71" s="14"/>
      <c r="CQ71" s="14"/>
      <c r="CR71" s="25"/>
      <c r="CS71" s="24"/>
      <c r="CT71" s="14"/>
      <c r="CU71" s="14"/>
      <c r="CV71" s="14"/>
      <c r="CW71" s="14"/>
      <c r="CX71" s="14"/>
      <c r="CY71" s="14"/>
      <c r="CZ71" s="25"/>
      <c r="DA71" s="24"/>
      <c r="DB71" s="14"/>
      <c r="DC71" s="14"/>
      <c r="DD71" s="14"/>
      <c r="DE71" s="14"/>
      <c r="DF71" s="14"/>
      <c r="DG71" s="14"/>
      <c r="DH71" s="25"/>
      <c r="DI71" s="24"/>
      <c r="DJ71" s="14"/>
      <c r="DK71" s="14"/>
      <c r="DL71" s="14"/>
      <c r="DM71" s="14"/>
      <c r="DN71" s="14"/>
      <c r="DO71" s="14"/>
      <c r="DP71" s="25"/>
      <c r="DQ71" s="24"/>
      <c r="DR71" s="14"/>
      <c r="DS71" s="14"/>
      <c r="DT71" s="14"/>
      <c r="DU71" s="14"/>
      <c r="DV71" s="14"/>
      <c r="DW71" s="14"/>
      <c r="DX71" s="25"/>
      <c r="DY71" s="24"/>
      <c r="DZ71" s="14"/>
      <c r="EA71" s="14"/>
      <c r="EB71" s="14"/>
      <c r="EC71" s="14"/>
      <c r="ED71" s="14"/>
      <c r="EE71" s="14"/>
      <c r="EF71" s="25"/>
      <c r="EG71" s="119"/>
      <c r="EH71" s="14"/>
      <c r="EI71" s="14"/>
      <c r="EJ71" s="14"/>
      <c r="EK71" s="14"/>
      <c r="EL71" s="14"/>
      <c r="EM71" s="14"/>
      <c r="EN71" s="25"/>
      <c r="EO71" s="119"/>
      <c r="EP71" s="14"/>
      <c r="EQ71" s="14"/>
      <c r="ER71" s="14"/>
      <c r="ES71" s="14"/>
      <c r="ET71" s="14"/>
      <c r="EU71" s="14"/>
      <c r="EV71" s="25"/>
      <c r="EW71" s="119"/>
      <c r="EX71" s="14"/>
      <c r="EY71" s="14"/>
      <c r="EZ71" s="14"/>
      <c r="FA71" s="14"/>
      <c r="FB71" s="14"/>
      <c r="FC71" s="14"/>
      <c r="FD71" s="25"/>
      <c r="FE71" s="119"/>
      <c r="FF71" s="14"/>
      <c r="FG71" s="14"/>
      <c r="FH71" s="14"/>
      <c r="FI71" s="14"/>
      <c r="FJ71" s="14"/>
      <c r="FK71" s="14"/>
      <c r="FL71" s="25"/>
      <c r="FM71" s="119"/>
      <c r="FN71" s="14"/>
      <c r="FO71" s="14"/>
      <c r="FP71" s="14"/>
      <c r="FQ71" s="14"/>
      <c r="FR71" s="14"/>
      <c r="FS71" s="14"/>
      <c r="FT71" s="25"/>
      <c r="FU71" s="119"/>
      <c r="FV71" s="14"/>
      <c r="FW71" s="14"/>
      <c r="FX71" s="14"/>
      <c r="FY71" s="14"/>
      <c r="FZ71" s="14"/>
      <c r="GA71" s="14"/>
      <c r="GB71" s="25"/>
      <c r="GC71" s="195" t="s">
        <v>218</v>
      </c>
      <c r="GD71" s="194"/>
      <c r="GE71" s="15">
        <f>LOOKUP(GI66,Reference!$A$93:$A$97,Reference!$C$93:$C$97)</f>
        <v>-15.62</v>
      </c>
      <c r="GF71" s="15">
        <f>LOOKUP(GI66,Reference!$A$93:$A$97,Reference!$D$93:$D$97)</f>
        <v>1.69</v>
      </c>
      <c r="GG71" s="14"/>
      <c r="GH71" s="14"/>
      <c r="GI71" s="14"/>
      <c r="GJ71" s="30">
        <f>EXP(GE71+GF71*LN(GD66)+LN(GF66))</f>
        <v>0.45102907898306049</v>
      </c>
      <c r="GK71" s="195" t="s">
        <v>218</v>
      </c>
      <c r="GL71" s="194"/>
      <c r="GM71" s="15">
        <f>LOOKUP(GQ66,Reference!$A$93:$A$97,Reference!$C$93:$C$97)</f>
        <v>-12.53</v>
      </c>
      <c r="GN71" s="15">
        <f>LOOKUP(GQ66,Reference!$A$93:$A$97,Reference!$D$93:$D$97)</f>
        <v>1.38</v>
      </c>
      <c r="GO71" s="14"/>
      <c r="GP71" s="14"/>
      <c r="GQ71" s="14"/>
      <c r="GR71" s="30">
        <f>EXP(GM71+GN71*LN(GL66)+LN(GN66))</f>
        <v>10.474765447946483</v>
      </c>
      <c r="GS71" s="195" t="s">
        <v>218</v>
      </c>
      <c r="GT71" s="194"/>
      <c r="GU71" s="15">
        <f>LOOKUP(GY66,Reference!$A$93:$A$97,Reference!$C$93:$C$97)</f>
        <v>-15.62</v>
      </c>
      <c r="GV71" s="15">
        <f>LOOKUP(GY66,Reference!$A$93:$A$97,Reference!$D$93:$D$97)</f>
        <v>1.69</v>
      </c>
      <c r="GW71" s="14"/>
      <c r="GX71" s="14"/>
      <c r="GY71" s="14"/>
      <c r="GZ71" s="30">
        <f>EXP(GU71+GV71*LN(GT66)+LN(GV66))</f>
        <v>6.7611980265240952</v>
      </c>
      <c r="HA71" s="195" t="s">
        <v>218</v>
      </c>
      <c r="HB71" s="194"/>
      <c r="HC71" s="15">
        <f>LOOKUP(HG66,Reference!$A$93:$A$97,Reference!$C$93:$C$97)</f>
        <v>-9.9700000000000006</v>
      </c>
      <c r="HD71" s="15">
        <f>LOOKUP(HG66,Reference!$A$93:$A$97,Reference!$D$93:$D$97)</f>
        <v>1.17</v>
      </c>
      <c r="HE71" s="14"/>
      <c r="HF71" s="14"/>
      <c r="HG71" s="14"/>
      <c r="HH71" s="30">
        <f>EXP(HC71+HD71*LN(HB66)+LN(HD66))</f>
        <v>2.6195744432994208</v>
      </c>
      <c r="HI71" s="195" t="s">
        <v>218</v>
      </c>
      <c r="HJ71" s="194"/>
      <c r="HK71" s="15">
        <f>LOOKUP(HO66,Reference!$A$93:$A$97,Reference!$C$93:$C$97)</f>
        <v>-9.9700000000000006</v>
      </c>
      <c r="HL71" s="15">
        <f>LOOKUP(HO66,Reference!$A$93:$A$97,Reference!$D$93:$D$97)</f>
        <v>1.17</v>
      </c>
      <c r="HM71" s="14"/>
      <c r="HN71" s="14"/>
      <c r="HO71" s="14"/>
      <c r="HP71" s="30">
        <f>EXP(HK71+HL71*LN(HJ66)+LN(HL66))</f>
        <v>1.6003016203842002</v>
      </c>
    </row>
    <row r="72" spans="1:224" x14ac:dyDescent="0.25">
      <c r="A72" s="194" t="s">
        <v>5</v>
      </c>
      <c r="B72" s="194"/>
      <c r="C72" s="17">
        <f>LOOKUP(G66,Reference!$A$261:$A$264,Reference!$F$261:$F$264)</f>
        <v>-2.274</v>
      </c>
      <c r="D72" s="17">
        <f>LOOKUP(G66,Reference!$A$261:$A$264,Reference!$G$261:$G$264)</f>
        <v>0.876</v>
      </c>
      <c r="E72" s="17">
        <f>LOOKUP(G66,Reference!$A$261:$A$264,Reference!$H$261:$H$264)</f>
        <v>1E-3</v>
      </c>
      <c r="F72" s="14"/>
      <c r="G72" s="14"/>
      <c r="H72" s="30">
        <f>D66*EXP(C72+D72*LN(E72*B66))</f>
        <v>3.0284529864583303</v>
      </c>
      <c r="I72" s="194" t="s">
        <v>5</v>
      </c>
      <c r="J72" s="194"/>
      <c r="K72" s="17">
        <f>LOOKUP(O66,Reference!$A$261:$A$264,Reference!$F$261:$F$264)</f>
        <v>-2.274</v>
      </c>
      <c r="L72" s="17">
        <f>LOOKUP(O66,Reference!$A$261:$A$264,Reference!$G$261:$G$264)</f>
        <v>0.876</v>
      </c>
      <c r="M72" s="17">
        <f>LOOKUP(O66,Reference!$A$261:$A$264,Reference!$H$261:$H$264)</f>
        <v>1E-3</v>
      </c>
      <c r="N72" s="14"/>
      <c r="O72" s="14"/>
      <c r="P72" s="30">
        <f>L66*EXP(K72+L72*LN(M72*J66))</f>
        <v>12.811331684442454</v>
      </c>
      <c r="Q72" s="194" t="s">
        <v>5</v>
      </c>
      <c r="R72" s="194"/>
      <c r="S72" s="17">
        <f>LOOKUP(W66,Reference!$A$261:$A$264,Reference!$F$261:$F$264)</f>
        <v>-2.274</v>
      </c>
      <c r="T72" s="17">
        <f>LOOKUP(W66,Reference!$A$261:$A$264,Reference!$G$261:$G$264)</f>
        <v>0.876</v>
      </c>
      <c r="U72" s="17">
        <f>LOOKUP(W66,Reference!$A$261:$A$264,Reference!$H$261:$H$264)</f>
        <v>1E-3</v>
      </c>
      <c r="V72" s="14"/>
      <c r="W72" s="14"/>
      <c r="X72" s="30">
        <f>T66*EXP(S72+T72*LN(U72*R66))</f>
        <v>16.116877482577479</v>
      </c>
      <c r="Y72" s="195" t="s">
        <v>5</v>
      </c>
      <c r="Z72" s="194"/>
      <c r="AA72" s="17">
        <f>LOOKUP(AE66,Reference!$A$261:$A$264,Reference!$F$261:$F$264)</f>
        <v>-2.274</v>
      </c>
      <c r="AB72" s="17">
        <f>LOOKUP(AE66,Reference!$A$261:$A$264,Reference!$G$261:$G$264)</f>
        <v>0.876</v>
      </c>
      <c r="AC72" s="17">
        <f>LOOKUP(AE66,Reference!$A$261:$A$264,Reference!$H$261:$H$264)</f>
        <v>1E-3</v>
      </c>
      <c r="AD72" s="14"/>
      <c r="AE72" s="14"/>
      <c r="AF72" s="30">
        <f>AB66*EXP(AA72+AB72*LN(AC72*Z66))</f>
        <v>2.3012762461472711</v>
      </c>
      <c r="AG72" s="195" t="s">
        <v>5</v>
      </c>
      <c r="AH72" s="194"/>
      <c r="AI72" s="17">
        <f>LOOKUP(AM66,Reference!$A$261:$A$264,Reference!$F$261:$F$264)</f>
        <v>-2.2349999999999999</v>
      </c>
      <c r="AJ72" s="17">
        <f>LOOKUP(AM66,Reference!$A$261:$A$264,Reference!$G$261:$G$264)</f>
        <v>0.876</v>
      </c>
      <c r="AK72" s="17">
        <f>LOOKUP(AM66,Reference!$A$261:$A$264,Reference!$H$261:$H$264)</f>
        <v>1E-3</v>
      </c>
      <c r="AL72" s="14"/>
      <c r="AM72" s="14"/>
      <c r="AN72" s="30">
        <f>AJ66*EXP(AI72+AJ72*LN(AK72*AH66))</f>
        <v>10.305864352307957</v>
      </c>
      <c r="AO72" s="24"/>
      <c r="AP72" s="14"/>
      <c r="AQ72" s="14"/>
      <c r="AR72" s="14"/>
      <c r="AS72" s="14"/>
      <c r="AT72" s="14"/>
      <c r="AU72" s="14"/>
      <c r="AV72" s="25"/>
      <c r="AW72" s="24"/>
      <c r="AX72" s="14"/>
      <c r="AY72" s="14"/>
      <c r="AZ72" s="14"/>
      <c r="BA72" s="14"/>
      <c r="BB72" s="14"/>
      <c r="BC72" s="14"/>
      <c r="BD72" s="25"/>
      <c r="BE72" s="24"/>
      <c r="BF72" s="14"/>
      <c r="BG72" s="14"/>
      <c r="BH72" s="14"/>
      <c r="BI72" s="14"/>
      <c r="BJ72" s="14"/>
      <c r="BK72" s="14"/>
      <c r="BL72" s="25"/>
      <c r="BM72" s="24"/>
      <c r="BN72" s="14"/>
      <c r="BO72" s="14"/>
      <c r="BP72" s="14"/>
      <c r="BQ72" s="14"/>
      <c r="BR72" s="14"/>
      <c r="BS72" s="14"/>
      <c r="BT72" s="25"/>
      <c r="BU72" s="24"/>
      <c r="BV72" s="14"/>
      <c r="BW72" s="14"/>
      <c r="BX72" s="14"/>
      <c r="BY72" s="14"/>
      <c r="BZ72" s="14"/>
      <c r="CA72" s="14"/>
      <c r="CB72" s="25"/>
      <c r="CC72" s="24"/>
      <c r="CD72" s="14"/>
      <c r="CE72" s="14"/>
      <c r="CF72" s="14"/>
      <c r="CG72" s="14"/>
      <c r="CH72" s="14"/>
      <c r="CI72" s="14"/>
      <c r="CJ72" s="25"/>
      <c r="CK72" s="24"/>
      <c r="CL72" s="14"/>
      <c r="CM72" s="14"/>
      <c r="CN72" s="14"/>
      <c r="CO72" s="14"/>
      <c r="CP72" s="14"/>
      <c r="CQ72" s="14"/>
      <c r="CR72" s="25"/>
      <c r="CS72" s="24"/>
      <c r="CT72" s="14"/>
      <c r="CU72" s="14"/>
      <c r="CV72" s="14"/>
      <c r="CW72" s="14"/>
      <c r="CX72" s="14"/>
      <c r="CY72" s="14"/>
      <c r="CZ72" s="25"/>
      <c r="DA72" s="24"/>
      <c r="DB72" s="14"/>
      <c r="DC72" s="14"/>
      <c r="DD72" s="14"/>
      <c r="DE72" s="14"/>
      <c r="DF72" s="14"/>
      <c r="DG72" s="14"/>
      <c r="DH72" s="25"/>
      <c r="DI72" s="24"/>
      <c r="DJ72" s="14"/>
      <c r="DK72" s="14"/>
      <c r="DL72" s="14"/>
      <c r="DM72" s="14"/>
      <c r="DN72" s="14"/>
      <c r="DO72" s="14"/>
      <c r="DP72" s="25"/>
      <c r="DQ72" s="24"/>
      <c r="DR72" s="14"/>
      <c r="DS72" s="14"/>
      <c r="DT72" s="14"/>
      <c r="DU72" s="14"/>
      <c r="DV72" s="14"/>
      <c r="DW72" s="14"/>
      <c r="DX72" s="25"/>
      <c r="DY72" s="24"/>
      <c r="DZ72" s="14"/>
      <c r="EA72" s="14"/>
      <c r="EB72" s="14"/>
      <c r="EC72" s="14"/>
      <c r="ED72" s="14"/>
      <c r="EE72" s="14"/>
      <c r="EF72" s="25"/>
      <c r="EG72" s="24"/>
      <c r="EH72" s="14"/>
      <c r="EI72" s="14"/>
      <c r="EJ72" s="14"/>
      <c r="EK72" s="14"/>
      <c r="EL72" s="14"/>
      <c r="EM72" s="14"/>
      <c r="EN72" s="25"/>
      <c r="EO72" s="24"/>
      <c r="EP72" s="14"/>
      <c r="EQ72" s="14"/>
      <c r="ER72" s="14"/>
      <c r="ES72" s="14"/>
      <c r="ET72" s="14"/>
      <c r="EU72" s="14"/>
      <c r="EV72" s="25"/>
      <c r="EW72" s="24"/>
      <c r="EX72" s="14"/>
      <c r="EY72" s="14"/>
      <c r="EZ72" s="14"/>
      <c r="FA72" s="14"/>
      <c r="FB72" s="14"/>
      <c r="FC72" s="14"/>
      <c r="FD72" s="25"/>
      <c r="FE72" s="24"/>
      <c r="FF72" s="14"/>
      <c r="FG72" s="14"/>
      <c r="FH72" s="14"/>
      <c r="FI72" s="14"/>
      <c r="FJ72" s="14"/>
      <c r="FK72" s="14"/>
      <c r="FL72" s="25"/>
      <c r="FM72" s="24"/>
      <c r="FN72" s="14"/>
      <c r="FO72" s="14"/>
      <c r="FP72" s="14"/>
      <c r="FQ72" s="14"/>
      <c r="FR72" s="14"/>
      <c r="FS72" s="14"/>
      <c r="FT72" s="25"/>
      <c r="FU72" s="24"/>
      <c r="FV72" s="14"/>
      <c r="FW72" s="14"/>
      <c r="FX72" s="14"/>
      <c r="FY72" s="14"/>
      <c r="FZ72" s="14"/>
      <c r="GA72" s="14"/>
      <c r="GB72" s="25"/>
      <c r="GC72" s="195" t="s">
        <v>3</v>
      </c>
      <c r="GD72" s="194"/>
      <c r="GE72" s="15">
        <f>LOOKUP(GI66,Reference!$A$81:$A$85,Reference!$E$81:$E$85)</f>
        <v>-5.47</v>
      </c>
      <c r="GF72" s="15">
        <f>LOOKUP(GI66,Reference!$A$81:$A$85,Reference!$F$81:$F$85)</f>
        <v>0.56000000000000005</v>
      </c>
      <c r="GG72" s="14"/>
      <c r="GH72" s="14"/>
      <c r="GI72" s="14"/>
      <c r="GJ72" s="30">
        <f>EXP(GE72+GF72*LN(GD66)+LN(GF66))</f>
        <v>0.28367347324190739</v>
      </c>
      <c r="GK72" s="195" t="s">
        <v>3</v>
      </c>
      <c r="GL72" s="194"/>
      <c r="GM72" s="15">
        <f>LOOKUP(GQ66,Reference!$A$81:$A$85,Reference!$E$81:$E$85)</f>
        <v>-7.99</v>
      </c>
      <c r="GN72" s="15">
        <f>LOOKUP(GQ66,Reference!$A$81:$A$85,Reference!$F$81:$F$85)</f>
        <v>0.81</v>
      </c>
      <c r="GO72" s="14"/>
      <c r="GP72" s="14"/>
      <c r="GQ72" s="14"/>
      <c r="GR72" s="30">
        <f>EXP(GM72+GN72*LN(GL66)+LN(GN66))</f>
        <v>3.0550297929180035</v>
      </c>
      <c r="GS72" s="195" t="s">
        <v>3</v>
      </c>
      <c r="GT72" s="194"/>
      <c r="GU72" s="15">
        <f>LOOKUP(GY66,Reference!$A$81:$A$85,Reference!$E$81:$E$85)</f>
        <v>-5.47</v>
      </c>
      <c r="GV72" s="15">
        <f>LOOKUP(GY66,Reference!$A$81:$A$85,Reference!$F$81:$F$85)</f>
        <v>0.56000000000000005</v>
      </c>
      <c r="GW72" s="14"/>
      <c r="GX72" s="14"/>
      <c r="GY72" s="14"/>
      <c r="GZ72" s="30">
        <f>EXP(GU72+GV72*LN(GT66)+LN(GV66))</f>
        <v>1.4037609980415715</v>
      </c>
      <c r="HA72" s="195" t="s">
        <v>3</v>
      </c>
      <c r="HB72" s="194"/>
      <c r="HC72" s="15">
        <f>LOOKUP(HG66,Reference!$A$81:$A$85,Reference!$E$81:$E$85)</f>
        <v>-4.82</v>
      </c>
      <c r="HD72" s="15">
        <f>LOOKUP(HG66,Reference!$A$81:$A$85,Reference!$F$81:$F$85)</f>
        <v>0.54</v>
      </c>
      <c r="HE72" s="14"/>
      <c r="HF72" s="14"/>
      <c r="HG72" s="14"/>
      <c r="HH72" s="30">
        <f>EXP(HC72+HD72*LN(HB66)+LN(HD66))</f>
        <v>0.65554549958144115</v>
      </c>
      <c r="HI72" s="195" t="s">
        <v>3</v>
      </c>
      <c r="HJ72" s="194"/>
      <c r="HK72" s="15">
        <f>LOOKUP(HO66,Reference!$A$81:$A$85,Reference!$E$81:$E$85)</f>
        <v>-4.82</v>
      </c>
      <c r="HL72" s="15">
        <f>LOOKUP(HO66,Reference!$A$81:$A$85,Reference!$F$81:$F$85)</f>
        <v>0.54</v>
      </c>
      <c r="HM72" s="14"/>
      <c r="HN72" s="14"/>
      <c r="HO72" s="14"/>
      <c r="HP72" s="30">
        <f>EXP(HK72+HL72*LN(HJ66)+LN(HL66))</f>
        <v>0.52218004472353141</v>
      </c>
    </row>
    <row r="73" spans="1:224" x14ac:dyDescent="0.25">
      <c r="A73" s="14"/>
      <c r="B73" s="14"/>
      <c r="C73" s="14"/>
      <c r="D73" s="14"/>
      <c r="E73" s="14"/>
      <c r="F73" s="14"/>
      <c r="G73" s="14"/>
      <c r="H73" s="25"/>
      <c r="I73" s="14"/>
      <c r="J73" s="14"/>
      <c r="K73" s="14"/>
      <c r="L73" s="14"/>
      <c r="M73" s="14"/>
      <c r="N73" s="14"/>
      <c r="O73" s="14"/>
      <c r="P73" s="25"/>
      <c r="Q73" s="14"/>
      <c r="R73" s="14"/>
      <c r="S73" s="14"/>
      <c r="T73" s="14"/>
      <c r="U73" s="14"/>
      <c r="V73" s="14"/>
      <c r="W73" s="14"/>
      <c r="X73" s="25"/>
      <c r="Y73" s="24"/>
      <c r="Z73" s="14"/>
      <c r="AA73" s="14"/>
      <c r="AB73" s="14"/>
      <c r="AC73" s="14"/>
      <c r="AD73" s="14"/>
      <c r="AE73" s="14"/>
      <c r="AF73" s="25"/>
      <c r="AG73" s="24"/>
      <c r="AH73" s="14"/>
      <c r="AI73" s="14"/>
      <c r="AJ73" s="14"/>
      <c r="AK73" s="14"/>
      <c r="AL73" s="14"/>
      <c r="AM73" s="14"/>
      <c r="AN73" s="25"/>
      <c r="AO73" s="24"/>
      <c r="AP73" s="14"/>
      <c r="AQ73" s="14"/>
      <c r="AR73" s="14"/>
      <c r="AS73" s="14"/>
      <c r="AT73" s="14"/>
      <c r="AU73" s="14"/>
      <c r="AV73" s="25"/>
      <c r="AW73" s="24"/>
      <c r="AX73" s="14"/>
      <c r="AY73" s="14"/>
      <c r="AZ73" s="14"/>
      <c r="BA73" s="14"/>
      <c r="BB73" s="14"/>
      <c r="BC73" s="14"/>
      <c r="BD73" s="25"/>
      <c r="BE73" s="24"/>
      <c r="BF73" s="14"/>
      <c r="BG73" s="14"/>
      <c r="BH73" s="14"/>
      <c r="BI73" s="14"/>
      <c r="BJ73" s="14"/>
      <c r="BK73" s="14"/>
      <c r="BL73" s="25"/>
      <c r="BM73" s="24"/>
      <c r="BN73" s="14"/>
      <c r="BO73" s="14"/>
      <c r="BP73" s="14"/>
      <c r="BQ73" s="14"/>
      <c r="BR73" s="14"/>
      <c r="BS73" s="14"/>
      <c r="BT73" s="25"/>
      <c r="BU73" s="24"/>
      <c r="BV73" s="14"/>
      <c r="BW73" s="14"/>
      <c r="BX73" s="14"/>
      <c r="BY73" s="14"/>
      <c r="BZ73" s="14"/>
      <c r="CA73" s="14"/>
      <c r="CB73" s="25"/>
      <c r="CC73" s="24"/>
      <c r="CD73" s="14"/>
      <c r="CE73" s="14"/>
      <c r="CF73" s="14"/>
      <c r="CG73" s="14"/>
      <c r="CH73" s="14"/>
      <c r="CI73" s="14"/>
      <c r="CJ73" s="25"/>
      <c r="CK73" s="24"/>
      <c r="CL73" s="14"/>
      <c r="CM73" s="14"/>
      <c r="CN73" s="14"/>
      <c r="CO73" s="14"/>
      <c r="CP73" s="14"/>
      <c r="CQ73" s="14"/>
      <c r="CR73" s="25"/>
      <c r="CS73" s="24"/>
      <c r="CT73" s="14"/>
      <c r="CU73" s="14"/>
      <c r="CV73" s="14"/>
      <c r="CW73" s="14"/>
      <c r="CX73" s="14"/>
      <c r="CY73" s="14"/>
      <c r="CZ73" s="25"/>
      <c r="DA73" s="24"/>
      <c r="DB73" s="14"/>
      <c r="DC73" s="14"/>
      <c r="DD73" s="14"/>
      <c r="DE73" s="14"/>
      <c r="DF73" s="14"/>
      <c r="DG73" s="14"/>
      <c r="DH73" s="25"/>
      <c r="DI73" s="24"/>
      <c r="DJ73" s="14"/>
      <c r="DK73" s="14"/>
      <c r="DL73" s="14"/>
      <c r="DM73" s="14"/>
      <c r="DN73" s="14"/>
      <c r="DO73" s="14"/>
      <c r="DP73" s="25"/>
      <c r="DQ73" s="24"/>
      <c r="DR73" s="14"/>
      <c r="DS73" s="14"/>
      <c r="DT73" s="14"/>
      <c r="DU73" s="14"/>
      <c r="DV73" s="14"/>
      <c r="DW73" s="14"/>
      <c r="DX73" s="25"/>
      <c r="DY73" s="24"/>
      <c r="DZ73" s="14"/>
      <c r="EA73" s="14"/>
      <c r="EB73" s="14"/>
      <c r="EC73" s="14"/>
      <c r="ED73" s="14"/>
      <c r="EE73" s="14"/>
      <c r="EF73" s="25"/>
      <c r="EG73" s="24"/>
      <c r="EH73" s="14"/>
      <c r="EI73" s="112" t="s">
        <v>7</v>
      </c>
      <c r="EJ73" s="112" t="s">
        <v>6</v>
      </c>
      <c r="EK73" s="112" t="s">
        <v>8</v>
      </c>
      <c r="EL73" s="112" t="s">
        <v>38</v>
      </c>
      <c r="EM73" s="14"/>
      <c r="EN73" s="25"/>
      <c r="EO73" s="24"/>
      <c r="EP73" s="14"/>
      <c r="EQ73" s="112" t="s">
        <v>7</v>
      </c>
      <c r="ER73" s="112" t="s">
        <v>6</v>
      </c>
      <c r="ES73" s="112" t="s">
        <v>8</v>
      </c>
      <c r="ET73" s="112" t="s">
        <v>38</v>
      </c>
      <c r="EU73" s="14"/>
      <c r="EV73" s="25"/>
      <c r="EW73" s="24"/>
      <c r="EX73" s="14"/>
      <c r="EY73" s="112" t="s">
        <v>7</v>
      </c>
      <c r="EZ73" s="112" t="s">
        <v>6</v>
      </c>
      <c r="FA73" s="112" t="s">
        <v>8</v>
      </c>
      <c r="FB73" s="112" t="s">
        <v>38</v>
      </c>
      <c r="FC73" s="14"/>
      <c r="FD73" s="25"/>
      <c r="FE73" s="24"/>
      <c r="FF73" s="14"/>
      <c r="FG73" s="112" t="s">
        <v>7</v>
      </c>
      <c r="FH73" s="112" t="s">
        <v>6</v>
      </c>
      <c r="FI73" s="112" t="s">
        <v>8</v>
      </c>
      <c r="FJ73" s="112" t="s">
        <v>38</v>
      </c>
      <c r="FK73" s="14"/>
      <c r="FL73" s="25"/>
      <c r="FM73" s="24"/>
      <c r="FN73" s="14"/>
      <c r="FO73" s="112" t="s">
        <v>7</v>
      </c>
      <c r="FP73" s="112" t="s">
        <v>6</v>
      </c>
      <c r="FQ73" s="112" t="s">
        <v>8</v>
      </c>
      <c r="FR73" s="112" t="s">
        <v>38</v>
      </c>
      <c r="FS73" s="14"/>
      <c r="FT73" s="25"/>
      <c r="FU73" s="24"/>
      <c r="FV73" s="14"/>
      <c r="FW73" s="112" t="s">
        <v>7</v>
      </c>
      <c r="FX73" s="112" t="s">
        <v>6</v>
      </c>
      <c r="FY73" s="112" t="s">
        <v>8</v>
      </c>
      <c r="FZ73" s="112" t="s">
        <v>38</v>
      </c>
      <c r="GA73" s="14"/>
      <c r="GB73" s="25"/>
      <c r="GC73" s="195" t="s">
        <v>4</v>
      </c>
      <c r="GD73" s="194"/>
      <c r="GE73" s="15">
        <f>LOOKUP(GI66,Reference!$A$87:$A$91,Reference!$E$87:$E$91)</f>
        <v>-3.96</v>
      </c>
      <c r="GF73" s="15">
        <f>LOOKUP(GI66,Reference!$A$87:$A$91,Reference!$F$87:$F$91)</f>
        <v>0.23</v>
      </c>
      <c r="GG73" s="14"/>
      <c r="GH73" s="14"/>
      <c r="GI73" s="14"/>
      <c r="GJ73" s="30">
        <f>EXP(GE73+GF73*LN(GD66)+LN(GF66))</f>
        <v>5.7872678431115772E-2</v>
      </c>
      <c r="GK73" s="195" t="s">
        <v>4</v>
      </c>
      <c r="GL73" s="194"/>
      <c r="GM73" s="15">
        <f>LOOKUP(GQ66,Reference!$A$87:$A$91,Reference!$E$87:$E$91)</f>
        <v>-7.37</v>
      </c>
      <c r="GN73" s="15">
        <f>LOOKUP(GQ66,Reference!$A$87:$A$91,Reference!$F$87:$F$91)</f>
        <v>0.61</v>
      </c>
      <c r="GO73" s="14"/>
      <c r="GP73" s="14"/>
      <c r="GQ73" s="14"/>
      <c r="GR73" s="30">
        <f>EXP(GM73+GN73*LN(GL66)+LN(GN66))</f>
        <v>0.74935917126064355</v>
      </c>
      <c r="GS73" s="195" t="s">
        <v>4</v>
      </c>
      <c r="GT73" s="194"/>
      <c r="GU73" s="15">
        <f>LOOKUP(GY66,Reference!$A$87:$A$91,Reference!$E$87:$E$91)</f>
        <v>-3.96</v>
      </c>
      <c r="GV73" s="15">
        <f>LOOKUP(GY66,Reference!$A$87:$A$91,Reference!$F$87:$F$91)</f>
        <v>0.23</v>
      </c>
      <c r="GW73" s="14"/>
      <c r="GX73" s="14"/>
      <c r="GY73" s="14"/>
      <c r="GZ73" s="30">
        <f>EXP(GU73+GV73*LN(GT66)+LN(GV66))</f>
        <v>0.2071945590836938</v>
      </c>
      <c r="HA73" s="195" t="s">
        <v>4</v>
      </c>
      <c r="HB73" s="194"/>
      <c r="HC73" s="15">
        <f>LOOKUP(HG66,Reference!$A$87:$A$91,Reference!$E$87:$E$91)</f>
        <v>-4.43</v>
      </c>
      <c r="HD73" s="15">
        <f>LOOKUP(HG66,Reference!$A$87:$A$91,Reference!$F$87:$F$91)</f>
        <v>0.35</v>
      </c>
      <c r="HE73" s="14"/>
      <c r="HF73" s="14"/>
      <c r="HG73" s="14"/>
      <c r="HH73" s="30">
        <f>EXP(HC73+HD73*LN(HB66)+LN(HD66))</f>
        <v>0.13489603737962383</v>
      </c>
      <c r="HI73" s="195" t="s">
        <v>4</v>
      </c>
      <c r="HJ73" s="194"/>
      <c r="HK73" s="15">
        <f>LOOKUP(HO66,Reference!$A$87:$A$91,Reference!$E$87:$E$91)</f>
        <v>-4.43</v>
      </c>
      <c r="HL73" s="15">
        <f>LOOKUP(HO66,Reference!$A$87:$A$91,Reference!$F$87:$F$91)</f>
        <v>0.35</v>
      </c>
      <c r="HM73" s="14"/>
      <c r="HN73" s="14"/>
      <c r="HO73" s="14"/>
      <c r="HP73" s="30">
        <f>EXP(HK73+HL73*LN(HJ66)+LN(HL66))</f>
        <v>0.11640548724929026</v>
      </c>
    </row>
    <row r="74" spans="1:224" x14ac:dyDescent="0.25">
      <c r="A74" s="14"/>
      <c r="B74" s="14"/>
      <c r="C74" s="14"/>
      <c r="D74" s="14"/>
      <c r="E74" s="14"/>
      <c r="F74" s="14"/>
      <c r="G74" s="14"/>
      <c r="H74" s="25"/>
      <c r="I74" s="14"/>
      <c r="J74" s="14"/>
      <c r="K74" s="14"/>
      <c r="L74" s="14"/>
      <c r="M74" s="14"/>
      <c r="N74" s="14"/>
      <c r="O74" s="14"/>
      <c r="P74" s="25"/>
      <c r="Q74" s="14"/>
      <c r="R74" s="14"/>
      <c r="S74" s="14"/>
      <c r="T74" s="14"/>
      <c r="U74" s="14"/>
      <c r="V74" s="14"/>
      <c r="W74" s="14"/>
      <c r="X74" s="25"/>
      <c r="Y74" s="24"/>
      <c r="Z74" s="14"/>
      <c r="AA74" s="14"/>
      <c r="AB74" s="14"/>
      <c r="AC74" s="14"/>
      <c r="AD74" s="14"/>
      <c r="AE74" s="14"/>
      <c r="AF74" s="25"/>
      <c r="AG74" s="24"/>
      <c r="AH74" s="14"/>
      <c r="AI74" s="14"/>
      <c r="AJ74" s="14"/>
      <c r="AK74" s="14"/>
      <c r="AL74" s="14"/>
      <c r="AM74" s="14"/>
      <c r="AN74" s="25"/>
      <c r="AO74" s="24"/>
      <c r="AP74" s="14"/>
      <c r="AQ74" s="112" t="s">
        <v>7</v>
      </c>
      <c r="AR74" s="112" t="s">
        <v>6</v>
      </c>
      <c r="AS74" s="112" t="s">
        <v>8</v>
      </c>
      <c r="AT74" s="41" t="s">
        <v>38</v>
      </c>
      <c r="AU74" s="14"/>
      <c r="AV74" s="25"/>
      <c r="AW74" s="24"/>
      <c r="AX74" s="14"/>
      <c r="AY74" s="112" t="s">
        <v>7</v>
      </c>
      <c r="AZ74" s="112" t="s">
        <v>6</v>
      </c>
      <c r="BA74" s="112" t="s">
        <v>8</v>
      </c>
      <c r="BB74" s="41" t="s">
        <v>38</v>
      </c>
      <c r="BC74" s="14"/>
      <c r="BD74" s="25"/>
      <c r="BE74" s="24"/>
      <c r="BF74" s="14"/>
      <c r="BG74" s="112" t="s">
        <v>7</v>
      </c>
      <c r="BH74" s="112" t="s">
        <v>6</v>
      </c>
      <c r="BI74" s="112" t="s">
        <v>8</v>
      </c>
      <c r="BJ74" s="41" t="s">
        <v>38</v>
      </c>
      <c r="BK74" s="14"/>
      <c r="BL74" s="25"/>
      <c r="BM74" s="24"/>
      <c r="BN74" s="14"/>
      <c r="BO74" s="112" t="s">
        <v>7</v>
      </c>
      <c r="BP74" s="112" t="s">
        <v>6</v>
      </c>
      <c r="BQ74" s="112" t="s">
        <v>8</v>
      </c>
      <c r="BR74" s="41" t="s">
        <v>38</v>
      </c>
      <c r="BS74" s="14"/>
      <c r="BT74" s="25"/>
      <c r="BU74" s="24"/>
      <c r="BV74" s="14"/>
      <c r="BW74" s="112" t="s">
        <v>7</v>
      </c>
      <c r="BX74" s="112" t="s">
        <v>6</v>
      </c>
      <c r="BY74" s="112" t="s">
        <v>8</v>
      </c>
      <c r="BZ74" s="41" t="s">
        <v>38</v>
      </c>
      <c r="CA74" s="14"/>
      <c r="CB74" s="25"/>
      <c r="CC74" s="24"/>
      <c r="CD74" s="14"/>
      <c r="CE74" s="112" t="s">
        <v>7</v>
      </c>
      <c r="CF74" s="112" t="s">
        <v>6</v>
      </c>
      <c r="CG74" s="112" t="s">
        <v>8</v>
      </c>
      <c r="CH74" s="41" t="s">
        <v>38</v>
      </c>
      <c r="CI74" s="14"/>
      <c r="CJ74" s="25"/>
      <c r="CK74" s="24"/>
      <c r="CL74" s="14"/>
      <c r="CM74" s="112" t="s">
        <v>7</v>
      </c>
      <c r="CN74" s="112" t="s">
        <v>6</v>
      </c>
      <c r="CO74" s="112" t="s">
        <v>8</v>
      </c>
      <c r="CP74" s="41" t="s">
        <v>38</v>
      </c>
      <c r="CQ74" s="14"/>
      <c r="CR74" s="25"/>
      <c r="CS74" s="24"/>
      <c r="CT74" s="14"/>
      <c r="CU74" s="112" t="s">
        <v>7</v>
      </c>
      <c r="CV74" s="112" t="s">
        <v>6</v>
      </c>
      <c r="CW74" s="112" t="s">
        <v>8</v>
      </c>
      <c r="CX74" s="41" t="s">
        <v>38</v>
      </c>
      <c r="CY74" s="14"/>
      <c r="CZ74" s="25"/>
      <c r="DA74" s="24"/>
      <c r="DB74" s="14"/>
      <c r="DC74" s="112" t="s">
        <v>7</v>
      </c>
      <c r="DD74" s="112" t="s">
        <v>6</v>
      </c>
      <c r="DE74" s="112" t="s">
        <v>8</v>
      </c>
      <c r="DF74" s="41" t="s">
        <v>38</v>
      </c>
      <c r="DG74" s="14"/>
      <c r="DH74" s="25"/>
      <c r="DI74" s="24"/>
      <c r="DJ74" s="14"/>
      <c r="DK74" s="112" t="s">
        <v>7</v>
      </c>
      <c r="DL74" s="112" t="s">
        <v>6</v>
      </c>
      <c r="DM74" s="112" t="s">
        <v>8</v>
      </c>
      <c r="DN74" s="41" t="s">
        <v>38</v>
      </c>
      <c r="DO74" s="14"/>
      <c r="DP74" s="25"/>
      <c r="DQ74" s="24"/>
      <c r="DR74" s="14"/>
      <c r="DS74" s="112" t="s">
        <v>7</v>
      </c>
      <c r="DT74" s="112" t="s">
        <v>6</v>
      </c>
      <c r="DU74" s="112" t="s">
        <v>8</v>
      </c>
      <c r="DV74" s="41" t="s">
        <v>38</v>
      </c>
      <c r="DW74" s="14"/>
      <c r="DX74" s="25"/>
      <c r="DY74" s="24"/>
      <c r="DZ74" s="14"/>
      <c r="EA74" s="112" t="s">
        <v>7</v>
      </c>
      <c r="EB74" s="112" t="s">
        <v>6</v>
      </c>
      <c r="EC74" s="112" t="s">
        <v>8</v>
      </c>
      <c r="ED74" s="41" t="s">
        <v>38</v>
      </c>
      <c r="EE74" s="14"/>
      <c r="EF74" s="25"/>
      <c r="EG74" s="195" t="s">
        <v>19</v>
      </c>
      <c r="EH74" s="194"/>
      <c r="EI74" s="17">
        <f>IF(EK70="Signalized",IF(EK68=2,LOOKUP(EM66,Reference!$A$269:$A$275,Reference!$C$269:$C$275),IF(EK68=3,LOOKUP(EM66,Reference!$A$285:$A$291,Reference!$C$285:$C$291),IF(EK68=4,LOOKUP(EM66,Reference!$A$301:$A$307,Reference!$C$301:$C$307),IF(EK68=5,LOOKUP(EM66,Reference!$A$317:$A$323,Reference!$C$317:$C$323),LOOKUP(EM66,Reference!$A$333:$A$339,Reference!$C$333:$C$339))))),IF(EK66="Rural",LOOKUP(EM66,Reference!$A$350:$A$356,Reference!$C$350:$C$356),LOOKUP(EM66,Reference!$A$366:$A$372,Reference!$C$366:$C$372)))</f>
        <v>-2.335</v>
      </c>
      <c r="EJ74" s="17">
        <f>IF(EK70="Signalized",IF(EK68=2,LOOKUP(EM66,Reference!$A$269:$A$275,Reference!$D$269:$D$275),IF(EK68=3,LOOKUP(EM66,Reference!$A$285:$A$291,Reference!$D$285:$D$291),IF(EK68=4,LOOKUP(EM66,Reference!$A$301:$A$307,Reference!$D$301:$D$307),IF(EK68=5,LOOKUP(EM66,Reference!$A$317:$A$323,Reference!$D$317:$D$323),LOOKUP(EM66,Reference!$A$333:$A$339,Reference!$D$333:$D$339))))),IF(EK66="Rural",LOOKUP(EM66,Reference!$A$350:$A$356,Reference!$D$350:$D$356),LOOKUP(EM66,Reference!$A$366:$A$372,Reference!$D$366:$D$372)))</f>
        <v>1.1910000000000001</v>
      </c>
      <c r="EK74" s="17">
        <f>IF(EK70="Signalized",IF(EK68=2,LOOKUP(EM66,Reference!$A$269:$A$275,Reference!$E$269:$E$275),IF(EK68=3,LOOKUP(EM66,Reference!$A$285:$A$291,Reference!$E$285:$E$291),IF(EK68=4,LOOKUP(EM66,Reference!$A$301:$A$307,Reference!$E$301:$E$307),IF(EK68=5,LOOKUP(EM66,Reference!$A$317:$A$323,Reference!$E$317:$E$323),LOOKUP(EM66,Reference!$A$333:$A$339,Reference!$E$333:$E$339))))),IF(EK66="Rural",LOOKUP(EM66,Reference!$A$350:$A$356,Reference!$E$350:$E$356),LOOKUP(EM66,Reference!$A$366:$A$372,Reference!$E$366:$E$372)))</f>
        <v>1E-3</v>
      </c>
      <c r="EL74" s="17">
        <f>IF(EK70="Signalized",IF(EK68=2,LOOKUP(EM66,Reference!$A$269:$A$275,Reference!$F$269:$F$275),IF(EK68=3,LOOKUP(EM66,Reference!$A$285:$A$291,Reference!$F$285:$F$291),IF(EK68=4,LOOKUP(EM66,Reference!$A$301:$A$307,Reference!$F$301:$F$307),IF(EK68=5,LOOKUP(EM66,Reference!$A$317:$A$323,Reference!$F$317:$F$323),LOOKUP(EM66,Reference!$A$333:$A$339,Reference!$F$333:$F$339))))),IF(EK66="Rural",LOOKUP(EM66,Reference!$A$350:$A$356,Reference!$F$350:$F$356),LOOKUP(EM66,Reference!$A$366:$A$372,Reference!$F$366:$F$372)))</f>
        <v>0.13100000000000001</v>
      </c>
      <c r="EM74" s="14"/>
      <c r="EN74" s="25"/>
      <c r="EO74" s="195" t="s">
        <v>19</v>
      </c>
      <c r="EP74" s="194"/>
      <c r="EQ74" s="17">
        <f>IF(ES70="Signalized",IF(ES68=2,LOOKUP(EU66,Reference!$A$269:$A$275,Reference!$C$269:$C$275),IF(ES68=3,LOOKUP(EU66,Reference!$A$285:$A$291,Reference!$C$285:$C$291),IF(ES68=4,LOOKUP(EU66,Reference!$A$301:$A$307,Reference!$C$301:$C$307),IF(ES68=5,LOOKUP(EU66,Reference!$A$317:$A$323,Reference!$C$317:$C$323),LOOKUP(EU66,Reference!$A$333:$A$339,Reference!$C$333:$C$339))))),IF(ES66="Rural",LOOKUP(EU66,Reference!$A$350:$A$356,Reference!$C$350:$C$356),LOOKUP(EU66,Reference!$A$366:$A$372,Reference!$C$366:$C$372)))</f>
        <v>-2.335</v>
      </c>
      <c r="ER74" s="17">
        <f>IF(ES70="Signalized",IF(ES68=2,LOOKUP(EU66,Reference!$A$269:$A$275,Reference!$D$269:$D$275),IF(ES68=3,LOOKUP(EU66,Reference!$A$285:$A$291,Reference!$D$285:$D$291),IF(ES68=4,LOOKUP(EU66,Reference!$A$301:$A$307,Reference!$D$301:$D$307),IF(ES68=5,LOOKUP(EU66,Reference!$A$317:$A$323,Reference!$D$317:$D$323),LOOKUP(EU66,Reference!$A$333:$A$339,Reference!$D$333:$D$339))))),IF(ES66="Rural",LOOKUP(EU66,Reference!$A$350:$A$356,Reference!$D$350:$D$356),LOOKUP(EU66,Reference!$A$366:$A$372,Reference!$D$366:$D$372)))</f>
        <v>1.1910000000000001</v>
      </c>
      <c r="ES74" s="17">
        <f>IF(ES70="Signalized",IF(ES68=2,LOOKUP(EU66,Reference!$A$269:$A$275,Reference!$E$269:$E$275),IF(ES68=3,LOOKUP(EU66,Reference!$A$285:$A$291,Reference!$E$285:$E$291),IF(ES68=4,LOOKUP(EU66,Reference!$A$301:$A$307,Reference!$E$301:$E$307),IF(ES68=5,LOOKUP(EU66,Reference!$A$317:$A$323,Reference!$E$317:$E$323),LOOKUP(EU66,Reference!$A$333:$A$339,Reference!$E$333:$E$339))))),IF(ES66="Rural",LOOKUP(EU66,Reference!$A$350:$A$356,Reference!$E$350:$E$356),LOOKUP(EU66,Reference!$A$366:$A$372,Reference!$E$366:$E$372)))</f>
        <v>1E-3</v>
      </c>
      <c r="ET74" s="17">
        <f>IF(ES70="Signalized",IF(ES68=2,LOOKUP(EU66,Reference!$A$269:$A$275,Reference!$F$269:$F$275),IF(ES68=3,LOOKUP(EU66,Reference!$A$285:$A$291,Reference!$F$285:$F$291),IF(ES68=4,LOOKUP(EU66,Reference!$A$301:$A$307,Reference!$F$301:$F$307),IF(ES68=5,LOOKUP(EU66,Reference!$A$317:$A$323,Reference!$F$317:$F$323),LOOKUP(EU66,Reference!$A$333:$A$339,Reference!$F$333:$F$339))))),IF(ES66="Rural",LOOKUP(EU66,Reference!$A$350:$A$356,Reference!$F$350:$F$356),LOOKUP(EU66,Reference!$A$366:$A$372,Reference!$F$366:$F$372)))</f>
        <v>0.13100000000000001</v>
      </c>
      <c r="EU74" s="14"/>
      <c r="EV74" s="25"/>
      <c r="EW74" s="195" t="s">
        <v>19</v>
      </c>
      <c r="EX74" s="194"/>
      <c r="EY74" s="17">
        <f>IF(FA70="Signalized",IF(FA68=2,LOOKUP(FC66,Reference!$A$269:$A$275,Reference!$C$269:$C$275),IF(FA68=3,LOOKUP(FC66,Reference!$A$285:$A$291,Reference!$C$285:$C$291),IF(FA68=4,LOOKUP(FC66,Reference!$A$301:$A$307,Reference!$C$301:$C$307),IF(FA68=5,LOOKUP(FC66,Reference!$A$317:$A$323,Reference!$C$317:$C$323),LOOKUP(FC66,Reference!$A$333:$A$339,Reference!$C$333:$C$339))))),IF(FA66="Rural",LOOKUP(FC66,Reference!$A$350:$A$356,Reference!$C$350:$C$356),LOOKUP(FC66,Reference!$A$366:$A$372,Reference!$C$366:$C$372)))</f>
        <v>-0.45800000000000002</v>
      </c>
      <c r="EZ74" s="17">
        <f>IF(FA70="Signalized",IF(FA68=2,LOOKUP(FC66,Reference!$A$269:$A$275,Reference!$D$269:$D$275),IF(FA68=3,LOOKUP(FC66,Reference!$A$285:$A$291,Reference!$D$285:$D$291),IF(FA68=4,LOOKUP(FC66,Reference!$A$301:$A$307,Reference!$D$301:$D$307),IF(FA68=5,LOOKUP(FC66,Reference!$A$317:$A$323,Reference!$D$317:$D$323),LOOKUP(FC66,Reference!$A$333:$A$339,Reference!$D$333:$D$339))))),IF(FA66="Rural",LOOKUP(FC66,Reference!$A$350:$A$356,Reference!$D$350:$D$356),LOOKUP(FC66,Reference!$A$366:$A$372,Reference!$D$366:$D$372)))</f>
        <v>0.23499999999999999</v>
      </c>
      <c r="FA74" s="17">
        <f>IF(FA70="Signalized",IF(FA68=2,LOOKUP(FC66,Reference!$A$269:$A$275,Reference!$E$269:$E$275),IF(FA68=3,LOOKUP(FC66,Reference!$A$285:$A$291,Reference!$E$285:$E$291),IF(FA68=4,LOOKUP(FC66,Reference!$A$301:$A$307,Reference!$E$301:$E$307),IF(FA68=5,LOOKUP(FC66,Reference!$A$317:$A$323,Reference!$E$317:$E$323),LOOKUP(FC66,Reference!$A$333:$A$339,Reference!$E$333:$E$339))))),IF(FA66="Rural",LOOKUP(FC66,Reference!$A$350:$A$356,Reference!$E$350:$E$356),LOOKUP(FC66,Reference!$A$366:$A$372,Reference!$E$366:$E$372)))</f>
        <v>1E-3</v>
      </c>
      <c r="FB74" s="17">
        <f>IF(FA70="Signalized",IF(FA68=2,LOOKUP(FC66,Reference!$A$269:$A$275,Reference!$F$269:$F$275),IF(FA68=3,LOOKUP(FC66,Reference!$A$285:$A$291,Reference!$F$285:$F$291),IF(FA68=4,LOOKUP(FC66,Reference!$A$301:$A$307,Reference!$F$301:$F$307),IF(FA68=5,LOOKUP(FC66,Reference!$A$317:$A$323,Reference!$F$317:$F$323),LOOKUP(FC66,Reference!$A$333:$A$339,Reference!$F$333:$F$339))))),IF(FA66="Rural",LOOKUP(FC66,Reference!$A$350:$A$356,Reference!$F$350:$F$356),LOOKUP(FC66,Reference!$A$366:$A$372,Reference!$F$366:$F$372)))</f>
        <v>0.21199999999999999</v>
      </c>
      <c r="FC74" s="14"/>
      <c r="FD74" s="25"/>
      <c r="FE74" s="195" t="s">
        <v>19</v>
      </c>
      <c r="FF74" s="194"/>
      <c r="FG74" s="17">
        <f>IF(FI70="Signalized",IF(FI68=2,LOOKUP(FK66,Reference!$A$269:$A$275,Reference!$C$269:$C$275),IF(FI68=3,LOOKUP(FK66,Reference!$A$285:$A$291,Reference!$C$285:$C$291),IF(FI68=4,LOOKUP(FK66,Reference!$A$301:$A$307,Reference!$C$301:$C$307),IF(FI68=5,LOOKUP(FK66,Reference!$A$317:$A$323,Reference!$C$317:$C$323),LOOKUP(FK66,Reference!$A$333:$A$339,Reference!$C$333:$C$339))))),IF(FI66="Rural",LOOKUP(FK66,Reference!$A$350:$A$356,Reference!$C$350:$C$356),LOOKUP(FK66,Reference!$A$366:$A$372,Reference!$C$366:$C$372)))</f>
        <v>-2.6549999999999998</v>
      </c>
      <c r="FH74" s="17">
        <f>IF(FI70="Signalized",IF(FI68=2,LOOKUP(FK66,Reference!$A$269:$A$275,Reference!$D$269:$D$275),IF(FI68=3,LOOKUP(FK66,Reference!$A$285:$A$291,Reference!$D$285:$D$291),IF(FI68=4,LOOKUP(FK66,Reference!$A$301:$A$307,Reference!$D$301:$D$307),IF(FI68=5,LOOKUP(FK66,Reference!$A$317:$A$323,Reference!$D$317:$D$323),LOOKUP(FK66,Reference!$A$333:$A$339,Reference!$D$333:$D$339))))),IF(FI66="Rural",LOOKUP(FK66,Reference!$A$350:$A$356,Reference!$D$350:$D$356),LOOKUP(FK66,Reference!$A$366:$A$372,Reference!$D$366:$D$372)))</f>
        <v>1.1910000000000001</v>
      </c>
      <c r="FI74" s="17">
        <f>IF(FI70="Signalized",IF(FI68=2,LOOKUP(FK66,Reference!$A$269:$A$275,Reference!$E$269:$E$275),IF(FI68=3,LOOKUP(FK66,Reference!$A$285:$A$291,Reference!$E$285:$E$291),IF(FI68=4,LOOKUP(FK66,Reference!$A$301:$A$307,Reference!$E$301:$E$307),IF(FI68=5,LOOKUP(FK66,Reference!$A$317:$A$323,Reference!$E$317:$E$323),LOOKUP(FK66,Reference!$A$333:$A$339,Reference!$E$333:$E$339))))),IF(FI66="Rural",LOOKUP(FK66,Reference!$A$350:$A$356,Reference!$E$350:$E$356),LOOKUP(FK66,Reference!$A$366:$A$372,Reference!$E$366:$E$372)))</f>
        <v>1E-3</v>
      </c>
      <c r="FJ74" s="17">
        <f>IF(FI70="Signalized",IF(FI68=2,LOOKUP(FK66,Reference!$A$269:$A$275,Reference!$F$269:$F$275),IF(FI68=3,LOOKUP(FK66,Reference!$A$285:$A$291,Reference!$F$285:$F$291),IF(FI68=4,LOOKUP(FK66,Reference!$A$301:$A$307,Reference!$F$301:$F$307),IF(FI68=5,LOOKUP(FK66,Reference!$A$317:$A$323,Reference!$F$317:$F$323),LOOKUP(FK66,Reference!$A$333:$A$339,Reference!$F$333:$F$339))))),IF(FI66="Rural",LOOKUP(FK66,Reference!$A$350:$A$356,Reference!$F$350:$F$356),LOOKUP(FK66,Reference!$A$366:$A$372,Reference!$F$366:$F$372)))</f>
        <v>0.13100000000000001</v>
      </c>
      <c r="FK74" s="14"/>
      <c r="FL74" s="25"/>
      <c r="FM74" s="195" t="s">
        <v>19</v>
      </c>
      <c r="FN74" s="194"/>
      <c r="FO74" s="17">
        <f>IF(FQ70="Signalized",IF(FQ68=2,LOOKUP(FS66,Reference!$A$269:$A$275,Reference!$C$269:$C$275),IF(FQ68=3,LOOKUP(FS66,Reference!$A$285:$A$291,Reference!$C$285:$C$291),IF(FQ68=4,LOOKUP(FS66,Reference!$A$301:$A$307,Reference!$C$301:$C$307),IF(FQ68=5,LOOKUP(FS66,Reference!$A$317:$A$323,Reference!$C$317:$C$323),LOOKUP(FS66,Reference!$A$333:$A$339,Reference!$C$333:$C$339))))),IF(FQ66="Rural",LOOKUP(FS66,Reference!$A$350:$A$356,Reference!$C$350:$C$356),LOOKUP(FS66,Reference!$A$366:$A$372,Reference!$C$366:$C$372)))</f>
        <v>-2.335</v>
      </c>
      <c r="FP74" s="17">
        <f>IF(FQ70="Signalized",IF(FQ68=2,LOOKUP(FS66,Reference!$A$269:$A$275,Reference!$D$269:$D$275),IF(FQ68=3,LOOKUP(FS66,Reference!$A$285:$A$291,Reference!$D$285:$D$291),IF(FQ68=4,LOOKUP(FS66,Reference!$A$301:$A$307,Reference!$D$301:$D$307),IF(FQ68=5,LOOKUP(FS66,Reference!$A$317:$A$323,Reference!$D$317:$D$323),LOOKUP(FS66,Reference!$A$333:$A$339,Reference!$D$333:$D$339))))),IF(FQ66="Rural",LOOKUP(FS66,Reference!$A$350:$A$356,Reference!$D$350:$D$356),LOOKUP(FS66,Reference!$A$366:$A$372,Reference!$D$366:$D$372)))</f>
        <v>1.1910000000000001</v>
      </c>
      <c r="FQ74" s="17">
        <f>IF(FQ70="Signalized",IF(FQ68=2,LOOKUP(FS66,Reference!$A$269:$A$275,Reference!$E$269:$E$275),IF(FQ68=3,LOOKUP(FS66,Reference!$A$285:$A$291,Reference!$E$285:$E$291),IF(FQ68=4,LOOKUP(FS66,Reference!$A$301:$A$307,Reference!$E$301:$E$307),IF(FQ68=5,LOOKUP(FS66,Reference!$A$317:$A$323,Reference!$E$317:$E$323),LOOKUP(FS66,Reference!$A$333:$A$339,Reference!$E$333:$E$339))))),IF(FQ66="Rural",LOOKUP(FS66,Reference!$A$350:$A$356,Reference!$E$350:$E$356),LOOKUP(FS66,Reference!$A$366:$A$372,Reference!$E$366:$E$372)))</f>
        <v>1E-3</v>
      </c>
      <c r="FR74" s="17">
        <f>IF(FQ70="Signalized",IF(FQ68=2,LOOKUP(FS66,Reference!$A$269:$A$275,Reference!$F$269:$F$275),IF(FQ68=3,LOOKUP(FS66,Reference!$A$285:$A$291,Reference!$F$285:$F$291),IF(FQ68=4,LOOKUP(FS66,Reference!$A$301:$A$307,Reference!$F$301:$F$307),IF(FQ68=5,LOOKUP(FS66,Reference!$A$317:$A$323,Reference!$F$317:$F$323),LOOKUP(FS66,Reference!$A$333:$A$339,Reference!$F$333:$F$339))))),IF(FQ66="Rural",LOOKUP(FS66,Reference!$A$350:$A$356,Reference!$F$350:$F$356),LOOKUP(FS66,Reference!$A$366:$A$372,Reference!$F$366:$F$372)))</f>
        <v>0.13100000000000001</v>
      </c>
      <c r="FS74" s="14"/>
      <c r="FT74" s="25"/>
      <c r="FU74" s="195" t="s">
        <v>19</v>
      </c>
      <c r="FV74" s="194"/>
      <c r="FW74" s="17">
        <f>IF(FY70="Signalized",IF(FY68=2,LOOKUP(GA66,Reference!$A$269:$A$275,Reference!$C$269:$C$275),IF(FY68=3,LOOKUP(GA66,Reference!$A$285:$A$291,Reference!$C$285:$C$291),IF(FY68=4,LOOKUP(GA66,Reference!$A$301:$A$307,Reference!$C$301:$C$307),IF(FY68=5,LOOKUP(GA66,Reference!$A$317:$A$323,Reference!$C$317:$C$323),LOOKUP(GA66,Reference!$A$333:$A$339,Reference!$C$333:$C$339))))),IF(FY66="Rural",LOOKUP(GA66,Reference!$A$350:$A$356,Reference!$C$350:$C$356),LOOKUP(GA66,Reference!$A$366:$A$372,Reference!$C$366:$C$372)))</f>
        <v>-2.335</v>
      </c>
      <c r="FX74" s="17">
        <f>IF(FY70="Signalized",IF(FY68=2,LOOKUP(GA66,Reference!$A$269:$A$275,Reference!$D$269:$D$275),IF(FY68=3,LOOKUP(GA66,Reference!$A$285:$A$291,Reference!$D$285:$D$291),IF(FY68=4,LOOKUP(GA66,Reference!$A$301:$A$307,Reference!$D$301:$D$307),IF(FY68=5,LOOKUP(GA66,Reference!$A$317:$A$323,Reference!$D$317:$D$323),LOOKUP(GA66,Reference!$A$333:$A$339,Reference!$D$333:$D$339))))),IF(FY66="Rural",LOOKUP(GA66,Reference!$A$350:$A$356,Reference!$D$350:$D$356),LOOKUP(GA66,Reference!$A$366:$A$372,Reference!$D$366:$D$372)))</f>
        <v>1.1910000000000001</v>
      </c>
      <c r="FY74" s="17">
        <f>IF(FY70="Signalized",IF(FY68=2,LOOKUP(GA66,Reference!$A$269:$A$275,Reference!$E$269:$E$275),IF(FY68=3,LOOKUP(GA66,Reference!$A$285:$A$291,Reference!$E$285:$E$291),IF(FY68=4,LOOKUP(GA66,Reference!$A$301:$A$307,Reference!$E$301:$E$307),IF(FY68=5,LOOKUP(GA66,Reference!$A$317:$A$323,Reference!$E$317:$E$323),LOOKUP(GA66,Reference!$A$333:$A$339,Reference!$E$333:$E$339))))),IF(FY66="Rural",LOOKUP(GA66,Reference!$A$350:$A$356,Reference!$E$350:$E$356),LOOKUP(GA66,Reference!$A$366:$A$372,Reference!$E$366:$E$372)))</f>
        <v>1E-3</v>
      </c>
      <c r="FZ74" s="17">
        <f>IF(FY70="Signalized",IF(FY68=2,LOOKUP(GA66,Reference!$A$269:$A$275,Reference!$F$269:$F$275),IF(FY68=3,LOOKUP(GA66,Reference!$A$285:$A$291,Reference!$F$285:$F$291),IF(FY68=4,LOOKUP(GA66,Reference!$A$301:$A$307,Reference!$F$301:$F$307),IF(FY68=5,LOOKUP(GA66,Reference!$A$317:$A$323,Reference!$F$317:$F$323),LOOKUP(GA66,Reference!$A$333:$A$339,Reference!$F$333:$F$339))))),IF(FY66="Rural",LOOKUP(GA66,Reference!$A$350:$A$356,Reference!$F$350:$F$356),LOOKUP(GA66,Reference!$A$366:$A$372,Reference!$F$366:$F$372)))</f>
        <v>0.13100000000000001</v>
      </c>
      <c r="GA74" s="14"/>
      <c r="GB74" s="25"/>
      <c r="GC74" s="195" t="s">
        <v>5</v>
      </c>
      <c r="GD74" s="194"/>
      <c r="GE74" s="15">
        <f>LOOKUP(GI66,Reference!$A$93:$A$97,Reference!$E$93:$E$97)</f>
        <v>-6.51</v>
      </c>
      <c r="GF74" s="15">
        <f>LOOKUP(GI66,Reference!$A$93:$A$97,Reference!$F$93:$F$97)</f>
        <v>0.64</v>
      </c>
      <c r="GG74" s="14"/>
      <c r="GH74" s="14"/>
      <c r="GI74" s="14"/>
      <c r="GJ74" s="30">
        <f>EXP(GE74+GF74*LN(GD66)+LN(GF66))</f>
        <v>0.21256265434783728</v>
      </c>
      <c r="GK74" s="195" t="s">
        <v>5</v>
      </c>
      <c r="GL74" s="194"/>
      <c r="GM74" s="15">
        <f>LOOKUP(GQ66,Reference!$A$93:$A$97,Reference!$E$93:$E$97)</f>
        <v>-8.5</v>
      </c>
      <c r="GN74" s="15">
        <f>LOOKUP(GQ66,Reference!$A$93:$A$97,Reference!$F$93:$F$97)</f>
        <v>0.84</v>
      </c>
      <c r="GO74" s="14"/>
      <c r="GP74" s="14"/>
      <c r="GQ74" s="14"/>
      <c r="GR74" s="30">
        <f>EXP(GM74+GN74*LN(GL66)+LN(GN66))</f>
        <v>2.4857844353236307</v>
      </c>
      <c r="GS74" s="195" t="s">
        <v>5</v>
      </c>
      <c r="GT74" s="194"/>
      <c r="GU74" s="15">
        <f>LOOKUP(GY66,Reference!$A$93:$A$97,Reference!$E$93:$E$97)</f>
        <v>-6.51</v>
      </c>
      <c r="GV74" s="15">
        <f>LOOKUP(GY66,Reference!$A$93:$A$97,Reference!$F$93:$F$97)</f>
        <v>0.64</v>
      </c>
      <c r="GW74" s="14"/>
      <c r="GX74" s="14"/>
      <c r="GY74" s="14"/>
      <c r="GZ74" s="30">
        <f>EXP(GU74+GV74*LN(GT66)+LN(GV66))</f>
        <v>1.1377292117063484</v>
      </c>
      <c r="HA74" s="195" t="s">
        <v>5</v>
      </c>
      <c r="HB74" s="194"/>
      <c r="HC74" s="15">
        <f>LOOKUP(HG66,Reference!$A$93:$A$97,Reference!$E$93:$E$97)</f>
        <v>-5.83</v>
      </c>
      <c r="HD74" s="15">
        <f>LOOKUP(HG66,Reference!$A$93:$A$97,Reference!$F$93:$F$97)</f>
        <v>0.61</v>
      </c>
      <c r="HE74" s="14"/>
      <c r="HF74" s="14"/>
      <c r="HG74" s="14"/>
      <c r="HH74" s="30">
        <f>EXP(HC74+HD74*LN(HB66)+LN(HD66))</f>
        <v>0.49354404026142223</v>
      </c>
      <c r="HI74" s="195" t="s">
        <v>5</v>
      </c>
      <c r="HJ74" s="194"/>
      <c r="HK74" s="15">
        <f>LOOKUP(HO66,Reference!$A$93:$A$97,Reference!$E$93:$E$97)</f>
        <v>-5.83</v>
      </c>
      <c r="HL74" s="15">
        <f>LOOKUP(HO66,Reference!$A$93:$A$97,Reference!$F$93:$F$97)</f>
        <v>0.61</v>
      </c>
      <c r="HM74" s="14"/>
      <c r="HN74" s="14"/>
      <c r="HO74" s="14"/>
      <c r="HP74" s="30">
        <f>EXP(HK74+HL74*LN(HJ66)+LN(HL66))</f>
        <v>0.38171409342399493</v>
      </c>
    </row>
    <row r="75" spans="1:224" ht="21" x14ac:dyDescent="0.35">
      <c r="A75" s="194" t="s">
        <v>21</v>
      </c>
      <c r="B75" s="194"/>
      <c r="C75" s="44">
        <f>C76+C77</f>
        <v>6.4368620834658206</v>
      </c>
      <c r="D75" s="14"/>
      <c r="E75" s="14"/>
      <c r="F75" s="14"/>
      <c r="G75" s="14"/>
      <c r="H75" s="25"/>
      <c r="I75" s="194" t="s">
        <v>21</v>
      </c>
      <c r="J75" s="194"/>
      <c r="K75" s="44">
        <f>K76+K77</f>
        <v>16.842254448819983</v>
      </c>
      <c r="L75" s="14"/>
      <c r="M75" s="14"/>
      <c r="N75" s="14"/>
      <c r="O75" s="14"/>
      <c r="P75" s="25"/>
      <c r="Q75" s="194" t="s">
        <v>21</v>
      </c>
      <c r="R75" s="194"/>
      <c r="S75" s="44">
        <f>S76+S77</f>
        <v>25.920085199972174</v>
      </c>
      <c r="T75" s="14"/>
      <c r="U75" s="14"/>
      <c r="V75" s="14"/>
      <c r="W75" s="14"/>
      <c r="X75" s="25"/>
      <c r="Y75" s="195" t="s">
        <v>21</v>
      </c>
      <c r="Z75" s="194"/>
      <c r="AA75" s="44">
        <f>AA76+AA77</f>
        <v>3.666090332203884</v>
      </c>
      <c r="AB75" s="14"/>
      <c r="AC75" s="14"/>
      <c r="AD75" s="14"/>
      <c r="AE75" s="14"/>
      <c r="AF75" s="25"/>
      <c r="AG75" s="195" t="s">
        <v>21</v>
      </c>
      <c r="AH75" s="194"/>
      <c r="AI75" s="44">
        <f>AI76+AI77</f>
        <v>11.794933261563475</v>
      </c>
      <c r="AJ75" s="14"/>
      <c r="AK75" s="14"/>
      <c r="AL75" s="14"/>
      <c r="AM75" s="14"/>
      <c r="AN75" s="25"/>
      <c r="AO75" s="195" t="s">
        <v>19</v>
      </c>
      <c r="AP75" s="194"/>
      <c r="AQ75" s="17">
        <f>LOOKUP(AU66,Reference!$A$228:$A$235,Reference!$C$228:$C$235)</f>
        <v>0.59399999999999997</v>
      </c>
      <c r="AR75" s="17">
        <f>LOOKUP(AU66,Reference!$A$228:$A$235,Reference!$D$228:$D$235)</f>
        <v>1.1599999999999999E-2</v>
      </c>
      <c r="AS75" s="21" t="str">
        <f>LOOKUP(AU66,Reference!$A$228:$A$235,Reference!$E$228:$E$235)</f>
        <v>-</v>
      </c>
      <c r="AT75" s="21" t="str">
        <f>LOOKUP(AU66,Reference!$A$228:$A$235,Reference!$F$228:$F$235)</f>
        <v>-</v>
      </c>
      <c r="AU75" s="14"/>
      <c r="AV75" s="25"/>
      <c r="AW75" s="195" t="s">
        <v>19</v>
      </c>
      <c r="AX75" s="194"/>
      <c r="AY75" s="17">
        <f>LOOKUP(BC66,Reference!$A$228:$A$235,Reference!$C$228:$C$235)</f>
        <v>0.59399999999999997</v>
      </c>
      <c r="AZ75" s="17">
        <f>LOOKUP(BC66,Reference!$A$228:$A$235,Reference!$D$228:$D$235)</f>
        <v>3.1800000000000002E-2</v>
      </c>
      <c r="BA75" s="21">
        <f>LOOKUP(BC66,Reference!$A$228:$A$235,Reference!$E$228:$E$235)</f>
        <v>1E-3</v>
      </c>
      <c r="BB75" s="21">
        <f>LOOKUP(BC66,Reference!$A$228:$A$235,Reference!$F$228:$F$235)</f>
        <v>0.19800000000000001</v>
      </c>
      <c r="BC75" s="14"/>
      <c r="BD75" s="25"/>
      <c r="BE75" s="195" t="s">
        <v>19</v>
      </c>
      <c r="BF75" s="194"/>
      <c r="BG75" s="17">
        <f>LOOKUP(BK66,Reference!$A$228:$A$235,Reference!$C$228:$C$235)</f>
        <v>0.59399999999999997</v>
      </c>
      <c r="BH75" s="17">
        <f>LOOKUP(BK66,Reference!$A$228:$A$235,Reference!$D$228:$D$235)</f>
        <v>1.1599999999999999E-2</v>
      </c>
      <c r="BI75" s="21" t="str">
        <f>LOOKUP(BK66,Reference!$A$228:$A$235,Reference!$E$228:$E$235)</f>
        <v>-</v>
      </c>
      <c r="BJ75" s="21" t="str">
        <f>LOOKUP(BK66,Reference!$A$228:$A$235,Reference!$F$228:$F$235)</f>
        <v>-</v>
      </c>
      <c r="BK75" s="14"/>
      <c r="BL75" s="25"/>
      <c r="BM75" s="195" t="s">
        <v>19</v>
      </c>
      <c r="BN75" s="194"/>
      <c r="BO75" s="17">
        <f>LOOKUP(BS66,Reference!$A$228:$A$235,Reference!$C$228:$C$235)</f>
        <v>0.59399999999999997</v>
      </c>
      <c r="BP75" s="17">
        <f>LOOKUP(BS66,Reference!$A$228:$A$235,Reference!$D$228:$D$235)</f>
        <v>3.1800000000000002E-2</v>
      </c>
      <c r="BQ75" s="21">
        <f>LOOKUP(BS66,Reference!$A$228:$A$235,Reference!$E$228:$E$235)</f>
        <v>1E-3</v>
      </c>
      <c r="BR75" s="21">
        <f>LOOKUP(BS66,Reference!$A$228:$A$235,Reference!$F$228:$F$235)</f>
        <v>0.19800000000000001</v>
      </c>
      <c r="BS75" s="14"/>
      <c r="BT75" s="25"/>
      <c r="BU75" s="195" t="s">
        <v>19</v>
      </c>
      <c r="BV75" s="194"/>
      <c r="BW75" s="17">
        <f>LOOKUP(CA66,Reference!$A$228:$A$235,Reference!$C$228:$C$235)</f>
        <v>0.59399999999999997</v>
      </c>
      <c r="BX75" s="17">
        <f>LOOKUP(CA66,Reference!$A$228:$A$235,Reference!$D$228:$D$235)</f>
        <v>1.1599999999999999E-2</v>
      </c>
      <c r="BY75" s="21" t="str">
        <f>LOOKUP(CA66,Reference!$A$228:$A$235,Reference!$E$228:$E$235)</f>
        <v>-</v>
      </c>
      <c r="BZ75" s="21" t="str">
        <f>LOOKUP(CA66,Reference!$A$228:$A$235,Reference!$F$228:$F$235)</f>
        <v>-</v>
      </c>
      <c r="CA75" s="14"/>
      <c r="CB75" s="25"/>
      <c r="CC75" s="195" t="s">
        <v>19</v>
      </c>
      <c r="CD75" s="194"/>
      <c r="CE75" s="17">
        <f>LOOKUP(CI66,Reference!$A$228:$A$235,Reference!$C$228:$C$235)</f>
        <v>0.59399999999999997</v>
      </c>
      <c r="CF75" s="17">
        <f>LOOKUP(CI66,Reference!$A$228:$A$235,Reference!$D$228:$D$235)</f>
        <v>3.1800000000000002E-2</v>
      </c>
      <c r="CG75" s="21">
        <f>LOOKUP(CI66,Reference!$A$228:$A$235,Reference!$E$228:$E$235)</f>
        <v>1E-3</v>
      </c>
      <c r="CH75" s="21">
        <f>LOOKUP(CI66,Reference!$A$228:$A$235,Reference!$F$228:$F$235)</f>
        <v>0.19800000000000001</v>
      </c>
      <c r="CI75" s="14"/>
      <c r="CJ75" s="25"/>
      <c r="CK75" s="195" t="s">
        <v>19</v>
      </c>
      <c r="CL75" s="194"/>
      <c r="CM75" s="17">
        <f>LOOKUP(CQ66,Reference!$A$228:$A$235,Reference!$C$228:$C$235)</f>
        <v>0.59399999999999997</v>
      </c>
      <c r="CN75" s="17">
        <f>LOOKUP(CQ66,Reference!$A$228:$A$235,Reference!$D$228:$D$235)</f>
        <v>1.1599999999999999E-2</v>
      </c>
      <c r="CO75" s="21" t="str">
        <f>LOOKUP(CQ66,Reference!$A$228:$A$235,Reference!$E$228:$E$235)</f>
        <v>-</v>
      </c>
      <c r="CP75" s="21" t="str">
        <f>LOOKUP(CQ66,Reference!$A$228:$A$235,Reference!$F$228:$F$235)</f>
        <v>-</v>
      </c>
      <c r="CQ75" s="14"/>
      <c r="CR75" s="25"/>
      <c r="CS75" s="195" t="s">
        <v>19</v>
      </c>
      <c r="CT75" s="194"/>
      <c r="CU75" s="17">
        <f>LOOKUP(CY66,Reference!$A$228:$A$235,Reference!$C$228:$C$235)</f>
        <v>0.59399999999999997</v>
      </c>
      <c r="CV75" s="17">
        <f>LOOKUP(CY66,Reference!$A$228:$A$235,Reference!$D$228:$D$235)</f>
        <v>3.1800000000000002E-2</v>
      </c>
      <c r="CW75" s="21">
        <f>LOOKUP(CY66,Reference!$A$228:$A$235,Reference!$E$228:$E$235)</f>
        <v>1E-3</v>
      </c>
      <c r="CX75" s="21">
        <f>LOOKUP(CY66,Reference!$A$228:$A$235,Reference!$F$228:$F$235)</f>
        <v>0.19800000000000001</v>
      </c>
      <c r="CY75" s="14"/>
      <c r="CZ75" s="25"/>
      <c r="DA75" s="195" t="s">
        <v>19</v>
      </c>
      <c r="DB75" s="194"/>
      <c r="DC75" s="17">
        <f>LOOKUP(DG66,Reference!$A$228:$A$235,Reference!$C$228:$C$235)</f>
        <v>0.59399999999999997</v>
      </c>
      <c r="DD75" s="17">
        <f>LOOKUP(DG66,Reference!$A$228:$A$235,Reference!$D$228:$D$235)</f>
        <v>1.1599999999999999E-2</v>
      </c>
      <c r="DE75" s="21" t="str">
        <f>LOOKUP(DG66,Reference!$A$228:$A$235,Reference!$E$228:$E$235)</f>
        <v>-</v>
      </c>
      <c r="DF75" s="21" t="str">
        <f>LOOKUP(DG66,Reference!$A$228:$A$235,Reference!$F$228:$F$235)</f>
        <v>-</v>
      </c>
      <c r="DG75" s="14"/>
      <c r="DH75" s="25"/>
      <c r="DI75" s="195" t="s">
        <v>19</v>
      </c>
      <c r="DJ75" s="194"/>
      <c r="DK75" s="17">
        <f>LOOKUP(DO66,Reference!$A$228:$A$235,Reference!$C$228:$C$235)</f>
        <v>0.59399999999999997</v>
      </c>
      <c r="DL75" s="17">
        <f>LOOKUP(DO66,Reference!$A$228:$A$235,Reference!$D$228:$D$235)</f>
        <v>3.1800000000000002E-2</v>
      </c>
      <c r="DM75" s="21">
        <f>LOOKUP(DO66,Reference!$A$228:$A$235,Reference!$E$228:$E$235)</f>
        <v>1E-3</v>
      </c>
      <c r="DN75" s="21">
        <f>LOOKUP(DO66,Reference!$A$228:$A$235,Reference!$F$228:$F$235)</f>
        <v>0.19800000000000001</v>
      </c>
      <c r="DO75" s="14"/>
      <c r="DP75" s="25"/>
      <c r="DQ75" s="195" t="s">
        <v>19</v>
      </c>
      <c r="DR75" s="194"/>
      <c r="DS75" s="17">
        <f>LOOKUP(DW66,Reference!$A$228:$A$235,Reference!$C$228:$C$235)</f>
        <v>0.59399999999999997</v>
      </c>
      <c r="DT75" s="17">
        <f>LOOKUP(DW66,Reference!$A$228:$A$235,Reference!$D$228:$D$235)</f>
        <v>1.1599999999999999E-2</v>
      </c>
      <c r="DU75" s="21" t="str">
        <f>LOOKUP(DW66,Reference!$A$228:$A$235,Reference!$E$228:$E$235)</f>
        <v>-</v>
      </c>
      <c r="DV75" s="21" t="str">
        <f>LOOKUP(DW66,Reference!$A$228:$A$235,Reference!$F$228:$F$235)</f>
        <v>-</v>
      </c>
      <c r="DW75" s="14"/>
      <c r="DX75" s="25"/>
      <c r="DY75" s="195" t="s">
        <v>19</v>
      </c>
      <c r="DZ75" s="194"/>
      <c r="EA75" s="17">
        <f>LOOKUP(EE66,Reference!$A$228:$A$235,Reference!$C$228:$C$235)</f>
        <v>0.59399999999999997</v>
      </c>
      <c r="EB75" s="17">
        <f>LOOKUP(EE66,Reference!$A$228:$A$235,Reference!$D$228:$D$235)</f>
        <v>3.1800000000000002E-2</v>
      </c>
      <c r="EC75" s="21">
        <f>LOOKUP(EE66,Reference!$A$228:$A$235,Reference!$E$228:$E$235)</f>
        <v>1E-3</v>
      </c>
      <c r="ED75" s="21">
        <f>LOOKUP(EE66,Reference!$A$228:$A$235,Reference!$F$228:$F$235)</f>
        <v>0.19800000000000001</v>
      </c>
      <c r="EE75" s="14"/>
      <c r="EF75" s="25"/>
      <c r="EG75" s="195" t="s">
        <v>20</v>
      </c>
      <c r="EH75" s="197"/>
      <c r="EI75" s="17">
        <f>IF(EK70="Signalized",IF(EK68=2,LOOKUP(EM66,Reference!$A$277:$A$283,Reference!$C$277:$C$283),IF(EK68=3,LOOKUP(EM66,Reference!$A$293:$A$299,Reference!$C$293:$C$299),IF(EK68=4,LOOKUP(EM66,Reference!$A$309:$A$315,Reference!$C$309:$C$315),IF(EK68=5,LOOKUP(EM66,Reference!$A$325:$A$331,Reference!$C$325:$C$331),LOOKUP(EM66,Reference!$A$341:$A$347,Reference!$C$341:$C$347))))),IF(EK66="Rural",LOOKUP(EM66,Reference!$A$358:$A$364,Reference!$C$358:$C$364),LOOKUP(EM66,Reference!$A$374:$A$380,Reference!$C$374:$C$380)))</f>
        <v>-2.0720000000000001</v>
      </c>
      <c r="EJ75" s="17">
        <f>IF(EK70="Signalized",IF(EK68=2,LOOKUP(EM66,Reference!$A$277:$A$283,Reference!$D$277:$D$283),IF(EK68=3,LOOKUP(EM66,Reference!$A$293:$A$299,Reference!$D$293:$D$299),IF(EK68=4,LOOKUP(EM66,Reference!$A$309:$A$315,Reference!$D$309:$D$315),IF(EK68=5,LOOKUP(EM66,Reference!$A$325:$A$331,Reference!$D$325:$D$331),LOOKUP(EM66,Reference!$A$341:$A$347,Reference!$D$341:$D$347))))),IF(EK66="Rural",LOOKUP(EM66,Reference!$A$358:$A$364,Reference!$D$358:$D$364),LOOKUP(EM66,Reference!$A$374:$A$380,Reference!$D$374:$D$380)))</f>
        <v>0.879</v>
      </c>
      <c r="EK75" s="17">
        <f>IF(EK70="Signalized",IF(EK68=2,LOOKUP(EM66,Reference!$A$277:$A$283,Reference!$E$277:$E$283),IF(EK68=3,LOOKUP(EM66,Reference!$A$293:$A$299,Reference!$E$293:$E$299),IF(EK68=4,LOOKUP(EM66,Reference!$A$309:$A$315,Reference!$E$309:$E$315),IF(EK68=5,LOOKUP(EM66,Reference!$A$325:$A$331,Reference!$E$325:$E$331),LOOKUP(EM66,Reference!$A$341:$A$347,Reference!$E$341:$E$347))))),IF(EK66="Rural",LOOKUP(EM66,Reference!$A$358:$A$364,Reference!$E$358:$E$364),LOOKUP(EM66,Reference!$A$374:$A$380,Reference!$E$374:$E$380)))</f>
        <v>1E-3</v>
      </c>
      <c r="EL75" s="17">
        <f>IF(EK70="Signalized",IF(EK68=2,LOOKUP(EM66,Reference!$A$277:$A$283,Reference!$F$277:$F$283),IF(EK68=3,LOOKUP(EM66,Reference!$A$293:$A$299,Reference!$F$293:$F$299),IF(EK68=4,LOOKUP(EM66,Reference!$A$309:$A$315,Reference!$F$309:$F$315),IF(EK68=5,LOOKUP(EM66,Reference!$A$325:$A$331,Reference!$F$325:$F$331),LOOKUP(EM66,Reference!$A$341:$A$347,Reference!$F$341:$F$347))))),IF(EK66="Rural",LOOKUP(EM66,Reference!$A$358:$A$364,Reference!$F$358:$F$364),LOOKUP(EM66,Reference!$A$374:$A$380,Reference!$F$374:$F$380)))</f>
        <v>0.54500000000000004</v>
      </c>
      <c r="EM75" s="14"/>
      <c r="EN75" s="25"/>
      <c r="EO75" s="195" t="s">
        <v>20</v>
      </c>
      <c r="EP75" s="197"/>
      <c r="EQ75" s="17">
        <f>IF(ES70="Signalized",IF(ES68=2,LOOKUP(EU66,Reference!$A$277:$A$283,Reference!$C$277:$C$283),IF(ES68=3,LOOKUP(EU66,Reference!$A$293:$A$299,Reference!$C$293:$C$299),IF(ES68=4,LOOKUP(EU66,Reference!$A$309:$A$315,Reference!$C$309:$C$315),IF(ES68=5,LOOKUP(EU66,Reference!$A$325:$A$331,Reference!$C$325:$C$331),LOOKUP(EU66,Reference!$A$341:$A$347,Reference!$C$341:$C$347))))),IF(ES66="Rural",LOOKUP(EU66,Reference!$A$358:$A$364,Reference!$C$358:$C$364),LOOKUP(EU66,Reference!$A$374:$A$380,Reference!$C$374:$C$380)))</f>
        <v>-2.0720000000000001</v>
      </c>
      <c r="ER75" s="17">
        <f>IF(ES70="Signalized",IF(ES68=2,LOOKUP(EU66,Reference!$A$277:$A$283,Reference!$D$277:$D$283),IF(ES68=3,LOOKUP(EU66,Reference!$A$293:$A$299,Reference!$D$293:$D$299),IF(ES68=4,LOOKUP(EU66,Reference!$A$309:$A$315,Reference!$D$309:$D$315),IF(ES68=5,LOOKUP(EU66,Reference!$A$325:$A$331,Reference!$D$325:$D$331),LOOKUP(EU66,Reference!$A$341:$A$347,Reference!$D$341:$D$347))))),IF(ES66="Rural",LOOKUP(EU66,Reference!$A$358:$A$364,Reference!$D$358:$D$364),LOOKUP(EU66,Reference!$A$374:$A$380,Reference!$D$374:$D$380)))</f>
        <v>0.879</v>
      </c>
      <c r="ES75" s="17">
        <f>IF(ES70="Signalized",IF(ES68=2,LOOKUP(EU66,Reference!$A$277:$A$283,Reference!$E$277:$E$283),IF(ES68=3,LOOKUP(EU66,Reference!$A$293:$A$299,Reference!$E$293:$E$299),IF(ES68=4,LOOKUP(EU66,Reference!$A$309:$A$315,Reference!$E$309:$E$315),IF(ES68=5,LOOKUP(EU66,Reference!$A$325:$A$331,Reference!$E$325:$E$331),LOOKUP(EU66,Reference!$A$341:$A$347,Reference!$E$341:$E$347))))),IF(ES66="Rural",LOOKUP(EU66,Reference!$A$358:$A$364,Reference!$E$358:$E$364),LOOKUP(EU66,Reference!$A$374:$A$380,Reference!$E$374:$E$380)))</f>
        <v>1E-3</v>
      </c>
      <c r="ET75" s="17">
        <f>IF(ES70="Signalized",IF(ES68=2,LOOKUP(EU66,Reference!$A$277:$A$283,Reference!$F$277:$F$283),IF(ES68=3,LOOKUP(EU66,Reference!$A$293:$A$299,Reference!$F$293:$F$299),IF(ES68=4,LOOKUP(EU66,Reference!$A$309:$A$315,Reference!$F$309:$F$315),IF(ES68=5,LOOKUP(EU66,Reference!$A$325:$A$331,Reference!$F$325:$F$331),LOOKUP(EU66,Reference!$A$341:$A$347,Reference!$F$341:$F$347))))),IF(ES66="Rural",LOOKUP(EU66,Reference!$A$358:$A$364,Reference!$F$358:$F$364),LOOKUP(EU66,Reference!$A$374:$A$380,Reference!$F$374:$F$380)))</f>
        <v>0.54500000000000004</v>
      </c>
      <c r="EU75" s="14"/>
      <c r="EV75" s="25"/>
      <c r="EW75" s="195" t="s">
        <v>20</v>
      </c>
      <c r="EX75" s="197"/>
      <c r="EY75" s="17">
        <f>IF(FA70="Signalized",IF(FA68=2,LOOKUP(FC66,Reference!$A$277:$A$283,Reference!$C$277:$C$283),IF(FA68=3,LOOKUP(FC66,Reference!$A$293:$A$299,Reference!$C$293:$C$299),IF(FA68=4,LOOKUP(FC66,Reference!$A$309:$A$315,Reference!$C$309:$C$315),IF(FA68=5,LOOKUP(FC66,Reference!$A$325:$A$331,Reference!$C$325:$C$331),LOOKUP(FC66,Reference!$A$341:$A$347,Reference!$C$341:$C$347))))),IF(FA66="Rural",LOOKUP(FC66,Reference!$A$358:$A$364,Reference!$C$358:$C$364),LOOKUP(FC66,Reference!$A$374:$A$380,Reference!$C$374:$C$380)))</f>
        <v>-1.5369999999999999</v>
      </c>
      <c r="EZ75" s="17">
        <f>IF(FA70="Signalized",IF(FA68=2,LOOKUP(FC66,Reference!$A$277:$A$283,Reference!$D$277:$D$283),IF(FA68=3,LOOKUP(FC66,Reference!$A$293:$A$299,Reference!$D$293:$D$299),IF(FA68=4,LOOKUP(FC66,Reference!$A$309:$A$315,Reference!$D$309:$D$315),IF(FA68=5,LOOKUP(FC66,Reference!$A$325:$A$331,Reference!$D$325:$D$331),LOOKUP(FC66,Reference!$A$341:$A$347,Reference!$D$341:$D$347))))),IF(FA66="Rural",LOOKUP(FC66,Reference!$A$358:$A$364,Reference!$D$358:$D$364),LOOKUP(FC66,Reference!$A$374:$A$380,Reference!$D$374:$D$380)))</f>
        <v>0.59199999999999997</v>
      </c>
      <c r="FA75" s="17">
        <f>IF(FA70="Signalized",IF(FA68=2,LOOKUP(FC66,Reference!$A$277:$A$283,Reference!$E$277:$E$283),IF(FA68=3,LOOKUP(FC66,Reference!$A$293:$A$299,Reference!$E$293:$E$299),IF(FA68=4,LOOKUP(FC66,Reference!$A$309:$A$315,Reference!$E$309:$E$315),IF(FA68=5,LOOKUP(FC66,Reference!$A$325:$A$331,Reference!$E$325:$E$331),LOOKUP(FC66,Reference!$A$341:$A$347,Reference!$E$341:$E$347))))),IF(FA66="Rural",LOOKUP(FC66,Reference!$A$358:$A$364,Reference!$E$358:$E$364),LOOKUP(FC66,Reference!$A$374:$A$380,Reference!$E$374:$E$380)))</f>
        <v>1E-3</v>
      </c>
      <c r="FB75" s="17">
        <f>IF(FA70="Signalized",IF(FA68=2,LOOKUP(FC66,Reference!$A$277:$A$283,Reference!$F$277:$F$283),IF(FA68=3,LOOKUP(FC66,Reference!$A$293:$A$299,Reference!$F$293:$F$299),IF(FA68=4,LOOKUP(FC66,Reference!$A$309:$A$315,Reference!$F$309:$F$315),IF(FA68=5,LOOKUP(FC66,Reference!$A$325:$A$331,Reference!$F$325:$F$331),LOOKUP(FC66,Reference!$A$341:$A$347,Reference!$F$341:$F$347))))),IF(FA66="Rural",LOOKUP(FC66,Reference!$A$358:$A$364,Reference!$F$358:$F$364),LOOKUP(FC66,Reference!$A$374:$A$380,Reference!$F$374:$F$380)))</f>
        <v>0.51600000000000001</v>
      </c>
      <c r="FC75" s="14"/>
      <c r="FD75" s="25"/>
      <c r="FE75" s="195" t="s">
        <v>20</v>
      </c>
      <c r="FF75" s="197"/>
      <c r="FG75" s="17">
        <f>IF(FI70="Signalized",IF(FI68=2,LOOKUP(FK66,Reference!$A$277:$A$283,Reference!$C$277:$C$283),IF(FI68=3,LOOKUP(FK66,Reference!$A$293:$A$299,Reference!$C$293:$C$299),IF(FI68=4,LOOKUP(FK66,Reference!$A$309:$A$315,Reference!$C$309:$C$315),IF(FI68=5,LOOKUP(FK66,Reference!$A$325:$A$331,Reference!$C$325:$C$331),LOOKUP(FK66,Reference!$A$341:$A$347,Reference!$C$341:$C$347))))),IF(FI66="Rural",LOOKUP(FK66,Reference!$A$358:$A$364,Reference!$C$358:$C$364),LOOKUP(FK66,Reference!$A$374:$A$380,Reference!$C$374:$C$380)))</f>
        <v>-2.2480000000000002</v>
      </c>
      <c r="FH75" s="17">
        <f>IF(FI70="Signalized",IF(FI68=2,LOOKUP(FK66,Reference!$A$277:$A$283,Reference!$D$277:$D$283),IF(FI68=3,LOOKUP(FK66,Reference!$A$293:$A$299,Reference!$D$293:$D$299),IF(FI68=4,LOOKUP(FK66,Reference!$A$309:$A$315,Reference!$D$309:$D$315),IF(FI68=5,LOOKUP(FK66,Reference!$A$325:$A$331,Reference!$D$325:$D$331),LOOKUP(FK66,Reference!$A$341:$A$347,Reference!$D$341:$D$347))))),IF(FI66="Rural",LOOKUP(FK66,Reference!$A$358:$A$364,Reference!$D$358:$D$364),LOOKUP(FK66,Reference!$A$374:$A$380,Reference!$D$374:$D$380)))</f>
        <v>0.879</v>
      </c>
      <c r="FI75" s="17">
        <f>IF(FI70="Signalized",IF(FI68=2,LOOKUP(FK66,Reference!$A$277:$A$283,Reference!$E$277:$E$283),IF(FI68=3,LOOKUP(FK66,Reference!$A$293:$A$299,Reference!$E$293:$E$299),IF(FI68=4,LOOKUP(FK66,Reference!$A$309:$A$315,Reference!$E$309:$E$315),IF(FI68=5,LOOKUP(FK66,Reference!$A$325:$A$331,Reference!$E$325:$E$331),LOOKUP(FK66,Reference!$A$341:$A$347,Reference!$E$341:$E$347))))),IF(FI66="Rural",LOOKUP(FK66,Reference!$A$358:$A$364,Reference!$E$358:$E$364),LOOKUP(FK66,Reference!$A$374:$A$380,Reference!$E$374:$E$380)))</f>
        <v>1E-3</v>
      </c>
      <c r="FJ75" s="17">
        <f>IF(FI70="Signalized",IF(FI68=2,LOOKUP(FK66,Reference!$A$277:$A$283,Reference!$F$277:$F$283),IF(FI68=3,LOOKUP(FK66,Reference!$A$293:$A$299,Reference!$F$293:$F$299),IF(FI68=4,LOOKUP(FK66,Reference!$A$309:$A$315,Reference!$F$309:$F$315),IF(FI68=5,LOOKUP(FK66,Reference!$A$325:$A$331,Reference!$F$325:$F$331),LOOKUP(FK66,Reference!$A$341:$A$347,Reference!$F$341:$F$347))))),IF(FI66="Rural",LOOKUP(FK66,Reference!$A$358:$A$364,Reference!$F$358:$F$364),LOOKUP(FK66,Reference!$A$374:$A$380,Reference!$F$374:$F$380)))</f>
        <v>0.54500000000000004</v>
      </c>
      <c r="FK75" s="14"/>
      <c r="FL75" s="25"/>
      <c r="FM75" s="195" t="s">
        <v>20</v>
      </c>
      <c r="FN75" s="197"/>
      <c r="FO75" s="17">
        <f>IF(FQ70="Signalized",IF(FQ68=2,LOOKUP(FS66,Reference!$A$277:$A$283,Reference!$C$277:$C$283),IF(FQ68=3,LOOKUP(FS66,Reference!$A$293:$A$299,Reference!$C$293:$C$299),IF(FQ68=4,LOOKUP(FS66,Reference!$A$309:$A$315,Reference!$C$309:$C$315),IF(FQ68=5,LOOKUP(FS66,Reference!$A$325:$A$331,Reference!$C$325:$C$331),LOOKUP(FS66,Reference!$A$341:$A$347,Reference!$C$341:$C$347))))),IF(FQ66="Rural",LOOKUP(FS66,Reference!$A$358:$A$364,Reference!$C$358:$C$364),LOOKUP(FS66,Reference!$A$374:$A$380,Reference!$C$374:$C$380)))</f>
        <v>-2.0720000000000001</v>
      </c>
      <c r="FP75" s="17">
        <f>IF(FQ70="Signalized",IF(FQ68=2,LOOKUP(FS66,Reference!$A$277:$A$283,Reference!$D$277:$D$283),IF(FQ68=3,LOOKUP(FS66,Reference!$A$293:$A$299,Reference!$D$293:$D$299),IF(FQ68=4,LOOKUP(FS66,Reference!$A$309:$A$315,Reference!$D$309:$D$315),IF(FQ68=5,LOOKUP(FS66,Reference!$A$325:$A$331,Reference!$D$325:$D$331),LOOKUP(FS66,Reference!$A$341:$A$347,Reference!$D$341:$D$347))))),IF(FQ66="Rural",LOOKUP(FS66,Reference!$A$358:$A$364,Reference!$D$358:$D$364),LOOKUP(FS66,Reference!$A$374:$A$380,Reference!$D$374:$D$380)))</f>
        <v>0.879</v>
      </c>
      <c r="FQ75" s="17">
        <f>IF(FQ70="Signalized",IF(FQ68=2,LOOKUP(FS66,Reference!$A$277:$A$283,Reference!$E$277:$E$283),IF(FQ68=3,LOOKUP(FS66,Reference!$A$293:$A$299,Reference!$E$293:$E$299),IF(FQ68=4,LOOKUP(FS66,Reference!$A$309:$A$315,Reference!$E$309:$E$315),IF(FQ68=5,LOOKUP(FS66,Reference!$A$325:$A$331,Reference!$E$325:$E$331),LOOKUP(FS66,Reference!$A$341:$A$347,Reference!$E$341:$E$347))))),IF(FQ66="Rural",LOOKUP(FS66,Reference!$A$358:$A$364,Reference!$E$358:$E$364),LOOKUP(FS66,Reference!$A$374:$A$380,Reference!$E$374:$E$380)))</f>
        <v>1E-3</v>
      </c>
      <c r="FR75" s="17">
        <f>IF(FQ70="Signalized",IF(FQ68=2,LOOKUP(FS66,Reference!$A$277:$A$283,Reference!$F$277:$F$283),IF(FQ68=3,LOOKUP(FS66,Reference!$A$293:$A$299,Reference!$F$293:$F$299),IF(FQ68=4,LOOKUP(FS66,Reference!$A$309:$A$315,Reference!$F$309:$F$315),IF(FQ68=5,LOOKUP(FS66,Reference!$A$325:$A$331,Reference!$F$325:$F$331),LOOKUP(FS66,Reference!$A$341:$A$347,Reference!$F$341:$F$347))))),IF(FQ66="Rural",LOOKUP(FS66,Reference!$A$358:$A$364,Reference!$F$358:$F$364),LOOKUP(FS66,Reference!$A$374:$A$380,Reference!$F$374:$F$380)))</f>
        <v>0.54500000000000004</v>
      </c>
      <c r="FS75" s="14"/>
      <c r="FT75" s="25"/>
      <c r="FU75" s="195" t="s">
        <v>20</v>
      </c>
      <c r="FV75" s="197"/>
      <c r="FW75" s="17">
        <f>IF(FY70="Signalized",IF(FY68=2,LOOKUP(GA66,Reference!$A$277:$A$283,Reference!$C$277:$C$283),IF(FY68=3,LOOKUP(GA66,Reference!$A$293:$A$299,Reference!$C$293:$C$299),IF(FY68=4,LOOKUP(GA66,Reference!$A$309:$A$315,Reference!$C$309:$C$315),IF(FY68=5,LOOKUP(GA66,Reference!$A$325:$A$331,Reference!$C$325:$C$331),LOOKUP(GA66,Reference!$A$341:$A$347,Reference!$C$341:$C$347))))),IF(FY66="Rural",LOOKUP(GA66,Reference!$A$358:$A$364,Reference!$C$358:$C$364),LOOKUP(GA66,Reference!$A$374:$A$380,Reference!$C$374:$C$380)))</f>
        <v>-2.0720000000000001</v>
      </c>
      <c r="FX75" s="17">
        <f>IF(FY70="Signalized",IF(FY68=2,LOOKUP(GA66,Reference!$A$277:$A$283,Reference!$D$277:$D$283),IF(FY68=3,LOOKUP(GA66,Reference!$A$293:$A$299,Reference!$D$293:$D$299),IF(FY68=4,LOOKUP(GA66,Reference!$A$309:$A$315,Reference!$D$309:$D$315),IF(FY68=5,LOOKUP(GA66,Reference!$A$325:$A$331,Reference!$D$325:$D$331),LOOKUP(GA66,Reference!$A$341:$A$347,Reference!$D$341:$D$347))))),IF(FY66="Rural",LOOKUP(GA66,Reference!$A$358:$A$364,Reference!$D$358:$D$364),LOOKUP(GA66,Reference!$A$374:$A$380,Reference!$D$374:$D$380)))</f>
        <v>0.879</v>
      </c>
      <c r="FY75" s="17">
        <f>IF(FY70="Signalized",IF(FY68=2,LOOKUP(GA66,Reference!$A$277:$A$283,Reference!$E$277:$E$283),IF(FY68=3,LOOKUP(GA66,Reference!$A$293:$A$299,Reference!$E$293:$E$299),IF(FY68=4,LOOKUP(GA66,Reference!$A$309:$A$315,Reference!$E$309:$E$315),IF(FY68=5,LOOKUP(GA66,Reference!$A$325:$A$331,Reference!$E$325:$E$331),LOOKUP(GA66,Reference!$A$341:$A$347,Reference!$E$341:$E$347))))),IF(FY66="Rural",LOOKUP(GA66,Reference!$A$358:$A$364,Reference!$E$358:$E$364),LOOKUP(GA66,Reference!$A$374:$A$380,Reference!$E$374:$E$380)))</f>
        <v>1E-3</v>
      </c>
      <c r="FZ75" s="17">
        <f>IF(FY70="Signalized",IF(FY68=2,LOOKUP(GA66,Reference!$A$277:$A$283,Reference!$F$277:$F$283),IF(FY68=3,LOOKUP(GA66,Reference!$A$293:$A$299,Reference!$F$293:$F$299),IF(FY68=4,LOOKUP(GA66,Reference!$A$309:$A$315,Reference!$F$309:$F$315),IF(FY68=5,LOOKUP(GA66,Reference!$A$325:$A$331,Reference!$F$325:$F$331),LOOKUP(GA66,Reference!$A$341:$A$347,Reference!$F$341:$F$347))))),IF(FY66="Rural",LOOKUP(GA66,Reference!$A$358:$A$364,Reference!$F$358:$F$364),LOOKUP(GA66,Reference!$A$374:$A$380,Reference!$F$374:$F$380)))</f>
        <v>0.54500000000000004</v>
      </c>
      <c r="GA75" s="14"/>
      <c r="GB75" s="25"/>
      <c r="GC75" s="195" t="s">
        <v>238</v>
      </c>
      <c r="GD75" s="194"/>
      <c r="GE75" s="196" t="s">
        <v>239</v>
      </c>
      <c r="GF75" s="190"/>
      <c r="GG75" s="190"/>
      <c r="GH75" s="190"/>
      <c r="GI75" s="190" t="s">
        <v>240</v>
      </c>
      <c r="GJ75" s="205"/>
      <c r="GK75" s="195" t="s">
        <v>238</v>
      </c>
      <c r="GL75" s="194"/>
      <c r="GM75" s="196" t="s">
        <v>239</v>
      </c>
      <c r="GN75" s="190"/>
      <c r="GO75" s="190"/>
      <c r="GP75" s="190"/>
      <c r="GQ75" s="190" t="s">
        <v>240</v>
      </c>
      <c r="GR75" s="205"/>
      <c r="GS75" s="195" t="s">
        <v>238</v>
      </c>
      <c r="GT75" s="194"/>
      <c r="GU75" s="196" t="s">
        <v>239</v>
      </c>
      <c r="GV75" s="190"/>
      <c r="GW75" s="190"/>
      <c r="GX75" s="190"/>
      <c r="GY75" s="190" t="s">
        <v>240</v>
      </c>
      <c r="GZ75" s="205"/>
      <c r="HA75" s="195" t="s">
        <v>238</v>
      </c>
      <c r="HB75" s="194"/>
      <c r="HC75" s="196" t="s">
        <v>239</v>
      </c>
      <c r="HD75" s="190"/>
      <c r="HE75" s="190"/>
      <c r="HF75" s="190"/>
      <c r="HG75" s="190" t="s">
        <v>240</v>
      </c>
      <c r="HH75" s="205"/>
      <c r="HI75" s="195" t="s">
        <v>238</v>
      </c>
      <c r="HJ75" s="194"/>
      <c r="HK75" s="196" t="s">
        <v>239</v>
      </c>
      <c r="HL75" s="190"/>
      <c r="HM75" s="190"/>
      <c r="HN75" s="190"/>
      <c r="HO75" s="190" t="s">
        <v>240</v>
      </c>
      <c r="HP75" s="205"/>
    </row>
    <row r="76" spans="1:224" ht="18" x14ac:dyDescent="0.35">
      <c r="A76" s="194" t="s">
        <v>1</v>
      </c>
      <c r="B76" s="194"/>
      <c r="C76" s="44">
        <f>H69</f>
        <v>1.9361801691375304</v>
      </c>
      <c r="D76" s="14"/>
      <c r="E76" s="14"/>
      <c r="F76" s="14"/>
      <c r="G76" s="14"/>
      <c r="H76" s="25"/>
      <c r="I76" s="194" t="s">
        <v>1</v>
      </c>
      <c r="J76" s="194"/>
      <c r="K76" s="44">
        <f>P69</f>
        <v>5.9277507940773058</v>
      </c>
      <c r="L76" s="14"/>
      <c r="M76" s="14"/>
      <c r="N76" s="14"/>
      <c r="O76" s="14"/>
      <c r="P76" s="25"/>
      <c r="Q76" s="194" t="s">
        <v>1</v>
      </c>
      <c r="R76" s="194"/>
      <c r="S76" s="44">
        <f>X69</f>
        <v>8.549244107898808</v>
      </c>
      <c r="T76" s="14"/>
      <c r="U76" s="14"/>
      <c r="V76" s="14"/>
      <c r="W76" s="14"/>
      <c r="X76" s="25"/>
      <c r="Y76" s="195" t="s">
        <v>1</v>
      </c>
      <c r="Z76" s="194"/>
      <c r="AA76" s="44">
        <f>AF69</f>
        <v>1.2129308949131254</v>
      </c>
      <c r="AB76" s="14"/>
      <c r="AC76" s="14"/>
      <c r="AD76" s="14"/>
      <c r="AE76" s="14"/>
      <c r="AF76" s="25"/>
      <c r="AG76" s="195" t="s">
        <v>1</v>
      </c>
      <c r="AH76" s="194"/>
      <c r="AI76" s="44">
        <f>AN69</f>
        <v>4.1735788381294041</v>
      </c>
      <c r="AJ76" s="14"/>
      <c r="AK76" s="14"/>
      <c r="AL76" s="14"/>
      <c r="AM76" s="14"/>
      <c r="AN76" s="25"/>
      <c r="AO76" s="195" t="s">
        <v>20</v>
      </c>
      <c r="AP76" s="194"/>
      <c r="AQ76" s="17">
        <f>LOOKUP(AU66,Reference!$A$237:$A$244,Reference!$C$237:$C$244)</f>
        <v>0.82399999999999995</v>
      </c>
      <c r="AR76" s="17">
        <f>LOOKUP(AU66,Reference!$A$237:$A$244,Reference!$D$237:$D$244)</f>
        <v>0</v>
      </c>
      <c r="AS76" s="21" t="str">
        <f>LOOKUP(AU66,Reference!$A$237:$A$244,Reference!$E$237:$E$244)</f>
        <v>-</v>
      </c>
      <c r="AT76" s="21" t="str">
        <f>LOOKUP(AU66,Reference!$A$237:$A$244,Reference!$F$237:$F$244)</f>
        <v>-</v>
      </c>
      <c r="AU76" s="14"/>
      <c r="AV76" s="25"/>
      <c r="AW76" s="195" t="s">
        <v>20</v>
      </c>
      <c r="AX76" s="194"/>
      <c r="AY76" s="17">
        <f>LOOKUP(BC66,Reference!$A$237:$A$244,Reference!$C$237:$C$244)</f>
        <v>0.82399999999999995</v>
      </c>
      <c r="AZ76" s="17">
        <f>LOOKUP(BC66,Reference!$A$237:$A$244,Reference!$D$237:$D$244)</f>
        <v>2.52E-2</v>
      </c>
      <c r="BA76" s="21">
        <f>LOOKUP(BC66,Reference!$A$237:$A$244,Reference!$E$237:$E$244)</f>
        <v>1E-3</v>
      </c>
      <c r="BB76" s="21">
        <f>LOOKUP(BC66,Reference!$A$237:$A$244,Reference!$F$237:$F$244)</f>
        <v>0</v>
      </c>
      <c r="BC76" s="14"/>
      <c r="BD76" s="25"/>
      <c r="BE76" s="195" t="s">
        <v>20</v>
      </c>
      <c r="BF76" s="194"/>
      <c r="BG76" s="17">
        <f>LOOKUP(BK66,Reference!$A$237:$A$244,Reference!$C$237:$C$244)</f>
        <v>0.82399999999999995</v>
      </c>
      <c r="BH76" s="17">
        <f>LOOKUP(BK66,Reference!$A$237:$A$244,Reference!$D$237:$D$244)</f>
        <v>0</v>
      </c>
      <c r="BI76" s="21" t="str">
        <f>LOOKUP(BK66,Reference!$A$237:$A$244,Reference!$E$237:$E$244)</f>
        <v>-</v>
      </c>
      <c r="BJ76" s="21" t="str">
        <f>LOOKUP(BK66,Reference!$A$237:$A$244,Reference!$F$237:$F$244)</f>
        <v>-</v>
      </c>
      <c r="BK76" s="14"/>
      <c r="BL76" s="25"/>
      <c r="BM76" s="195" t="s">
        <v>20</v>
      </c>
      <c r="BN76" s="194"/>
      <c r="BO76" s="17">
        <f>LOOKUP(BS66,Reference!$A$237:$A$244,Reference!$C$237:$C$244)</f>
        <v>0.82399999999999995</v>
      </c>
      <c r="BP76" s="17">
        <f>LOOKUP(BS66,Reference!$A$237:$A$244,Reference!$D$237:$D$244)</f>
        <v>2.52E-2</v>
      </c>
      <c r="BQ76" s="21">
        <f>LOOKUP(BS66,Reference!$A$237:$A$244,Reference!$E$237:$E$244)</f>
        <v>1E-3</v>
      </c>
      <c r="BR76" s="21">
        <f>LOOKUP(BS66,Reference!$A$237:$A$244,Reference!$F$237:$F$244)</f>
        <v>0</v>
      </c>
      <c r="BS76" s="14"/>
      <c r="BT76" s="25"/>
      <c r="BU76" s="195" t="s">
        <v>20</v>
      </c>
      <c r="BV76" s="194"/>
      <c r="BW76" s="17">
        <f>LOOKUP(CA66,Reference!$A$237:$A$244,Reference!$C$237:$C$244)</f>
        <v>0.82399999999999995</v>
      </c>
      <c r="BX76" s="17">
        <f>LOOKUP(CA66,Reference!$A$237:$A$244,Reference!$D$237:$D$244)</f>
        <v>0</v>
      </c>
      <c r="BY76" s="21" t="str">
        <f>LOOKUP(CA66,Reference!$A$237:$A$244,Reference!$E$237:$E$244)</f>
        <v>-</v>
      </c>
      <c r="BZ76" s="21" t="str">
        <f>LOOKUP(CA66,Reference!$A$237:$A$244,Reference!$F$237:$F$244)</f>
        <v>-</v>
      </c>
      <c r="CA76" s="14"/>
      <c r="CB76" s="25"/>
      <c r="CC76" s="195" t="s">
        <v>20</v>
      </c>
      <c r="CD76" s="194"/>
      <c r="CE76" s="17">
        <f>LOOKUP(CI66,Reference!$A$237:$A$244,Reference!$C$237:$C$244)</f>
        <v>0.82399999999999995</v>
      </c>
      <c r="CF76" s="17">
        <f>LOOKUP(CI66,Reference!$A$237:$A$244,Reference!$D$237:$D$244)</f>
        <v>2.52E-2</v>
      </c>
      <c r="CG76" s="21">
        <f>LOOKUP(CI66,Reference!$A$237:$A$244,Reference!$E$237:$E$244)</f>
        <v>1E-3</v>
      </c>
      <c r="CH76" s="21">
        <f>LOOKUP(CI66,Reference!$A$237:$A$244,Reference!$F$237:$F$244)</f>
        <v>0</v>
      </c>
      <c r="CI76" s="14"/>
      <c r="CJ76" s="25"/>
      <c r="CK76" s="195" t="s">
        <v>20</v>
      </c>
      <c r="CL76" s="194"/>
      <c r="CM76" s="17">
        <f>LOOKUP(CQ66,Reference!$A$237:$A$244,Reference!$C$237:$C$244)</f>
        <v>0.82399999999999995</v>
      </c>
      <c r="CN76" s="17">
        <f>LOOKUP(CQ66,Reference!$A$237:$A$244,Reference!$D$237:$D$244)</f>
        <v>0</v>
      </c>
      <c r="CO76" s="21" t="str">
        <f>LOOKUP(CQ66,Reference!$A$237:$A$244,Reference!$E$237:$E$244)</f>
        <v>-</v>
      </c>
      <c r="CP76" s="21" t="str">
        <f>LOOKUP(CQ66,Reference!$A$237:$A$244,Reference!$F$237:$F$244)</f>
        <v>-</v>
      </c>
      <c r="CQ76" s="14"/>
      <c r="CR76" s="25"/>
      <c r="CS76" s="195" t="s">
        <v>20</v>
      </c>
      <c r="CT76" s="194"/>
      <c r="CU76" s="17">
        <f>LOOKUP(CY66,Reference!$A$237:$A$244,Reference!$C$237:$C$244)</f>
        <v>0.82399999999999995</v>
      </c>
      <c r="CV76" s="17">
        <f>LOOKUP(CY66,Reference!$A$237:$A$244,Reference!$D$237:$D$244)</f>
        <v>2.52E-2</v>
      </c>
      <c r="CW76" s="21">
        <f>LOOKUP(CY66,Reference!$A$237:$A$244,Reference!$E$237:$E$244)</f>
        <v>1E-3</v>
      </c>
      <c r="CX76" s="21">
        <f>LOOKUP(CY66,Reference!$A$237:$A$244,Reference!$F$237:$F$244)</f>
        <v>0</v>
      </c>
      <c r="CY76" s="14"/>
      <c r="CZ76" s="25"/>
      <c r="DA76" s="195" t="s">
        <v>20</v>
      </c>
      <c r="DB76" s="194"/>
      <c r="DC76" s="17">
        <f>LOOKUP(DG66,Reference!$A$237:$A$244,Reference!$C$237:$C$244)</f>
        <v>0.82399999999999995</v>
      </c>
      <c r="DD76" s="17">
        <f>LOOKUP(DG66,Reference!$A$237:$A$244,Reference!$D$237:$D$244)</f>
        <v>0</v>
      </c>
      <c r="DE76" s="21" t="str">
        <f>LOOKUP(DG66,Reference!$A$237:$A$244,Reference!$E$237:$E$244)</f>
        <v>-</v>
      </c>
      <c r="DF76" s="21" t="str">
        <f>LOOKUP(DG66,Reference!$A$237:$A$244,Reference!$F$237:$F$244)</f>
        <v>-</v>
      </c>
      <c r="DG76" s="14"/>
      <c r="DH76" s="25"/>
      <c r="DI76" s="195" t="s">
        <v>20</v>
      </c>
      <c r="DJ76" s="194"/>
      <c r="DK76" s="17">
        <f>LOOKUP(DO66,Reference!$A$237:$A$244,Reference!$C$237:$C$244)</f>
        <v>0.82399999999999995</v>
      </c>
      <c r="DL76" s="17">
        <f>LOOKUP(DO66,Reference!$A$237:$A$244,Reference!$D$237:$D$244)</f>
        <v>2.52E-2</v>
      </c>
      <c r="DM76" s="21">
        <f>LOOKUP(DO66,Reference!$A$237:$A$244,Reference!$E$237:$E$244)</f>
        <v>1E-3</v>
      </c>
      <c r="DN76" s="21">
        <f>LOOKUP(DO66,Reference!$A$237:$A$244,Reference!$F$237:$F$244)</f>
        <v>0</v>
      </c>
      <c r="DO76" s="14"/>
      <c r="DP76" s="25"/>
      <c r="DQ76" s="195" t="s">
        <v>20</v>
      </c>
      <c r="DR76" s="194"/>
      <c r="DS76" s="17">
        <f>LOOKUP(DW66,Reference!$A$237:$A$244,Reference!$C$237:$C$244)</f>
        <v>0.82399999999999995</v>
      </c>
      <c r="DT76" s="17">
        <f>LOOKUP(DW66,Reference!$A$237:$A$244,Reference!$D$237:$D$244)</f>
        <v>0</v>
      </c>
      <c r="DU76" s="21" t="str">
        <f>LOOKUP(DW66,Reference!$A$237:$A$244,Reference!$E$237:$E$244)</f>
        <v>-</v>
      </c>
      <c r="DV76" s="21" t="str">
        <f>LOOKUP(DW66,Reference!$A$237:$A$244,Reference!$F$237:$F$244)</f>
        <v>-</v>
      </c>
      <c r="DW76" s="14"/>
      <c r="DX76" s="25"/>
      <c r="DY76" s="195" t="s">
        <v>20</v>
      </c>
      <c r="DZ76" s="194"/>
      <c r="EA76" s="17">
        <f>LOOKUP(EE66,Reference!$A$237:$A$244,Reference!$C$237:$C$244)</f>
        <v>0.82399999999999995</v>
      </c>
      <c r="EB76" s="17">
        <f>LOOKUP(EE66,Reference!$A$237:$A$244,Reference!$D$237:$D$244)</f>
        <v>2.52E-2</v>
      </c>
      <c r="EC76" s="21">
        <f>LOOKUP(EE66,Reference!$A$237:$A$244,Reference!$E$237:$E$244)</f>
        <v>1E-3</v>
      </c>
      <c r="ED76" s="21">
        <f>LOOKUP(EE66,Reference!$A$237:$A$244,Reference!$F$237:$F$244)</f>
        <v>0</v>
      </c>
      <c r="EE76" s="14"/>
      <c r="EF76" s="25"/>
      <c r="EG76" s="24"/>
      <c r="EH76" s="14"/>
      <c r="EI76" s="14"/>
      <c r="EJ76" s="14"/>
      <c r="EK76" s="14"/>
      <c r="EL76" s="14"/>
      <c r="EM76" s="14"/>
      <c r="EN76" s="25"/>
      <c r="EO76" s="24"/>
      <c r="EP76" s="14"/>
      <c r="EQ76" s="14"/>
      <c r="ER76" s="14"/>
      <c r="ES76" s="14"/>
      <c r="ET76" s="14"/>
      <c r="EU76" s="14"/>
      <c r="EV76" s="25"/>
      <c r="EW76" s="24"/>
      <c r="EX76" s="14"/>
      <c r="EY76" s="14"/>
      <c r="EZ76" s="14"/>
      <c r="FA76" s="14"/>
      <c r="FB76" s="14"/>
      <c r="FC76" s="14"/>
      <c r="FD76" s="25"/>
      <c r="FE76" s="24"/>
      <c r="FF76" s="14"/>
      <c r="FG76" s="14"/>
      <c r="FH76" s="14"/>
      <c r="FI76" s="14"/>
      <c r="FJ76" s="14"/>
      <c r="FK76" s="14"/>
      <c r="FL76" s="25"/>
      <c r="FM76" s="24"/>
      <c r="FN76" s="14"/>
      <c r="FO76" s="14"/>
      <c r="FP76" s="14"/>
      <c r="FQ76" s="14"/>
      <c r="FR76" s="14"/>
      <c r="FS76" s="14"/>
      <c r="FT76" s="25"/>
      <c r="FU76" s="24"/>
      <c r="FV76" s="14"/>
      <c r="FW76" s="14"/>
      <c r="FX76" s="14"/>
      <c r="FY76" s="14"/>
      <c r="FZ76" s="14"/>
      <c r="GA76" s="14"/>
      <c r="GB76" s="25"/>
      <c r="GC76" s="24"/>
      <c r="GD76" s="14"/>
      <c r="GE76" s="106" t="s">
        <v>242</v>
      </c>
      <c r="GF76" s="106" t="s">
        <v>243</v>
      </c>
      <c r="GG76" s="14"/>
      <c r="GH76" s="14"/>
      <c r="GI76" s="106" t="s">
        <v>242</v>
      </c>
      <c r="GJ76" s="32" t="s">
        <v>243</v>
      </c>
      <c r="GK76" s="24"/>
      <c r="GL76" s="14"/>
      <c r="GM76" s="106" t="s">
        <v>242</v>
      </c>
      <c r="GN76" s="106" t="s">
        <v>243</v>
      </c>
      <c r="GO76" s="14"/>
      <c r="GP76" s="14"/>
      <c r="GQ76" s="106" t="s">
        <v>242</v>
      </c>
      <c r="GR76" s="32" t="s">
        <v>243</v>
      </c>
      <c r="GS76" s="24"/>
      <c r="GT76" s="14"/>
      <c r="GU76" s="112" t="s">
        <v>242</v>
      </c>
      <c r="GV76" s="112" t="s">
        <v>243</v>
      </c>
      <c r="GW76" s="14"/>
      <c r="GX76" s="14"/>
      <c r="GY76" s="112" t="s">
        <v>242</v>
      </c>
      <c r="GZ76" s="32" t="s">
        <v>243</v>
      </c>
      <c r="HA76" s="24"/>
      <c r="HB76" s="14"/>
      <c r="HC76" s="112" t="s">
        <v>242</v>
      </c>
      <c r="HD76" s="112" t="s">
        <v>243</v>
      </c>
      <c r="HE76" s="14"/>
      <c r="HF76" s="14"/>
      <c r="HG76" s="112" t="s">
        <v>242</v>
      </c>
      <c r="HH76" s="32" t="s">
        <v>243</v>
      </c>
      <c r="HI76" s="24"/>
      <c r="HJ76" s="14"/>
      <c r="HK76" s="112" t="s">
        <v>242</v>
      </c>
      <c r="HL76" s="112" t="s">
        <v>243</v>
      </c>
      <c r="HM76" s="14"/>
      <c r="HN76" s="14"/>
      <c r="HO76" s="112" t="s">
        <v>242</v>
      </c>
      <c r="HP76" s="32" t="s">
        <v>243</v>
      </c>
    </row>
    <row r="77" spans="1:224" x14ac:dyDescent="0.25">
      <c r="A77" s="194" t="s">
        <v>2</v>
      </c>
      <c r="B77" s="194"/>
      <c r="C77" s="44">
        <f>H70</f>
        <v>4.5006819143282906</v>
      </c>
      <c r="D77" s="14"/>
      <c r="E77" s="14"/>
      <c r="F77" s="14"/>
      <c r="G77" s="14"/>
      <c r="H77" s="25"/>
      <c r="I77" s="194" t="s">
        <v>2</v>
      </c>
      <c r="J77" s="194"/>
      <c r="K77" s="44">
        <f>P70</f>
        <v>10.914503654742678</v>
      </c>
      <c r="L77" s="14"/>
      <c r="M77" s="14"/>
      <c r="N77" s="14"/>
      <c r="O77" s="14"/>
      <c r="P77" s="25"/>
      <c r="Q77" s="194" t="s">
        <v>2</v>
      </c>
      <c r="R77" s="194"/>
      <c r="S77" s="44">
        <f>X70</f>
        <v>17.370841092073366</v>
      </c>
      <c r="T77" s="14"/>
      <c r="U77" s="14"/>
      <c r="V77" s="14"/>
      <c r="W77" s="14"/>
      <c r="X77" s="25"/>
      <c r="Y77" s="195" t="s">
        <v>2</v>
      </c>
      <c r="Z77" s="194"/>
      <c r="AA77" s="44">
        <f>AF70</f>
        <v>2.4531594372907586</v>
      </c>
      <c r="AB77" s="14"/>
      <c r="AC77" s="14"/>
      <c r="AD77" s="14"/>
      <c r="AE77" s="14"/>
      <c r="AF77" s="25"/>
      <c r="AG77" s="195" t="s">
        <v>2</v>
      </c>
      <c r="AH77" s="194"/>
      <c r="AI77" s="44">
        <f>AN70</f>
        <v>7.621354423434072</v>
      </c>
      <c r="AJ77" s="14"/>
      <c r="AK77" s="14"/>
      <c r="AL77" s="14"/>
      <c r="AM77" s="14"/>
      <c r="AN77" s="25"/>
      <c r="AO77" s="24"/>
      <c r="AP77" s="14"/>
      <c r="AQ77" s="14"/>
      <c r="AR77" s="14"/>
      <c r="AS77" s="14"/>
      <c r="AT77" s="14"/>
      <c r="AU77" s="14"/>
      <c r="AV77" s="25"/>
      <c r="AW77" s="24"/>
      <c r="AX77" s="14"/>
      <c r="AY77" s="14"/>
      <c r="AZ77" s="14"/>
      <c r="BA77" s="14"/>
      <c r="BB77" s="14"/>
      <c r="BC77" s="14"/>
      <c r="BD77" s="25"/>
      <c r="BE77" s="24"/>
      <c r="BF77" s="14"/>
      <c r="BG77" s="14"/>
      <c r="BH77" s="14"/>
      <c r="BI77" s="14"/>
      <c r="BJ77" s="14"/>
      <c r="BK77" s="14"/>
      <c r="BL77" s="25"/>
      <c r="BM77" s="24"/>
      <c r="BN77" s="14"/>
      <c r="BO77" s="14"/>
      <c r="BP77" s="14"/>
      <c r="BQ77" s="14"/>
      <c r="BR77" s="14"/>
      <c r="BS77" s="14"/>
      <c r="BT77" s="25"/>
      <c r="BU77" s="24"/>
      <c r="BV77" s="14"/>
      <c r="BW77" s="14"/>
      <c r="BX77" s="14"/>
      <c r="BY77" s="14"/>
      <c r="BZ77" s="14"/>
      <c r="CA77" s="14"/>
      <c r="CB77" s="25"/>
      <c r="CC77" s="24"/>
      <c r="CD77" s="14"/>
      <c r="CE77" s="14"/>
      <c r="CF77" s="14"/>
      <c r="CG77" s="14"/>
      <c r="CH77" s="14"/>
      <c r="CI77" s="14"/>
      <c r="CJ77" s="25"/>
      <c r="CK77" s="24"/>
      <c r="CL77" s="14"/>
      <c r="CM77" s="14"/>
      <c r="CN77" s="14"/>
      <c r="CO77" s="14"/>
      <c r="CP77" s="14"/>
      <c r="CQ77" s="14"/>
      <c r="CR77" s="25"/>
      <c r="CS77" s="24"/>
      <c r="CT77" s="14"/>
      <c r="CU77" s="14"/>
      <c r="CV77" s="14"/>
      <c r="CW77" s="14"/>
      <c r="CX77" s="14"/>
      <c r="CY77" s="14"/>
      <c r="CZ77" s="25"/>
      <c r="DA77" s="24"/>
      <c r="DB77" s="14"/>
      <c r="DC77" s="14"/>
      <c r="DD77" s="14"/>
      <c r="DE77" s="14"/>
      <c r="DF77" s="14"/>
      <c r="DG77" s="14"/>
      <c r="DH77" s="25"/>
      <c r="DI77" s="24"/>
      <c r="DJ77" s="14"/>
      <c r="DK77" s="14"/>
      <c r="DL77" s="14"/>
      <c r="DM77" s="14"/>
      <c r="DN77" s="14"/>
      <c r="DO77" s="14"/>
      <c r="DP77" s="25"/>
      <c r="DQ77" s="24"/>
      <c r="DR77" s="14"/>
      <c r="DS77" s="14"/>
      <c r="DT77" s="14"/>
      <c r="DU77" s="14"/>
      <c r="DV77" s="14"/>
      <c r="DW77" s="14"/>
      <c r="DX77" s="25"/>
      <c r="DY77" s="24"/>
      <c r="DZ77" s="14"/>
      <c r="EA77" s="14"/>
      <c r="EB77" s="14"/>
      <c r="EC77" s="14"/>
      <c r="ED77" s="14"/>
      <c r="EE77" s="14"/>
      <c r="EF77" s="25"/>
      <c r="EG77" s="24"/>
      <c r="EH77" s="14"/>
      <c r="EI77" s="14"/>
      <c r="EJ77" s="14"/>
      <c r="EK77" s="14"/>
      <c r="EL77" s="14"/>
      <c r="EM77" s="14"/>
      <c r="EN77" s="25"/>
      <c r="EO77" s="24"/>
      <c r="EP77" s="14"/>
      <c r="EQ77" s="14"/>
      <c r="ER77" s="14"/>
      <c r="ES77" s="14"/>
      <c r="ET77" s="14"/>
      <c r="EU77" s="14"/>
      <c r="EV77" s="25"/>
      <c r="EW77" s="24"/>
      <c r="EX77" s="14"/>
      <c r="EY77" s="14"/>
      <c r="EZ77" s="14"/>
      <c r="FA77" s="14"/>
      <c r="FB77" s="14"/>
      <c r="FC77" s="14"/>
      <c r="FD77" s="25"/>
      <c r="FE77" s="24"/>
      <c r="FF77" s="14"/>
      <c r="FG77" s="14"/>
      <c r="FH77" s="14"/>
      <c r="FI77" s="14"/>
      <c r="FJ77" s="14"/>
      <c r="FK77" s="14"/>
      <c r="FL77" s="25"/>
      <c r="FM77" s="24"/>
      <c r="FN77" s="14"/>
      <c r="FO77" s="14"/>
      <c r="FP77" s="14"/>
      <c r="FQ77" s="14"/>
      <c r="FR77" s="14"/>
      <c r="FS77" s="14"/>
      <c r="FT77" s="25"/>
      <c r="FU77" s="24"/>
      <c r="FV77" s="14"/>
      <c r="FW77" s="14"/>
      <c r="FX77" s="14"/>
      <c r="FY77" s="14"/>
      <c r="FZ77" s="14"/>
      <c r="GA77" s="14"/>
      <c r="GB77" s="25"/>
      <c r="GC77" s="195" t="s">
        <v>226</v>
      </c>
      <c r="GD77" s="194"/>
      <c r="GE77" s="109">
        <v>4</v>
      </c>
      <c r="GF77" s="17">
        <f>LOOKUP(GI66,Reference!$A$101:$A$105,Reference!$C$101:$C$105)</f>
        <v>0.158</v>
      </c>
      <c r="GG77" s="194" t="s">
        <v>227</v>
      </c>
      <c r="GH77" s="194"/>
      <c r="GI77" s="109">
        <v>4</v>
      </c>
      <c r="GJ77" s="80">
        <f>LOOKUP(GI66,Reference!$A$101:$A$105,Reference!$G$101:$G$105)</f>
        <v>8.3000000000000004E-2</v>
      </c>
      <c r="GK77" s="195" t="s">
        <v>226</v>
      </c>
      <c r="GL77" s="194"/>
      <c r="GM77" s="109">
        <v>1</v>
      </c>
      <c r="GN77" s="17">
        <f>LOOKUP(GQ66,Reference!$A$101:$A$105,Reference!$C$101:$C$105)</f>
        <v>0.182</v>
      </c>
      <c r="GO77" s="194" t="s">
        <v>227</v>
      </c>
      <c r="GP77" s="194"/>
      <c r="GQ77" s="109">
        <v>2</v>
      </c>
      <c r="GR77" s="80">
        <f>LOOKUP(GQ66,Reference!$A$101:$A$105,Reference!$G$101:$G$105)</f>
        <v>9.6000000000000002E-2</v>
      </c>
      <c r="GS77" s="195" t="s">
        <v>226</v>
      </c>
      <c r="GT77" s="194"/>
      <c r="GU77" s="118">
        <v>0</v>
      </c>
      <c r="GV77" s="17">
        <f>LOOKUP(GY66,Reference!$A$101:$A$105,Reference!$C$101:$C$105)</f>
        <v>0.158</v>
      </c>
      <c r="GW77" s="194" t="s">
        <v>227</v>
      </c>
      <c r="GX77" s="194"/>
      <c r="GY77" s="118">
        <v>4</v>
      </c>
      <c r="GZ77" s="80">
        <f>LOOKUP(GY66,Reference!$A$101:$A$105,Reference!$G$101:$G$105)</f>
        <v>8.3000000000000004E-2</v>
      </c>
      <c r="HA77" s="195" t="s">
        <v>226</v>
      </c>
      <c r="HB77" s="194"/>
      <c r="HC77" s="118">
        <v>19</v>
      </c>
      <c r="HD77" s="17">
        <f>LOOKUP(HG66,Reference!$A$101:$A$105,Reference!$C$101:$C$105)</f>
        <v>0.16500000000000001</v>
      </c>
      <c r="HE77" s="194" t="s">
        <v>227</v>
      </c>
      <c r="HF77" s="194"/>
      <c r="HG77" s="118">
        <v>0</v>
      </c>
      <c r="HH77" s="80">
        <f>LOOKUP(HG66,Reference!$A$101:$A$105,Reference!$G$101:$G$105)</f>
        <v>8.6999999999999994E-2</v>
      </c>
      <c r="HI77" s="195" t="s">
        <v>226</v>
      </c>
      <c r="HJ77" s="194"/>
      <c r="HK77" s="118">
        <v>15</v>
      </c>
      <c r="HL77" s="17">
        <f>LOOKUP(HO66,Reference!$A$101:$A$105,Reference!$C$101:$C$105)</f>
        <v>0.16500000000000001</v>
      </c>
      <c r="HM77" s="194" t="s">
        <v>227</v>
      </c>
      <c r="HN77" s="194"/>
      <c r="HO77" s="118">
        <v>0</v>
      </c>
      <c r="HP77" s="80">
        <f>LOOKUP(HO66,Reference!$A$101:$A$105,Reference!$G$101:$G$105)</f>
        <v>8.6999999999999994E-2</v>
      </c>
    </row>
    <row r="78" spans="1:224" x14ac:dyDescent="0.25">
      <c r="A78" s="194" t="s">
        <v>3</v>
      </c>
      <c r="B78" s="194"/>
      <c r="C78" s="44">
        <f>C79+C80</f>
        <v>4.3216009869100231</v>
      </c>
      <c r="D78" s="14"/>
      <c r="E78" s="14"/>
      <c r="F78" s="14"/>
      <c r="G78" s="14"/>
      <c r="H78" s="25"/>
      <c r="I78" s="194" t="s">
        <v>3</v>
      </c>
      <c r="J78" s="194"/>
      <c r="K78" s="44">
        <f>K79+K80</f>
        <v>18.983740432968872</v>
      </c>
      <c r="L78" s="14"/>
      <c r="M78" s="14"/>
      <c r="N78" s="14"/>
      <c r="O78" s="14"/>
      <c r="P78" s="25"/>
      <c r="Q78" s="194" t="s">
        <v>3</v>
      </c>
      <c r="R78" s="194"/>
      <c r="S78" s="44">
        <f>S79+S80</f>
        <v>23.495596540967064</v>
      </c>
      <c r="T78" s="14"/>
      <c r="U78" s="14"/>
      <c r="V78" s="14"/>
      <c r="W78" s="14"/>
      <c r="X78" s="25"/>
      <c r="Y78" s="195" t="s">
        <v>3</v>
      </c>
      <c r="Z78" s="194"/>
      <c r="AA78" s="44">
        <f>AA79+AA80</f>
        <v>3.3573801043495646</v>
      </c>
      <c r="AB78" s="14"/>
      <c r="AC78" s="14"/>
      <c r="AD78" s="14"/>
      <c r="AE78" s="14"/>
      <c r="AF78" s="25"/>
      <c r="AG78" s="195" t="s">
        <v>3</v>
      </c>
      <c r="AH78" s="194"/>
      <c r="AI78" s="44">
        <f>AI79+AI80</f>
        <v>15.119003361868121</v>
      </c>
      <c r="AJ78" s="14"/>
      <c r="AK78" s="14"/>
      <c r="AL78" s="14"/>
      <c r="AM78" s="14"/>
      <c r="AN78" s="25"/>
      <c r="AO78" s="24"/>
      <c r="AP78" s="14"/>
      <c r="AQ78" s="14"/>
      <c r="AR78" s="14"/>
      <c r="AS78" s="14"/>
      <c r="AT78" s="14"/>
      <c r="AU78" s="14"/>
      <c r="AV78" s="25"/>
      <c r="AW78" s="24"/>
      <c r="AX78" s="14"/>
      <c r="AY78" s="14"/>
      <c r="AZ78" s="14"/>
      <c r="BA78" s="14"/>
      <c r="BB78" s="14"/>
      <c r="BC78" s="14"/>
      <c r="BD78" s="25"/>
      <c r="BE78" s="24"/>
      <c r="BF78" s="14"/>
      <c r="BG78" s="14"/>
      <c r="BH78" s="14"/>
      <c r="BI78" s="14"/>
      <c r="BJ78" s="14"/>
      <c r="BK78" s="14"/>
      <c r="BL78" s="25"/>
      <c r="BM78" s="24"/>
      <c r="BN78" s="14"/>
      <c r="BO78" s="14"/>
      <c r="BP78" s="14"/>
      <c r="BQ78" s="14"/>
      <c r="BR78" s="14"/>
      <c r="BS78" s="14"/>
      <c r="BT78" s="25"/>
      <c r="BU78" s="24"/>
      <c r="BV78" s="14"/>
      <c r="BW78" s="14"/>
      <c r="BX78" s="14"/>
      <c r="BY78" s="14"/>
      <c r="BZ78" s="14"/>
      <c r="CA78" s="14"/>
      <c r="CB78" s="25"/>
      <c r="CC78" s="24"/>
      <c r="CD78" s="14"/>
      <c r="CE78" s="14"/>
      <c r="CF78" s="14"/>
      <c r="CG78" s="14"/>
      <c r="CH78" s="14"/>
      <c r="CI78" s="14"/>
      <c r="CJ78" s="25"/>
      <c r="CK78" s="24"/>
      <c r="CL78" s="14"/>
      <c r="CM78" s="14"/>
      <c r="CN78" s="14"/>
      <c r="CO78" s="14"/>
      <c r="CP78" s="14"/>
      <c r="CQ78" s="14"/>
      <c r="CR78" s="25"/>
      <c r="CS78" s="24"/>
      <c r="CT78" s="14"/>
      <c r="CU78" s="14"/>
      <c r="CV78" s="14"/>
      <c r="CW78" s="14"/>
      <c r="CX78" s="14"/>
      <c r="CY78" s="14"/>
      <c r="CZ78" s="25"/>
      <c r="DA78" s="24"/>
      <c r="DB78" s="14"/>
      <c r="DC78" s="14"/>
      <c r="DD78" s="14"/>
      <c r="DE78" s="14"/>
      <c r="DF78" s="14"/>
      <c r="DG78" s="14"/>
      <c r="DH78" s="25"/>
      <c r="DI78" s="24"/>
      <c r="DJ78" s="14"/>
      <c r="DK78" s="14"/>
      <c r="DL78" s="14"/>
      <c r="DM78" s="14"/>
      <c r="DN78" s="14"/>
      <c r="DO78" s="14"/>
      <c r="DP78" s="25"/>
      <c r="DQ78" s="24"/>
      <c r="DR78" s="14"/>
      <c r="DS78" s="14"/>
      <c r="DT78" s="14"/>
      <c r="DU78" s="14"/>
      <c r="DV78" s="14"/>
      <c r="DW78" s="14"/>
      <c r="DX78" s="25"/>
      <c r="DY78" s="24"/>
      <c r="DZ78" s="14"/>
      <c r="EA78" s="14"/>
      <c r="EB78" s="14"/>
      <c r="EC78" s="14"/>
      <c r="ED78" s="14"/>
      <c r="EE78" s="14"/>
      <c r="EF78" s="25"/>
      <c r="EG78" s="195" t="s">
        <v>108</v>
      </c>
      <c r="EH78" s="198"/>
      <c r="EI78" s="44">
        <f>SUM(EI79:EI80)</f>
        <v>8.4151214039596844</v>
      </c>
      <c r="EJ78" s="14"/>
      <c r="EK78" s="14"/>
      <c r="EL78" s="14"/>
      <c r="EM78" s="14"/>
      <c r="EN78" s="25"/>
      <c r="EO78" s="195" t="s">
        <v>108</v>
      </c>
      <c r="EP78" s="198"/>
      <c r="EQ78" s="44">
        <f>SUM(EQ79:EQ80)</f>
        <v>20.804921838754371</v>
      </c>
      <c r="ER78" s="14"/>
      <c r="ES78" s="14"/>
      <c r="ET78" s="14"/>
      <c r="EU78" s="14"/>
      <c r="EV78" s="25"/>
      <c r="EW78" s="195" t="s">
        <v>108</v>
      </c>
      <c r="EX78" s="198"/>
      <c r="EY78" s="44">
        <f>SUM(EY79:EY80)</f>
        <v>2.8368923743309646</v>
      </c>
      <c r="EZ78" s="14"/>
      <c r="FA78" s="14"/>
      <c r="FB78" s="14"/>
      <c r="FC78" s="14"/>
      <c r="FD78" s="25"/>
      <c r="FE78" s="195" t="s">
        <v>108</v>
      </c>
      <c r="FF78" s="198"/>
      <c r="FG78" s="44">
        <f>SUM(FG79:FG80)</f>
        <v>2.5113634434571042</v>
      </c>
      <c r="FH78" s="14"/>
      <c r="FI78" s="14"/>
      <c r="FJ78" s="14"/>
      <c r="FK78" s="14"/>
      <c r="FL78" s="25"/>
      <c r="FM78" s="195" t="s">
        <v>108</v>
      </c>
      <c r="FN78" s="198"/>
      <c r="FO78" s="44">
        <f>SUM(FO79:FO80)</f>
        <v>18.405047610039716</v>
      </c>
      <c r="FP78" s="14"/>
      <c r="FQ78" s="14"/>
      <c r="FR78" s="14"/>
      <c r="FS78" s="14"/>
      <c r="FT78" s="25"/>
      <c r="FU78" s="195" t="s">
        <v>108</v>
      </c>
      <c r="FV78" s="198"/>
      <c r="FW78" s="44">
        <f>SUM(FW79:FW80)</f>
        <v>14.922592882495369</v>
      </c>
      <c r="FX78" s="14"/>
      <c r="FY78" s="14"/>
      <c r="FZ78" s="14"/>
      <c r="GA78" s="14"/>
      <c r="GB78" s="25"/>
      <c r="GC78" s="195" t="s">
        <v>228</v>
      </c>
      <c r="GD78" s="194"/>
      <c r="GE78" s="109">
        <v>1</v>
      </c>
      <c r="GF78" s="17">
        <f>LOOKUP(GI66,Reference!$A$101:$A$105,Reference!$D$101:$D$105)</f>
        <v>0.05</v>
      </c>
      <c r="GG78" s="194" t="s">
        <v>229</v>
      </c>
      <c r="GH78" s="194"/>
      <c r="GI78" s="109">
        <v>6</v>
      </c>
      <c r="GJ78" s="80">
        <f>LOOKUP(GI66,Reference!$A$101:$A$105,Reference!$H$101:$H$105)</f>
        <v>1.6E-2</v>
      </c>
      <c r="GK78" s="195" t="s">
        <v>228</v>
      </c>
      <c r="GL78" s="194"/>
      <c r="GM78" s="109">
        <v>0</v>
      </c>
      <c r="GN78" s="17">
        <f>LOOKUP(GQ66,Reference!$A$101:$A$105,Reference!$D$101:$D$105)</f>
        <v>5.8000000000000003E-2</v>
      </c>
      <c r="GO78" s="194" t="s">
        <v>229</v>
      </c>
      <c r="GP78" s="194"/>
      <c r="GQ78" s="109">
        <v>15</v>
      </c>
      <c r="GR78" s="80">
        <f>LOOKUP(GQ66,Reference!$A$101:$A$105,Reference!$H$101:$H$105)</f>
        <v>1.7999999999999999E-2</v>
      </c>
      <c r="GS78" s="195" t="s">
        <v>228</v>
      </c>
      <c r="GT78" s="194"/>
      <c r="GU78" s="118">
        <v>0</v>
      </c>
      <c r="GV78" s="17">
        <f>LOOKUP(GY66,Reference!$A$101:$A$105,Reference!$D$101:$D$105)</f>
        <v>0.05</v>
      </c>
      <c r="GW78" s="194" t="s">
        <v>229</v>
      </c>
      <c r="GX78" s="194"/>
      <c r="GY78" s="118">
        <v>0</v>
      </c>
      <c r="GZ78" s="80">
        <f>LOOKUP(GY66,Reference!$A$101:$A$105,Reference!$H$101:$H$105)</f>
        <v>1.6E-2</v>
      </c>
      <c r="HA78" s="195" t="s">
        <v>228</v>
      </c>
      <c r="HB78" s="194"/>
      <c r="HC78" s="118">
        <v>0</v>
      </c>
      <c r="HD78" s="17">
        <f>LOOKUP(HG66,Reference!$A$101:$A$105,Reference!$D$101:$D$105)</f>
        <v>5.2999999999999999E-2</v>
      </c>
      <c r="HE78" s="194" t="s">
        <v>229</v>
      </c>
      <c r="HF78" s="194"/>
      <c r="HG78" s="118">
        <v>0</v>
      </c>
      <c r="HH78" s="80">
        <f>LOOKUP(HG66,Reference!$A$101:$A$105,Reference!$H$101:$H$105)</f>
        <v>1.6E-2</v>
      </c>
      <c r="HI78" s="195" t="s">
        <v>228</v>
      </c>
      <c r="HJ78" s="194"/>
      <c r="HK78" s="118">
        <v>0</v>
      </c>
      <c r="HL78" s="17">
        <f>LOOKUP(HO66,Reference!$A$101:$A$105,Reference!$D$101:$D$105)</f>
        <v>5.2999999999999999E-2</v>
      </c>
      <c r="HM78" s="194" t="s">
        <v>229</v>
      </c>
      <c r="HN78" s="194"/>
      <c r="HO78" s="118">
        <v>0</v>
      </c>
      <c r="HP78" s="80">
        <f>LOOKUP(HO66,Reference!$A$101:$A$105,Reference!$H$101:$H$105)</f>
        <v>1.6E-2</v>
      </c>
    </row>
    <row r="79" spans="1:224" x14ac:dyDescent="0.25">
      <c r="A79" s="194" t="s">
        <v>4</v>
      </c>
      <c r="B79" s="194"/>
      <c r="C79" s="44">
        <f>H71</f>
        <v>1.2931480004516926</v>
      </c>
      <c r="D79" s="14"/>
      <c r="E79" s="14"/>
      <c r="F79" s="14"/>
      <c r="G79" s="14"/>
      <c r="H79" s="25"/>
      <c r="I79" s="194" t="s">
        <v>4</v>
      </c>
      <c r="J79" s="194"/>
      <c r="K79" s="44">
        <f>P71</f>
        <v>6.1724087485264194</v>
      </c>
      <c r="L79" s="14"/>
      <c r="M79" s="14"/>
      <c r="N79" s="14"/>
      <c r="O79" s="14"/>
      <c r="P79" s="25"/>
      <c r="Q79" s="194" t="s">
        <v>4</v>
      </c>
      <c r="R79" s="194"/>
      <c r="S79" s="44">
        <f>X71</f>
        <v>7.3787190583895841</v>
      </c>
      <c r="T79" s="14"/>
      <c r="U79" s="14"/>
      <c r="V79" s="14"/>
      <c r="W79" s="14"/>
      <c r="X79" s="25"/>
      <c r="Y79" s="195" t="s">
        <v>4</v>
      </c>
      <c r="Z79" s="194"/>
      <c r="AA79" s="44">
        <f>AF71</f>
        <v>1.0561038582022935</v>
      </c>
      <c r="AB79" s="14"/>
      <c r="AC79" s="14"/>
      <c r="AD79" s="14"/>
      <c r="AE79" s="14"/>
      <c r="AF79" s="25"/>
      <c r="AG79" s="195" t="s">
        <v>4</v>
      </c>
      <c r="AH79" s="194"/>
      <c r="AI79" s="44">
        <f>AN71</f>
        <v>4.8131390095601629</v>
      </c>
      <c r="AJ79" s="14"/>
      <c r="AK79" s="14"/>
      <c r="AL79" s="14"/>
      <c r="AM79" s="14"/>
      <c r="AN79" s="25"/>
      <c r="AO79" s="24"/>
      <c r="AP79" s="14"/>
      <c r="AQ79" s="14"/>
      <c r="AR79" s="14"/>
      <c r="AS79" s="14"/>
      <c r="AT79" s="14"/>
      <c r="AU79" s="14"/>
      <c r="AV79" s="25"/>
      <c r="AW79" s="24"/>
      <c r="AX79" s="14"/>
      <c r="AY79" s="14"/>
      <c r="AZ79" s="14"/>
      <c r="BA79" s="14"/>
      <c r="BB79" s="14"/>
      <c r="BC79" s="14"/>
      <c r="BD79" s="25"/>
      <c r="BE79" s="24"/>
      <c r="BF79" s="14"/>
      <c r="BG79" s="14"/>
      <c r="BH79" s="14"/>
      <c r="BI79" s="14"/>
      <c r="BJ79" s="14"/>
      <c r="BK79" s="14"/>
      <c r="BL79" s="25"/>
      <c r="BM79" s="24"/>
      <c r="BN79" s="14"/>
      <c r="BO79" s="14"/>
      <c r="BP79" s="14"/>
      <c r="BQ79" s="14"/>
      <c r="BR79" s="14"/>
      <c r="BS79" s="14"/>
      <c r="BT79" s="25"/>
      <c r="BU79" s="24"/>
      <c r="BV79" s="14"/>
      <c r="BW79" s="14"/>
      <c r="BX79" s="14"/>
      <c r="BY79" s="14"/>
      <c r="BZ79" s="14"/>
      <c r="CA79" s="14"/>
      <c r="CB79" s="25"/>
      <c r="CC79" s="24"/>
      <c r="CD79" s="14"/>
      <c r="CE79" s="14"/>
      <c r="CF79" s="14"/>
      <c r="CG79" s="14"/>
      <c r="CH79" s="14"/>
      <c r="CI79" s="14"/>
      <c r="CJ79" s="25"/>
      <c r="CK79" s="24"/>
      <c r="CL79" s="14"/>
      <c r="CM79" s="14"/>
      <c r="CN79" s="14"/>
      <c r="CO79" s="14"/>
      <c r="CP79" s="14"/>
      <c r="CQ79" s="14"/>
      <c r="CR79" s="25"/>
      <c r="CS79" s="24"/>
      <c r="CT79" s="14"/>
      <c r="CU79" s="14"/>
      <c r="CV79" s="14"/>
      <c r="CW79" s="14"/>
      <c r="CX79" s="14"/>
      <c r="CY79" s="14"/>
      <c r="CZ79" s="25"/>
      <c r="DA79" s="24"/>
      <c r="DB79" s="14"/>
      <c r="DC79" s="14"/>
      <c r="DD79" s="14"/>
      <c r="DE79" s="14"/>
      <c r="DF79" s="14"/>
      <c r="DG79" s="14"/>
      <c r="DH79" s="25"/>
      <c r="DI79" s="24"/>
      <c r="DJ79" s="14"/>
      <c r="DK79" s="14"/>
      <c r="DL79" s="14"/>
      <c r="DM79" s="14"/>
      <c r="DN79" s="14"/>
      <c r="DO79" s="14"/>
      <c r="DP79" s="25"/>
      <c r="DQ79" s="24"/>
      <c r="DR79" s="14"/>
      <c r="DS79" s="14"/>
      <c r="DT79" s="14"/>
      <c r="DU79" s="14"/>
      <c r="DV79" s="14"/>
      <c r="DW79" s="14"/>
      <c r="DX79" s="25"/>
      <c r="DY79" s="24"/>
      <c r="DZ79" s="14"/>
      <c r="EA79" s="14"/>
      <c r="EB79" s="14"/>
      <c r="EC79" s="14"/>
      <c r="ED79" s="14"/>
      <c r="EE79" s="14"/>
      <c r="EF79" s="25"/>
      <c r="EG79" s="195" t="s">
        <v>109</v>
      </c>
      <c r="EH79" s="198"/>
      <c r="EI79" s="44">
        <f>EXP(EI74+EJ74*LN(EK74*EH66)+EL74*LN(EK74*SUM(EH67:EH68)))</f>
        <v>3.3888008195609229</v>
      </c>
      <c r="EJ79" s="14"/>
      <c r="EK79" s="14"/>
      <c r="EL79" s="14"/>
      <c r="EM79" s="14"/>
      <c r="EN79" s="25"/>
      <c r="EO79" s="195" t="s">
        <v>109</v>
      </c>
      <c r="EP79" s="198"/>
      <c r="EQ79" s="44">
        <f>EXP(EQ74+ER74*LN(ES74*EP66)+ET74*LN(ES74*SUM(EP67:EP68)))</f>
        <v>8.7160757862283944</v>
      </c>
      <c r="ER79" s="14"/>
      <c r="ES79" s="14"/>
      <c r="ET79" s="14"/>
      <c r="EU79" s="14"/>
      <c r="EV79" s="25"/>
      <c r="EW79" s="195" t="s">
        <v>109</v>
      </c>
      <c r="EX79" s="198"/>
      <c r="EY79" s="44">
        <f>EXP(EY74+EZ74*LN(FA74*EX66)+FB74*LN(FA74*SUM(EX67:EX68)))</f>
        <v>1.3794293208539117</v>
      </c>
      <c r="EZ79" s="14"/>
      <c r="FA79" s="14"/>
      <c r="FB79" s="14"/>
      <c r="FC79" s="14"/>
      <c r="FD79" s="25"/>
      <c r="FE79" s="195" t="s">
        <v>109</v>
      </c>
      <c r="FF79" s="198"/>
      <c r="FG79" s="44">
        <f>EXP(FG74+FH74*LN(FI74*FF66)+FJ74*LN(FI74*SUM(FF67:FF68)))</f>
        <v>0.63599636055739606</v>
      </c>
      <c r="FH79" s="14"/>
      <c r="FI79" s="14"/>
      <c r="FJ79" s="14"/>
      <c r="FK79" s="14"/>
      <c r="FL79" s="25"/>
      <c r="FM79" s="195" t="s">
        <v>109</v>
      </c>
      <c r="FN79" s="198"/>
      <c r="FO79" s="44">
        <f>EXP(FO74+FP74*LN(FQ74*FN66)+FR74*LN(FQ74*SUM(FN67:FN68)))</f>
        <v>7.6938949334894025</v>
      </c>
      <c r="FP79" s="14"/>
      <c r="FQ79" s="14"/>
      <c r="FR79" s="14"/>
      <c r="FS79" s="14"/>
      <c r="FT79" s="25"/>
      <c r="FU79" s="195" t="s">
        <v>109</v>
      </c>
      <c r="FV79" s="198"/>
      <c r="FW79" s="44">
        <f>EXP(FW74+FX74*LN(FY74*FV66)+FZ74*LN(FY74*SUM(FV67:FV68)))</f>
        <v>6.0035164355535553</v>
      </c>
      <c r="FX79" s="14"/>
      <c r="FY79" s="14"/>
      <c r="FZ79" s="14"/>
      <c r="GA79" s="14"/>
      <c r="GB79" s="25"/>
      <c r="GC79" s="195" t="s">
        <v>343</v>
      </c>
      <c r="GD79" s="194"/>
      <c r="GE79" s="109">
        <v>0</v>
      </c>
      <c r="GF79" s="17">
        <f>LOOKUP(GI66,Reference!$A$101:$A$105,Reference!$E$101:$E$105)</f>
        <v>0.17199999999999999</v>
      </c>
      <c r="GG79" s="194" t="s">
        <v>237</v>
      </c>
      <c r="GH79" s="194"/>
      <c r="GI79" s="109">
        <v>0</v>
      </c>
      <c r="GJ79" s="80">
        <f>LOOKUP(GI66,Reference!$A$101:$A$105,Reference!$I$101:$I$105)</f>
        <v>2.5000000000000001E-2</v>
      </c>
      <c r="GK79" s="195" t="s">
        <v>343</v>
      </c>
      <c r="GL79" s="194"/>
      <c r="GM79" s="109">
        <v>1</v>
      </c>
      <c r="GN79" s="17">
        <f>LOOKUP(GQ66,Reference!$A$101:$A$105,Reference!$E$101:$E$105)</f>
        <v>0.19800000000000001</v>
      </c>
      <c r="GO79" s="194" t="s">
        <v>237</v>
      </c>
      <c r="GP79" s="194"/>
      <c r="GQ79" s="109">
        <v>0</v>
      </c>
      <c r="GR79" s="80">
        <f>LOOKUP(GQ66,Reference!$A$101:$A$105,Reference!$I$101:$I$105)</f>
        <v>2.9000000000000001E-2</v>
      </c>
      <c r="GS79" s="195" t="s">
        <v>343</v>
      </c>
      <c r="GT79" s="194"/>
      <c r="GU79" s="118">
        <v>0</v>
      </c>
      <c r="GV79" s="17">
        <f>LOOKUP(GY66,Reference!$A$101:$A$105,Reference!$E$101:$E$105)</f>
        <v>0.17199999999999999</v>
      </c>
      <c r="GW79" s="194" t="s">
        <v>237</v>
      </c>
      <c r="GX79" s="194"/>
      <c r="GY79" s="118">
        <v>0</v>
      </c>
      <c r="GZ79" s="80">
        <f>LOOKUP(GY66,Reference!$A$101:$A$105,Reference!$I$101:$I$105)</f>
        <v>2.5000000000000001E-2</v>
      </c>
      <c r="HA79" s="195" t="s">
        <v>343</v>
      </c>
      <c r="HB79" s="194"/>
      <c r="HC79" s="118">
        <v>7</v>
      </c>
      <c r="HD79" s="17">
        <f>LOOKUP(HG66,Reference!$A$101:$A$105,Reference!$E$101:$E$105)</f>
        <v>0.18099999999999999</v>
      </c>
      <c r="HE79" s="194" t="s">
        <v>237</v>
      </c>
      <c r="HF79" s="194"/>
      <c r="HG79" s="118">
        <v>0</v>
      </c>
      <c r="HH79" s="80">
        <f>LOOKUP(HG66,Reference!$A$101:$A$105,Reference!$I$101:$I$105)</f>
        <v>2.7E-2</v>
      </c>
      <c r="HI79" s="195" t="s">
        <v>343</v>
      </c>
      <c r="HJ79" s="194"/>
      <c r="HK79" s="118">
        <v>1</v>
      </c>
      <c r="HL79" s="17">
        <f>LOOKUP(HO66,Reference!$A$101:$A$105,Reference!$E$101:$E$105)</f>
        <v>0.18099999999999999</v>
      </c>
      <c r="HM79" s="194" t="s">
        <v>237</v>
      </c>
      <c r="HN79" s="194"/>
      <c r="HO79" s="118">
        <v>0</v>
      </c>
      <c r="HP79" s="80">
        <f>LOOKUP(HO66,Reference!$A$101:$A$105,Reference!$I$101:$I$105)</f>
        <v>2.7E-2</v>
      </c>
    </row>
    <row r="80" spans="1:224" x14ac:dyDescent="0.25">
      <c r="A80" s="194" t="s">
        <v>5</v>
      </c>
      <c r="B80" s="194"/>
      <c r="C80" s="44">
        <f>H72</f>
        <v>3.0284529864583303</v>
      </c>
      <c r="D80" s="14"/>
      <c r="E80" s="14"/>
      <c r="F80" s="14"/>
      <c r="G80" s="14"/>
      <c r="H80" s="25"/>
      <c r="I80" s="194" t="s">
        <v>5</v>
      </c>
      <c r="J80" s="194"/>
      <c r="K80" s="44">
        <f>P72</f>
        <v>12.811331684442454</v>
      </c>
      <c r="L80" s="14"/>
      <c r="M80" s="14"/>
      <c r="N80" s="14"/>
      <c r="O80" s="14"/>
      <c r="P80" s="25"/>
      <c r="Q80" s="194" t="s">
        <v>5</v>
      </c>
      <c r="R80" s="194"/>
      <c r="S80" s="44">
        <f>X72</f>
        <v>16.116877482577479</v>
      </c>
      <c r="T80" s="14"/>
      <c r="U80" s="14"/>
      <c r="V80" s="14"/>
      <c r="W80" s="14"/>
      <c r="X80" s="25"/>
      <c r="Y80" s="195" t="s">
        <v>5</v>
      </c>
      <c r="Z80" s="194"/>
      <c r="AA80" s="44">
        <f>AF72</f>
        <v>2.3012762461472711</v>
      </c>
      <c r="AB80" s="14"/>
      <c r="AC80" s="14"/>
      <c r="AD80" s="14"/>
      <c r="AE80" s="14"/>
      <c r="AF80" s="25"/>
      <c r="AG80" s="195" t="s">
        <v>5</v>
      </c>
      <c r="AH80" s="194"/>
      <c r="AI80" s="44">
        <f>AN72</f>
        <v>10.305864352307957</v>
      </c>
      <c r="AJ80" s="14"/>
      <c r="AK80" s="14"/>
      <c r="AL80" s="14"/>
      <c r="AM80" s="14"/>
      <c r="AN80" s="25"/>
      <c r="AO80" s="24"/>
      <c r="AP80" s="14"/>
      <c r="AQ80" s="14"/>
      <c r="AR80" s="14"/>
      <c r="AS80" s="14"/>
      <c r="AT80" s="14"/>
      <c r="AU80" s="14"/>
      <c r="AV80" s="25"/>
      <c r="AW80" s="24"/>
      <c r="AX80" s="14"/>
      <c r="AY80" s="14"/>
      <c r="AZ80" s="14"/>
      <c r="BA80" s="14"/>
      <c r="BB80" s="14"/>
      <c r="BC80" s="14"/>
      <c r="BD80" s="25"/>
      <c r="BE80" s="24"/>
      <c r="BF80" s="14"/>
      <c r="BG80" s="14"/>
      <c r="BH80" s="14"/>
      <c r="BI80" s="14"/>
      <c r="BJ80" s="14"/>
      <c r="BK80" s="14"/>
      <c r="BL80" s="25"/>
      <c r="BM80" s="24"/>
      <c r="BN80" s="14"/>
      <c r="BO80" s="14"/>
      <c r="BP80" s="14"/>
      <c r="BQ80" s="14"/>
      <c r="BR80" s="14"/>
      <c r="BS80" s="14"/>
      <c r="BT80" s="25"/>
      <c r="BU80" s="24"/>
      <c r="BV80" s="14"/>
      <c r="BW80" s="14"/>
      <c r="BX80" s="14"/>
      <c r="BY80" s="14"/>
      <c r="BZ80" s="14"/>
      <c r="CA80" s="14"/>
      <c r="CB80" s="25"/>
      <c r="CC80" s="24"/>
      <c r="CD80" s="14"/>
      <c r="CE80" s="14"/>
      <c r="CF80" s="14"/>
      <c r="CG80" s="14"/>
      <c r="CH80" s="14"/>
      <c r="CI80" s="14"/>
      <c r="CJ80" s="25"/>
      <c r="CK80" s="24"/>
      <c r="CL80" s="14"/>
      <c r="CM80" s="14"/>
      <c r="CN80" s="14"/>
      <c r="CO80" s="14"/>
      <c r="CP80" s="14"/>
      <c r="CQ80" s="14"/>
      <c r="CR80" s="25"/>
      <c r="CS80" s="24"/>
      <c r="CT80" s="14"/>
      <c r="CU80" s="14"/>
      <c r="CV80" s="14"/>
      <c r="CW80" s="14"/>
      <c r="CX80" s="14"/>
      <c r="CY80" s="14"/>
      <c r="CZ80" s="25"/>
      <c r="DA80" s="24"/>
      <c r="DB80" s="14"/>
      <c r="DC80" s="14"/>
      <c r="DD80" s="14"/>
      <c r="DE80" s="14"/>
      <c r="DF80" s="14"/>
      <c r="DG80" s="14"/>
      <c r="DH80" s="25"/>
      <c r="DI80" s="24"/>
      <c r="DJ80" s="14"/>
      <c r="DK80" s="14"/>
      <c r="DL80" s="14"/>
      <c r="DM80" s="14"/>
      <c r="DN80" s="14"/>
      <c r="DO80" s="14"/>
      <c r="DP80" s="25"/>
      <c r="DQ80" s="24"/>
      <c r="DR80" s="14"/>
      <c r="DS80" s="14"/>
      <c r="DT80" s="14"/>
      <c r="DU80" s="14"/>
      <c r="DV80" s="14"/>
      <c r="DW80" s="14"/>
      <c r="DX80" s="25"/>
      <c r="DY80" s="24"/>
      <c r="DZ80" s="14"/>
      <c r="EA80" s="14"/>
      <c r="EB80" s="14"/>
      <c r="EC80" s="14"/>
      <c r="ED80" s="14"/>
      <c r="EE80" s="14"/>
      <c r="EF80" s="25"/>
      <c r="EG80" s="195" t="s">
        <v>110</v>
      </c>
      <c r="EH80" s="198"/>
      <c r="EI80" s="44">
        <f>EXP(EI75+EJ75*LN(EK75*EH66)+EL75*LN(EK75*SUM(EH67:EH68)))</f>
        <v>5.0263205843987624</v>
      </c>
      <c r="EJ80" s="14"/>
      <c r="EK80" s="14"/>
      <c r="EL80" s="14"/>
      <c r="EM80" s="14"/>
      <c r="EN80" s="25"/>
      <c r="EO80" s="195" t="s">
        <v>110</v>
      </c>
      <c r="EP80" s="198"/>
      <c r="EQ80" s="44">
        <f>EXP(EQ75+ER75*LN(ES75*EP66)+ET75*LN(ES75*SUM(EP67:EP68)))</f>
        <v>12.088846052525977</v>
      </c>
      <c r="ER80" s="14"/>
      <c r="ES80" s="14"/>
      <c r="ET80" s="14"/>
      <c r="EU80" s="14"/>
      <c r="EV80" s="25"/>
      <c r="EW80" s="195" t="s">
        <v>110</v>
      </c>
      <c r="EX80" s="198"/>
      <c r="EY80" s="44">
        <f>EXP(EY75+EZ75*LN(FA75*EX66)+FB75*LN(FA75*SUM(EX67:EX68)))</f>
        <v>1.457463053477053</v>
      </c>
      <c r="EZ80" s="14"/>
      <c r="FA80" s="14"/>
      <c r="FB80" s="14"/>
      <c r="FC80" s="14"/>
      <c r="FD80" s="25"/>
      <c r="FE80" s="195" t="s">
        <v>110</v>
      </c>
      <c r="FF80" s="198"/>
      <c r="FG80" s="44">
        <f>EXP(FG75+FH75*LN(FI75*FF66)+FJ75*LN(FI75*SUM(FF67:FF68)))</f>
        <v>1.8753670828997082</v>
      </c>
      <c r="FH80" s="14"/>
      <c r="FI80" s="14"/>
      <c r="FJ80" s="14"/>
      <c r="FK80" s="14"/>
      <c r="FL80" s="25"/>
      <c r="FM80" s="195" t="s">
        <v>110</v>
      </c>
      <c r="FN80" s="198"/>
      <c r="FO80" s="44">
        <f>EXP(FO75+FP75*LN(FQ75*FN66)+FR75*LN(FQ75*SUM(FN67:FN68)))</f>
        <v>10.711152676550315</v>
      </c>
      <c r="FP80" s="14"/>
      <c r="FQ80" s="14"/>
      <c r="FR80" s="14"/>
      <c r="FS80" s="14"/>
      <c r="FT80" s="25"/>
      <c r="FU80" s="195" t="s">
        <v>110</v>
      </c>
      <c r="FV80" s="198"/>
      <c r="FW80" s="44">
        <f>EXP(FW75+FX75*LN(FY75*FV66)+FZ75*LN(FY75*SUM(FV67:FV68)))</f>
        <v>8.9190764469418138</v>
      </c>
      <c r="FX80" s="14"/>
      <c r="FY80" s="14"/>
      <c r="FZ80" s="14"/>
      <c r="GA80" s="14"/>
      <c r="GB80" s="25"/>
      <c r="GC80" s="195" t="s">
        <v>344</v>
      </c>
      <c r="GD80" s="194"/>
      <c r="GE80" s="109">
        <v>0</v>
      </c>
      <c r="GF80" s="17">
        <f>LOOKUP(GI66,Reference!$A$101:$A$105,Reference!$F$101:$F$105)</f>
        <v>2.3E-2</v>
      </c>
      <c r="GG80" s="194" t="s">
        <v>241</v>
      </c>
      <c r="GH80" s="194"/>
      <c r="GI80" s="14"/>
      <c r="GJ80" s="80">
        <f>LOOKUP(GI66,Reference!$A$101:$A$105,Reference!$J$101:$J$105)</f>
        <v>1</v>
      </c>
      <c r="GK80" s="195" t="s">
        <v>344</v>
      </c>
      <c r="GL80" s="194"/>
      <c r="GM80" s="109">
        <v>4</v>
      </c>
      <c r="GN80" s="17">
        <f>LOOKUP(GQ66,Reference!$A$101:$A$105,Reference!$F$101:$F$105)</f>
        <v>2.5999999999999999E-2</v>
      </c>
      <c r="GO80" s="194" t="s">
        <v>241</v>
      </c>
      <c r="GP80" s="194"/>
      <c r="GQ80" s="14"/>
      <c r="GR80" s="80">
        <f>LOOKUP(GQ66,Reference!$A$101:$A$105,Reference!$J$101:$J$105)</f>
        <v>1.1719999999999999</v>
      </c>
      <c r="GS80" s="195" t="s">
        <v>344</v>
      </c>
      <c r="GT80" s="194"/>
      <c r="GU80" s="118">
        <v>0</v>
      </c>
      <c r="GV80" s="17">
        <f>LOOKUP(GY66,Reference!$A$101:$A$105,Reference!$F$101:$F$105)</f>
        <v>2.3E-2</v>
      </c>
      <c r="GW80" s="194" t="s">
        <v>241</v>
      </c>
      <c r="GX80" s="194"/>
      <c r="GY80" s="14"/>
      <c r="GZ80" s="80">
        <f>LOOKUP(GY66,Reference!$A$101:$A$105,Reference!$J$101:$J$105)</f>
        <v>1</v>
      </c>
      <c r="HA80" s="195" t="s">
        <v>344</v>
      </c>
      <c r="HB80" s="194"/>
      <c r="HC80" s="118">
        <v>0</v>
      </c>
      <c r="HD80" s="17">
        <f>LOOKUP(HG66,Reference!$A$101:$A$105,Reference!$F$101:$F$105)</f>
        <v>2.4E-2</v>
      </c>
      <c r="HE80" s="194" t="s">
        <v>241</v>
      </c>
      <c r="HF80" s="194"/>
      <c r="HG80" s="14"/>
      <c r="HH80" s="80">
        <f>LOOKUP(HG66,Reference!$A$101:$A$105,Reference!$J$101:$J$105)</f>
        <v>1.1719999999999999</v>
      </c>
      <c r="HI80" s="195" t="s">
        <v>344</v>
      </c>
      <c r="HJ80" s="194"/>
      <c r="HK80" s="118">
        <v>1</v>
      </c>
      <c r="HL80" s="17">
        <f>LOOKUP(HO66,Reference!$A$101:$A$105,Reference!$F$101:$F$105)</f>
        <v>2.4E-2</v>
      </c>
      <c r="HM80" s="194" t="s">
        <v>241</v>
      </c>
      <c r="HN80" s="194"/>
      <c r="HO80" s="14"/>
      <c r="HP80" s="80">
        <f>LOOKUP(HO66,Reference!$A$101:$A$105,Reference!$J$101:$J$105)</f>
        <v>1.1719999999999999</v>
      </c>
    </row>
    <row r="81" spans="1:224" x14ac:dyDescent="0.25">
      <c r="A81" s="14"/>
      <c r="B81" s="14"/>
      <c r="C81" s="14"/>
      <c r="D81" s="14"/>
      <c r="E81" s="14"/>
      <c r="F81" s="14"/>
      <c r="G81" s="14"/>
      <c r="H81" s="25"/>
      <c r="I81" s="14"/>
      <c r="J81" s="14"/>
      <c r="K81" s="14"/>
      <c r="L81" s="14"/>
      <c r="M81" s="14"/>
      <c r="N81" s="14"/>
      <c r="O81" s="14"/>
      <c r="P81" s="25"/>
      <c r="Q81" s="14"/>
      <c r="R81" s="14"/>
      <c r="S81" s="14"/>
      <c r="T81" s="14"/>
      <c r="U81" s="14"/>
      <c r="V81" s="14"/>
      <c r="W81" s="14"/>
      <c r="X81" s="25"/>
      <c r="Y81" s="24"/>
      <c r="Z81" s="14"/>
      <c r="AA81" s="14"/>
      <c r="AB81" s="14"/>
      <c r="AC81" s="14"/>
      <c r="AD81" s="14"/>
      <c r="AE81" s="14"/>
      <c r="AF81" s="25"/>
      <c r="AG81" s="24"/>
      <c r="AH81" s="14"/>
      <c r="AI81" s="14"/>
      <c r="AJ81" s="14"/>
      <c r="AK81" s="14"/>
      <c r="AL81" s="14"/>
      <c r="AM81" s="14"/>
      <c r="AN81" s="25"/>
      <c r="AO81" s="24"/>
      <c r="AP81" s="14"/>
      <c r="AQ81" s="14"/>
      <c r="AR81" s="14"/>
      <c r="AS81" s="14"/>
      <c r="AT81" s="14"/>
      <c r="AU81" s="14"/>
      <c r="AV81" s="25"/>
      <c r="AW81" s="24"/>
      <c r="AX81" s="14"/>
      <c r="AY81" s="14"/>
      <c r="AZ81" s="14"/>
      <c r="BA81" s="14"/>
      <c r="BB81" s="14"/>
      <c r="BC81" s="14"/>
      <c r="BD81" s="25"/>
      <c r="BE81" s="24"/>
      <c r="BF81" s="14"/>
      <c r="BG81" s="14"/>
      <c r="BH81" s="14"/>
      <c r="BI81" s="14"/>
      <c r="BJ81" s="14"/>
      <c r="BK81" s="14"/>
      <c r="BL81" s="25"/>
      <c r="BM81" s="24"/>
      <c r="BN81" s="14"/>
      <c r="BO81" s="14"/>
      <c r="BP81" s="14"/>
      <c r="BQ81" s="14"/>
      <c r="BR81" s="14"/>
      <c r="BS81" s="14"/>
      <c r="BT81" s="25"/>
      <c r="BU81" s="24"/>
      <c r="BV81" s="14"/>
      <c r="BW81" s="14"/>
      <c r="BX81" s="14"/>
      <c r="BY81" s="14"/>
      <c r="BZ81" s="14"/>
      <c r="CA81" s="14"/>
      <c r="CB81" s="25"/>
      <c r="CC81" s="24"/>
      <c r="CD81" s="14"/>
      <c r="CE81" s="14"/>
      <c r="CF81" s="14"/>
      <c r="CG81" s="14"/>
      <c r="CH81" s="14"/>
      <c r="CI81" s="14"/>
      <c r="CJ81" s="25"/>
      <c r="CK81" s="24"/>
      <c r="CL81" s="14"/>
      <c r="CM81" s="14"/>
      <c r="CN81" s="14"/>
      <c r="CO81" s="14"/>
      <c r="CP81" s="14"/>
      <c r="CQ81" s="14"/>
      <c r="CR81" s="25"/>
      <c r="CS81" s="24"/>
      <c r="CT81" s="14"/>
      <c r="CU81" s="14"/>
      <c r="CV81" s="14"/>
      <c r="CW81" s="14"/>
      <c r="CX81" s="14"/>
      <c r="CY81" s="14"/>
      <c r="CZ81" s="25"/>
      <c r="DA81" s="24"/>
      <c r="DB81" s="14"/>
      <c r="DC81" s="14"/>
      <c r="DD81" s="14"/>
      <c r="DE81" s="14"/>
      <c r="DF81" s="14"/>
      <c r="DG81" s="14"/>
      <c r="DH81" s="25"/>
      <c r="DI81" s="24"/>
      <c r="DJ81" s="14"/>
      <c r="DK81" s="14"/>
      <c r="DL81" s="14"/>
      <c r="DM81" s="14"/>
      <c r="DN81" s="14"/>
      <c r="DO81" s="14"/>
      <c r="DP81" s="25"/>
      <c r="DQ81" s="24"/>
      <c r="DR81" s="14"/>
      <c r="DS81" s="14"/>
      <c r="DT81" s="14"/>
      <c r="DU81" s="14"/>
      <c r="DV81" s="14"/>
      <c r="DW81" s="14"/>
      <c r="DX81" s="25"/>
      <c r="DY81" s="24"/>
      <c r="DZ81" s="14"/>
      <c r="EA81" s="14"/>
      <c r="EB81" s="14"/>
      <c r="EC81" s="14"/>
      <c r="ED81" s="14"/>
      <c r="EE81" s="14"/>
      <c r="EF81" s="25"/>
      <c r="EG81" s="24"/>
      <c r="EH81" s="14"/>
      <c r="EI81" s="14"/>
      <c r="EJ81" s="14"/>
      <c r="EK81" s="14"/>
      <c r="EL81" s="14"/>
      <c r="EM81" s="14"/>
      <c r="EN81" s="25"/>
      <c r="EO81" s="24"/>
      <c r="EP81" s="14"/>
      <c r="EQ81" s="14"/>
      <c r="ER81" s="14"/>
      <c r="ES81" s="14"/>
      <c r="ET81" s="14"/>
      <c r="EU81" s="14"/>
      <c r="EV81" s="25"/>
      <c r="EW81" s="24"/>
      <c r="EX81" s="14"/>
      <c r="EY81" s="14"/>
      <c r="EZ81" s="14"/>
      <c r="FA81" s="14"/>
      <c r="FB81" s="14"/>
      <c r="FC81" s="14"/>
      <c r="FD81" s="25"/>
      <c r="FE81" s="24"/>
      <c r="FF81" s="14"/>
      <c r="FG81" s="14"/>
      <c r="FH81" s="14"/>
      <c r="FI81" s="14"/>
      <c r="FJ81" s="14"/>
      <c r="FK81" s="14"/>
      <c r="FL81" s="25"/>
      <c r="FM81" s="24"/>
      <c r="FN81" s="14"/>
      <c r="FO81" s="14"/>
      <c r="FP81" s="14"/>
      <c r="FQ81" s="14"/>
      <c r="FR81" s="14"/>
      <c r="FS81" s="14"/>
      <c r="FT81" s="25"/>
      <c r="FU81" s="24"/>
      <c r="FV81" s="14"/>
      <c r="FW81" s="14"/>
      <c r="FX81" s="14"/>
      <c r="FY81" s="14"/>
      <c r="FZ81" s="14"/>
      <c r="GA81" s="14"/>
      <c r="GB81" s="25"/>
      <c r="GC81" s="81"/>
      <c r="GD81" s="13"/>
      <c r="GE81" s="14"/>
      <c r="GF81" s="14"/>
      <c r="GG81" s="14"/>
      <c r="GH81" s="14"/>
      <c r="GI81" s="14"/>
      <c r="GJ81" s="25"/>
      <c r="GK81" s="81"/>
      <c r="GL81" s="13"/>
      <c r="GM81" s="14"/>
      <c r="GN81" s="14"/>
      <c r="GO81" s="14"/>
      <c r="GP81" s="14"/>
      <c r="GQ81" s="14"/>
      <c r="GR81" s="25"/>
      <c r="GS81" s="81"/>
      <c r="GT81" s="13"/>
      <c r="GU81" s="14"/>
      <c r="GV81" s="14"/>
      <c r="GW81" s="14"/>
      <c r="GX81" s="14"/>
      <c r="GY81" s="14"/>
      <c r="GZ81" s="25"/>
      <c r="HA81" s="81"/>
      <c r="HB81" s="13"/>
      <c r="HC81" s="14"/>
      <c r="HD81" s="14"/>
      <c r="HE81" s="14"/>
      <c r="HF81" s="14"/>
      <c r="HG81" s="14"/>
      <c r="HH81" s="25"/>
      <c r="HI81" s="81"/>
      <c r="HJ81" s="13"/>
      <c r="HK81" s="14"/>
      <c r="HL81" s="14"/>
      <c r="HM81" s="14"/>
      <c r="HN81" s="14"/>
      <c r="HO81" s="14"/>
      <c r="HP81" s="25"/>
    </row>
    <row r="82" spans="1:224" ht="18" x14ac:dyDescent="0.35">
      <c r="A82" s="194" t="s">
        <v>18</v>
      </c>
      <c r="B82" s="194"/>
      <c r="C82" s="44">
        <f>C83+C84</f>
        <v>10.758463070375845</v>
      </c>
      <c r="D82" s="14"/>
      <c r="E82" s="14"/>
      <c r="F82" s="14"/>
      <c r="G82" s="14"/>
      <c r="H82" s="25"/>
      <c r="I82" s="194" t="s">
        <v>18</v>
      </c>
      <c r="J82" s="194"/>
      <c r="K82" s="44">
        <f>K83+K84</f>
        <v>35.825994881788858</v>
      </c>
      <c r="L82" s="14"/>
      <c r="M82" s="14"/>
      <c r="N82" s="14"/>
      <c r="O82" s="14"/>
      <c r="P82" s="25"/>
      <c r="Q82" s="194" t="s">
        <v>18</v>
      </c>
      <c r="R82" s="194"/>
      <c r="S82" s="44">
        <f>S83+S84</f>
        <v>49.415681740939235</v>
      </c>
      <c r="T82" s="14"/>
      <c r="U82" s="14"/>
      <c r="V82" s="14"/>
      <c r="W82" s="14"/>
      <c r="X82" s="25"/>
      <c r="Y82" s="195" t="s">
        <v>18</v>
      </c>
      <c r="Z82" s="194"/>
      <c r="AA82" s="44">
        <f>AA83+AA84</f>
        <v>7.023470436553449</v>
      </c>
      <c r="AB82" s="14"/>
      <c r="AC82" s="14"/>
      <c r="AD82" s="14"/>
      <c r="AE82" s="14"/>
      <c r="AF82" s="25"/>
      <c r="AG82" s="195" t="s">
        <v>18</v>
      </c>
      <c r="AH82" s="194"/>
      <c r="AI82" s="44">
        <f>AI83+AI84</f>
        <v>26.913936623431596</v>
      </c>
      <c r="AJ82" s="14"/>
      <c r="AK82" s="14"/>
      <c r="AL82" s="14"/>
      <c r="AM82" s="14"/>
      <c r="AN82" s="25"/>
      <c r="AO82" s="24"/>
      <c r="AP82" s="14"/>
      <c r="AQ82" s="14"/>
      <c r="AR82" s="14"/>
      <c r="AS82" s="14"/>
      <c r="AT82" s="14"/>
      <c r="AU82" s="14"/>
      <c r="AV82" s="25"/>
      <c r="AW82" s="24"/>
      <c r="AX82" s="14"/>
      <c r="AY82" s="14"/>
      <c r="AZ82" s="14"/>
      <c r="BA82" s="14"/>
      <c r="BB82" s="14"/>
      <c r="BC82" s="14"/>
      <c r="BD82" s="25"/>
      <c r="BE82" s="24"/>
      <c r="BF82" s="14"/>
      <c r="BG82" s="14"/>
      <c r="BH82" s="14"/>
      <c r="BI82" s="14"/>
      <c r="BJ82" s="14"/>
      <c r="BK82" s="14"/>
      <c r="BL82" s="25"/>
      <c r="BM82" s="24"/>
      <c r="BN82" s="14"/>
      <c r="BO82" s="14"/>
      <c r="BP82" s="14"/>
      <c r="BQ82" s="14"/>
      <c r="BR82" s="14"/>
      <c r="BS82" s="14"/>
      <c r="BT82" s="25"/>
      <c r="BU82" s="24"/>
      <c r="BV82" s="14"/>
      <c r="BW82" s="14"/>
      <c r="BX82" s="14"/>
      <c r="BY82" s="14"/>
      <c r="BZ82" s="14"/>
      <c r="CA82" s="14"/>
      <c r="CB82" s="25"/>
      <c r="CC82" s="24"/>
      <c r="CD82" s="14"/>
      <c r="CE82" s="14"/>
      <c r="CF82" s="14"/>
      <c r="CG82" s="14"/>
      <c r="CH82" s="14"/>
      <c r="CI82" s="14"/>
      <c r="CJ82" s="25"/>
      <c r="CK82" s="24"/>
      <c r="CL82" s="14"/>
      <c r="CM82" s="14"/>
      <c r="CN82" s="14"/>
      <c r="CO82" s="14"/>
      <c r="CP82" s="14"/>
      <c r="CQ82" s="14"/>
      <c r="CR82" s="25"/>
      <c r="CS82" s="24"/>
      <c r="CT82" s="14"/>
      <c r="CU82" s="14"/>
      <c r="CV82" s="14"/>
      <c r="CW82" s="14"/>
      <c r="CX82" s="14"/>
      <c r="CY82" s="14"/>
      <c r="CZ82" s="25"/>
      <c r="DA82" s="24"/>
      <c r="DB82" s="14"/>
      <c r="DC82" s="14"/>
      <c r="DD82" s="14"/>
      <c r="DE82" s="14"/>
      <c r="DF82" s="14"/>
      <c r="DG82" s="14"/>
      <c r="DH82" s="25"/>
      <c r="DI82" s="24"/>
      <c r="DJ82" s="14"/>
      <c r="DK82" s="14"/>
      <c r="DL82" s="14"/>
      <c r="DM82" s="14"/>
      <c r="DN82" s="14"/>
      <c r="DO82" s="14"/>
      <c r="DP82" s="25"/>
      <c r="DQ82" s="24"/>
      <c r="DR82" s="14"/>
      <c r="DS82" s="14"/>
      <c r="DT82" s="14"/>
      <c r="DU82" s="14"/>
      <c r="DV82" s="14"/>
      <c r="DW82" s="14"/>
      <c r="DX82" s="25"/>
      <c r="DY82" s="24"/>
      <c r="DZ82" s="14"/>
      <c r="EA82" s="14"/>
      <c r="EB82" s="14"/>
      <c r="EC82" s="14"/>
      <c r="ED82" s="14"/>
      <c r="EE82" s="14"/>
      <c r="EF82" s="25"/>
      <c r="EG82" s="24"/>
      <c r="EH82" s="14"/>
      <c r="EI82" s="14"/>
      <c r="EJ82" s="14"/>
      <c r="EK82" s="14"/>
      <c r="EL82" s="14"/>
      <c r="EM82" s="14"/>
      <c r="EN82" s="25"/>
      <c r="EO82" s="24"/>
      <c r="EP82" s="14"/>
      <c r="EQ82" s="14"/>
      <c r="ER82" s="14"/>
      <c r="ES82" s="14"/>
      <c r="ET82" s="14"/>
      <c r="EU82" s="14"/>
      <c r="EV82" s="25"/>
      <c r="EW82" s="24"/>
      <c r="EX82" s="14"/>
      <c r="EY82" s="14"/>
      <c r="EZ82" s="14"/>
      <c r="FA82" s="14"/>
      <c r="FB82" s="14"/>
      <c r="FC82" s="14"/>
      <c r="FD82" s="25"/>
      <c r="FE82" s="24"/>
      <c r="FF82" s="14"/>
      <c r="FG82" s="14"/>
      <c r="FH82" s="14"/>
      <c r="FI82" s="14"/>
      <c r="FJ82" s="14"/>
      <c r="FK82" s="14"/>
      <c r="FL82" s="25"/>
      <c r="FM82" s="24"/>
      <c r="FN82" s="14"/>
      <c r="FO82" s="14"/>
      <c r="FP82" s="14"/>
      <c r="FQ82" s="14"/>
      <c r="FR82" s="14"/>
      <c r="FS82" s="14"/>
      <c r="FT82" s="25"/>
      <c r="FU82" s="24"/>
      <c r="FV82" s="14"/>
      <c r="FW82" s="14"/>
      <c r="FX82" s="14"/>
      <c r="FY82" s="14"/>
      <c r="FZ82" s="14"/>
      <c r="GA82" s="14"/>
      <c r="GB82" s="25"/>
      <c r="GC82" s="107"/>
      <c r="GD82" s="106"/>
      <c r="GE82" s="106" t="s">
        <v>101</v>
      </c>
      <c r="GF82" s="14"/>
      <c r="GG82" s="14"/>
      <c r="GH82" s="14"/>
      <c r="GI82" s="106" t="s">
        <v>104</v>
      </c>
      <c r="GJ82" s="25"/>
      <c r="GK82" s="107"/>
      <c r="GL82" s="106"/>
      <c r="GM82" s="106" t="s">
        <v>101</v>
      </c>
      <c r="GN82" s="14"/>
      <c r="GO82" s="14"/>
      <c r="GP82" s="14"/>
      <c r="GQ82" s="106" t="s">
        <v>104</v>
      </c>
      <c r="GR82" s="25"/>
      <c r="GS82" s="116"/>
      <c r="GT82" s="112"/>
      <c r="GU82" s="112" t="s">
        <v>101</v>
      </c>
      <c r="GV82" s="14"/>
      <c r="GW82" s="14"/>
      <c r="GX82" s="14"/>
      <c r="GY82" s="112" t="s">
        <v>104</v>
      </c>
      <c r="GZ82" s="25"/>
      <c r="HA82" s="116"/>
      <c r="HB82" s="112"/>
      <c r="HC82" s="112" t="s">
        <v>101</v>
      </c>
      <c r="HD82" s="14"/>
      <c r="HE82" s="14"/>
      <c r="HF82" s="14"/>
      <c r="HG82" s="112" t="s">
        <v>104</v>
      </c>
      <c r="HH82" s="25"/>
      <c r="HI82" s="116"/>
      <c r="HJ82" s="112"/>
      <c r="HK82" s="112" t="s">
        <v>101</v>
      </c>
      <c r="HL82" s="14"/>
      <c r="HM82" s="14"/>
      <c r="HN82" s="14"/>
      <c r="HO82" s="112" t="s">
        <v>104</v>
      </c>
      <c r="HP82" s="25"/>
    </row>
    <row r="83" spans="1:224" x14ac:dyDescent="0.25">
      <c r="A83" s="194" t="s">
        <v>19</v>
      </c>
      <c r="B83" s="194"/>
      <c r="C83" s="44">
        <f>H69+H71</f>
        <v>3.2293281695892233</v>
      </c>
      <c r="D83" s="14"/>
      <c r="E83" s="14"/>
      <c r="F83" s="14"/>
      <c r="G83" s="14"/>
      <c r="H83" s="25"/>
      <c r="I83" s="194" t="s">
        <v>19</v>
      </c>
      <c r="J83" s="194"/>
      <c r="K83" s="44">
        <f>P69+P71</f>
        <v>12.100159542603725</v>
      </c>
      <c r="L83" s="14"/>
      <c r="M83" s="14"/>
      <c r="N83" s="14"/>
      <c r="O83" s="14"/>
      <c r="P83" s="25"/>
      <c r="Q83" s="194" t="s">
        <v>19</v>
      </c>
      <c r="R83" s="194"/>
      <c r="S83" s="44">
        <f>X69+X71</f>
        <v>15.927963166288393</v>
      </c>
      <c r="T83" s="14"/>
      <c r="U83" s="14"/>
      <c r="V83" s="14"/>
      <c r="W83" s="14"/>
      <c r="X83" s="25"/>
      <c r="Y83" s="195" t="s">
        <v>19</v>
      </c>
      <c r="Z83" s="194"/>
      <c r="AA83" s="44">
        <f>AF69+AF71</f>
        <v>2.2690347531154189</v>
      </c>
      <c r="AB83" s="14"/>
      <c r="AC83" s="14"/>
      <c r="AD83" s="14"/>
      <c r="AE83" s="14"/>
      <c r="AF83" s="25"/>
      <c r="AG83" s="195" t="s">
        <v>19</v>
      </c>
      <c r="AH83" s="194"/>
      <c r="AI83" s="44">
        <f>AN69+AN71</f>
        <v>8.9867178476895671</v>
      </c>
      <c r="AJ83" s="14"/>
      <c r="AK83" s="14"/>
      <c r="AL83" s="14"/>
      <c r="AM83" s="14"/>
      <c r="AN83" s="25"/>
      <c r="AO83" s="24"/>
      <c r="AP83" s="14"/>
      <c r="AQ83" s="14"/>
      <c r="AR83" s="14"/>
      <c r="AS83" s="14"/>
      <c r="AT83" s="14"/>
      <c r="AU83" s="14"/>
      <c r="AV83" s="25"/>
      <c r="AW83" s="24"/>
      <c r="AX83" s="14"/>
      <c r="AY83" s="14"/>
      <c r="AZ83" s="14"/>
      <c r="BA83" s="14"/>
      <c r="BB83" s="14"/>
      <c r="BC83" s="14"/>
      <c r="BD83" s="25"/>
      <c r="BE83" s="24"/>
      <c r="BF83" s="14"/>
      <c r="BG83" s="14"/>
      <c r="BH83" s="14"/>
      <c r="BI83" s="14"/>
      <c r="BJ83" s="14"/>
      <c r="BK83" s="14"/>
      <c r="BL83" s="25"/>
      <c r="BM83" s="24"/>
      <c r="BN83" s="14"/>
      <c r="BO83" s="14"/>
      <c r="BP83" s="14"/>
      <c r="BQ83" s="14"/>
      <c r="BR83" s="14"/>
      <c r="BS83" s="14"/>
      <c r="BT83" s="25"/>
      <c r="BU83" s="24"/>
      <c r="BV83" s="14"/>
      <c r="BW83" s="14"/>
      <c r="BX83" s="14"/>
      <c r="BY83" s="14"/>
      <c r="BZ83" s="14"/>
      <c r="CA83" s="14"/>
      <c r="CB83" s="25"/>
      <c r="CC83" s="24"/>
      <c r="CD83" s="14"/>
      <c r="CE83" s="14"/>
      <c r="CF83" s="14"/>
      <c r="CG83" s="14"/>
      <c r="CH83" s="14"/>
      <c r="CI83" s="14"/>
      <c r="CJ83" s="25"/>
      <c r="CK83" s="24"/>
      <c r="CL83" s="14"/>
      <c r="CM83" s="14"/>
      <c r="CN83" s="14"/>
      <c r="CO83" s="14"/>
      <c r="CP83" s="14"/>
      <c r="CQ83" s="14"/>
      <c r="CR83" s="25"/>
      <c r="CS83" s="24"/>
      <c r="CT83" s="14"/>
      <c r="CU83" s="14"/>
      <c r="CV83" s="14"/>
      <c r="CW83" s="14"/>
      <c r="CX83" s="14"/>
      <c r="CY83" s="14"/>
      <c r="CZ83" s="25"/>
      <c r="DA83" s="24"/>
      <c r="DB83" s="14"/>
      <c r="DC83" s="14"/>
      <c r="DD83" s="14"/>
      <c r="DE83" s="14"/>
      <c r="DF83" s="14"/>
      <c r="DG83" s="14"/>
      <c r="DH83" s="25"/>
      <c r="DI83" s="24"/>
      <c r="DJ83" s="14"/>
      <c r="DK83" s="14"/>
      <c r="DL83" s="14"/>
      <c r="DM83" s="14"/>
      <c r="DN83" s="14"/>
      <c r="DO83" s="14"/>
      <c r="DP83" s="25"/>
      <c r="DQ83" s="24"/>
      <c r="DR83" s="14"/>
      <c r="DS83" s="14"/>
      <c r="DT83" s="14"/>
      <c r="DU83" s="14"/>
      <c r="DV83" s="14"/>
      <c r="DW83" s="14"/>
      <c r="DX83" s="25"/>
      <c r="DY83" s="24"/>
      <c r="DZ83" s="14"/>
      <c r="EA83" s="14"/>
      <c r="EB83" s="14"/>
      <c r="EC83" s="14"/>
      <c r="ED83" s="14"/>
      <c r="EE83" s="14"/>
      <c r="EF83" s="25"/>
      <c r="EG83" s="24"/>
      <c r="EH83" s="14"/>
      <c r="EI83" s="14"/>
      <c r="EJ83" s="14"/>
      <c r="EK83" s="14"/>
      <c r="EL83" s="72"/>
      <c r="EM83" s="14"/>
      <c r="EN83" s="25"/>
      <c r="EO83" s="24"/>
      <c r="EP83" s="14"/>
      <c r="EQ83" s="14"/>
      <c r="ER83" s="14"/>
      <c r="ES83" s="14"/>
      <c r="ET83" s="72"/>
      <c r="EU83" s="14"/>
      <c r="EV83" s="25"/>
      <c r="EW83" s="24"/>
      <c r="EX83" s="14"/>
      <c r="EY83" s="14"/>
      <c r="EZ83" s="14"/>
      <c r="FA83" s="14"/>
      <c r="FB83" s="72"/>
      <c r="FC83" s="14"/>
      <c r="FD83" s="25"/>
      <c r="FE83" s="24"/>
      <c r="FF83" s="14"/>
      <c r="FG83" s="14"/>
      <c r="FH83" s="14"/>
      <c r="FI83" s="14"/>
      <c r="FJ83" s="72"/>
      <c r="FK83" s="14"/>
      <c r="FL83" s="25"/>
      <c r="FM83" s="24"/>
      <c r="FN83" s="14"/>
      <c r="FO83" s="14"/>
      <c r="FP83" s="14"/>
      <c r="FQ83" s="14"/>
      <c r="FR83" s="72"/>
      <c r="FS83" s="14"/>
      <c r="FT83" s="25"/>
      <c r="FU83" s="24"/>
      <c r="FV83" s="14"/>
      <c r="FW83" s="14"/>
      <c r="FX83" s="14"/>
      <c r="FY83" s="14"/>
      <c r="FZ83" s="72"/>
      <c r="GA83" s="14"/>
      <c r="GB83" s="25"/>
      <c r="GC83" s="195" t="s">
        <v>356</v>
      </c>
      <c r="GD83" s="194"/>
      <c r="GE83" s="17">
        <f>LOOKUP(GI66,Reference!$A$109:$A$113,IF(GI67="Greater Than 30 MPH",Reference!$D$109:$D$113,Reference!$C$109:$C$113))</f>
        <v>3.5999999999999997E-2</v>
      </c>
      <c r="GF83" s="14"/>
      <c r="GG83" s="194" t="s">
        <v>103</v>
      </c>
      <c r="GH83" s="197"/>
      <c r="GI83" s="17">
        <f>LOOKUP(GI66,Reference!$A$109:$A$113,IF(GI67="Greater Than 30 MPH",Reference!$F$109:$F$113,Reference!$E$109:$E$113))</f>
        <v>1.7999999999999999E-2</v>
      </c>
      <c r="GJ83" s="25"/>
      <c r="GK83" s="195" t="s">
        <v>356</v>
      </c>
      <c r="GL83" s="194"/>
      <c r="GM83" s="17">
        <f>LOOKUP(GQ66,Reference!$A$109:$A$113,IF(GQ67="Greater Than 30 MPH",Reference!$D$109:$D$113,Reference!$C$109:$C$113))</f>
        <v>2.1999999999999999E-2</v>
      </c>
      <c r="GN83" s="14"/>
      <c r="GO83" s="194" t="s">
        <v>103</v>
      </c>
      <c r="GP83" s="197"/>
      <c r="GQ83" s="17">
        <f>LOOKUP(GQ66,Reference!$A$109:$A$113,IF(GQ67="Greater Than 30 MPH",Reference!$F$109:$F$113,Reference!$E$109:$E$113))</f>
        <v>1.0999999999999999E-2</v>
      </c>
      <c r="GR83" s="25"/>
      <c r="GS83" s="195" t="s">
        <v>356</v>
      </c>
      <c r="GT83" s="194"/>
      <c r="GU83" s="17">
        <f>LOOKUP(GY66,Reference!$A$109:$A$113,IF(GY67="Greater Than 30 MPH",Reference!$D$109:$D$113,Reference!$C$109:$C$113))</f>
        <v>3.5999999999999997E-2</v>
      </c>
      <c r="GV83" s="14"/>
      <c r="GW83" s="194" t="s">
        <v>103</v>
      </c>
      <c r="GX83" s="197"/>
      <c r="GY83" s="17">
        <f>LOOKUP(GY66,Reference!$A$109:$A$113,IF(GY67="Greater Than 30 MPH",Reference!$F$109:$F$113,Reference!$E$109:$E$113))</f>
        <v>1.7999999999999999E-2</v>
      </c>
      <c r="GZ83" s="25"/>
      <c r="HA83" s="195" t="s">
        <v>356</v>
      </c>
      <c r="HB83" s="194"/>
      <c r="HC83" s="17">
        <f>LOOKUP(HG66,Reference!$A$109:$A$113,IF(HG67="Greater Than 30 MPH",Reference!$D$109:$D$113,Reference!$C$109:$C$113))</f>
        <v>2.3E-2</v>
      </c>
      <c r="HD83" s="14"/>
      <c r="HE83" s="194" t="s">
        <v>103</v>
      </c>
      <c r="HF83" s="197"/>
      <c r="HG83" s="17">
        <f>LOOKUP(HG66,Reference!$A$109:$A$113,IF(HG67="Greater Than 30 MPH",Reference!$F$109:$F$113,Reference!$E$109:$E$113))</f>
        <v>1.2E-2</v>
      </c>
      <c r="HH83" s="25"/>
      <c r="HI83" s="195" t="s">
        <v>356</v>
      </c>
      <c r="HJ83" s="194"/>
      <c r="HK83" s="17">
        <f>LOOKUP(HO66,Reference!$A$109:$A$113,IF(HO67="Greater Than 30 MPH",Reference!$D$109:$D$113,Reference!$C$109:$C$113))</f>
        <v>2.3E-2</v>
      </c>
      <c r="HL83" s="14"/>
      <c r="HM83" s="194" t="s">
        <v>103</v>
      </c>
      <c r="HN83" s="197"/>
      <c r="HO83" s="17">
        <f>LOOKUP(HO66,Reference!$A$109:$A$113,IF(HO67="Greater Than 30 MPH",Reference!$F$109:$F$113,Reference!$E$109:$E$113))</f>
        <v>1.2E-2</v>
      </c>
      <c r="HP83" s="25"/>
    </row>
    <row r="84" spans="1:224" x14ac:dyDescent="0.25">
      <c r="A84" s="194" t="s">
        <v>20</v>
      </c>
      <c r="B84" s="198"/>
      <c r="C84" s="44">
        <f>H70+H72</f>
        <v>7.5291349007866213</v>
      </c>
      <c r="D84" s="14"/>
      <c r="E84" s="14"/>
      <c r="F84" s="14"/>
      <c r="G84" s="14"/>
      <c r="H84" s="25"/>
      <c r="I84" s="194" t="s">
        <v>20</v>
      </c>
      <c r="J84" s="198"/>
      <c r="K84" s="44">
        <f>P70+P72</f>
        <v>23.725835339185132</v>
      </c>
      <c r="L84" s="14"/>
      <c r="M84" s="14"/>
      <c r="N84" s="14"/>
      <c r="O84" s="14"/>
      <c r="P84" s="25"/>
      <c r="Q84" s="194" t="s">
        <v>20</v>
      </c>
      <c r="R84" s="198"/>
      <c r="S84" s="44">
        <f>X70+X72</f>
        <v>33.487718574650842</v>
      </c>
      <c r="T84" s="14"/>
      <c r="U84" s="14"/>
      <c r="V84" s="14"/>
      <c r="W84" s="14"/>
      <c r="X84" s="25"/>
      <c r="Y84" s="195" t="s">
        <v>20</v>
      </c>
      <c r="Z84" s="198"/>
      <c r="AA84" s="44">
        <f>AF70+AF72</f>
        <v>4.7544356834380297</v>
      </c>
      <c r="AB84" s="14"/>
      <c r="AC84" s="14"/>
      <c r="AD84" s="14"/>
      <c r="AE84" s="14"/>
      <c r="AF84" s="25"/>
      <c r="AG84" s="195" t="s">
        <v>20</v>
      </c>
      <c r="AH84" s="198"/>
      <c r="AI84" s="44">
        <f>AN70+AN72</f>
        <v>17.927218775742027</v>
      </c>
      <c r="AJ84" s="14"/>
      <c r="AK84" s="14"/>
      <c r="AL84" s="14"/>
      <c r="AM84" s="14"/>
      <c r="AN84" s="25"/>
      <c r="AO84" s="24"/>
      <c r="AP84" s="14"/>
      <c r="AQ84" s="14"/>
      <c r="AR84" s="14"/>
      <c r="AS84" s="14"/>
      <c r="AT84" s="14"/>
      <c r="AU84" s="14"/>
      <c r="AV84" s="25"/>
      <c r="AW84" s="24"/>
      <c r="AX84" s="14"/>
      <c r="AY84" s="14"/>
      <c r="AZ84" s="14"/>
      <c r="BA84" s="14"/>
      <c r="BB84" s="14"/>
      <c r="BC84" s="14"/>
      <c r="BD84" s="25"/>
      <c r="BE84" s="24"/>
      <c r="BF84" s="14"/>
      <c r="BG84" s="14"/>
      <c r="BH84" s="14"/>
      <c r="BI84" s="14"/>
      <c r="BJ84" s="14"/>
      <c r="BK84" s="14"/>
      <c r="BL84" s="25"/>
      <c r="BM84" s="24"/>
      <c r="BN84" s="14"/>
      <c r="BO84" s="14"/>
      <c r="BP84" s="14"/>
      <c r="BQ84" s="14"/>
      <c r="BR84" s="14"/>
      <c r="BS84" s="14"/>
      <c r="BT84" s="25"/>
      <c r="BU84" s="24"/>
      <c r="BV84" s="14"/>
      <c r="BW84" s="14"/>
      <c r="BX84" s="14"/>
      <c r="BY84" s="14"/>
      <c r="BZ84" s="14"/>
      <c r="CA84" s="14"/>
      <c r="CB84" s="25"/>
      <c r="CC84" s="24"/>
      <c r="CD84" s="14"/>
      <c r="CE84" s="14"/>
      <c r="CF84" s="14"/>
      <c r="CG84" s="14"/>
      <c r="CH84" s="14"/>
      <c r="CI84" s="14"/>
      <c r="CJ84" s="25"/>
      <c r="CK84" s="24"/>
      <c r="CL84" s="14"/>
      <c r="CM84" s="14"/>
      <c r="CN84" s="14"/>
      <c r="CO84" s="14"/>
      <c r="CP84" s="14"/>
      <c r="CQ84" s="14"/>
      <c r="CR84" s="25"/>
      <c r="CS84" s="24"/>
      <c r="CT84" s="14"/>
      <c r="CU84" s="14"/>
      <c r="CV84" s="14"/>
      <c r="CW84" s="14"/>
      <c r="CX84" s="14"/>
      <c r="CY84" s="14"/>
      <c r="CZ84" s="25"/>
      <c r="DA84" s="24"/>
      <c r="DB84" s="14"/>
      <c r="DC84" s="14"/>
      <c r="DD84" s="14"/>
      <c r="DE84" s="14"/>
      <c r="DF84" s="14"/>
      <c r="DG84" s="14"/>
      <c r="DH84" s="25"/>
      <c r="DI84" s="24"/>
      <c r="DJ84" s="14"/>
      <c r="DK84" s="14"/>
      <c r="DL84" s="14"/>
      <c r="DM84" s="14"/>
      <c r="DN84" s="14"/>
      <c r="DO84" s="14"/>
      <c r="DP84" s="25"/>
      <c r="DQ84" s="24"/>
      <c r="DR84" s="14"/>
      <c r="DS84" s="14"/>
      <c r="DT84" s="14"/>
      <c r="DU84" s="14"/>
      <c r="DV84" s="14"/>
      <c r="DW84" s="14"/>
      <c r="DX84" s="25"/>
      <c r="DY84" s="24"/>
      <c r="DZ84" s="14"/>
      <c r="EA84" s="14"/>
      <c r="EB84" s="14"/>
      <c r="EC84" s="14"/>
      <c r="ED84" s="14"/>
      <c r="EE84" s="14"/>
      <c r="EF84" s="25"/>
      <c r="EG84" s="24"/>
      <c r="EH84" s="14"/>
      <c r="EI84" s="14"/>
      <c r="EJ84" s="14"/>
      <c r="EK84" s="14"/>
      <c r="EL84" s="14"/>
      <c r="EM84" s="14"/>
      <c r="EN84" s="25"/>
      <c r="EO84" s="24"/>
      <c r="EP84" s="14"/>
      <c r="EQ84" s="14"/>
      <c r="ER84" s="14"/>
      <c r="ES84" s="14"/>
      <c r="ET84" s="14"/>
      <c r="EU84" s="14"/>
      <c r="EV84" s="25"/>
      <c r="EW84" s="24"/>
      <c r="EX84" s="14"/>
      <c r="EY84" s="14"/>
      <c r="EZ84" s="14"/>
      <c r="FA84" s="14"/>
      <c r="FB84" s="14"/>
      <c r="FC84" s="14"/>
      <c r="FD84" s="25"/>
      <c r="FE84" s="24"/>
      <c r="FF84" s="14"/>
      <c r="FG84" s="14"/>
      <c r="FH84" s="14"/>
      <c r="FI84" s="14"/>
      <c r="FJ84" s="14"/>
      <c r="FK84" s="14"/>
      <c r="FL84" s="25"/>
      <c r="FM84" s="24"/>
      <c r="FN84" s="14"/>
      <c r="FO84" s="14"/>
      <c r="FP84" s="14"/>
      <c r="FQ84" s="14"/>
      <c r="FR84" s="14"/>
      <c r="FS84" s="14"/>
      <c r="FT84" s="25"/>
      <c r="FU84" s="24"/>
      <c r="FV84" s="14"/>
      <c r="FW84" s="14"/>
      <c r="FX84" s="14"/>
      <c r="FY84" s="14"/>
      <c r="FZ84" s="14"/>
      <c r="GA84" s="14"/>
      <c r="GB84" s="25"/>
      <c r="GC84" s="24"/>
      <c r="GD84" s="14"/>
      <c r="GE84" s="14"/>
      <c r="GF84" s="14"/>
      <c r="GG84" s="14"/>
      <c r="GH84" s="14"/>
      <c r="GI84" s="14"/>
      <c r="GJ84" s="25"/>
      <c r="GK84" s="24"/>
      <c r="GL84" s="14"/>
      <c r="GM84" s="14"/>
      <c r="GN84" s="14"/>
      <c r="GO84" s="14"/>
      <c r="GP84" s="14"/>
      <c r="GQ84" s="14"/>
      <c r="GR84" s="25"/>
      <c r="GS84" s="24"/>
      <c r="GT84" s="14"/>
      <c r="GU84" s="14"/>
      <c r="GV84" s="14"/>
      <c r="GW84" s="14"/>
      <c r="GX84" s="14"/>
      <c r="GY84" s="14"/>
      <c r="GZ84" s="25"/>
      <c r="HA84" s="24"/>
      <c r="HB84" s="14"/>
      <c r="HC84" s="14"/>
      <c r="HD84" s="14"/>
      <c r="HE84" s="14"/>
      <c r="HF84" s="14"/>
      <c r="HG84" s="14"/>
      <c r="HH84" s="25"/>
      <c r="HI84" s="24"/>
      <c r="HJ84" s="14"/>
      <c r="HK84" s="14"/>
      <c r="HL84" s="14"/>
      <c r="HM84" s="14"/>
      <c r="HN84" s="14"/>
      <c r="HO84" s="14"/>
      <c r="HP84" s="25"/>
    </row>
    <row r="85" spans="1:224" x14ac:dyDescent="0.25">
      <c r="A85" s="14"/>
      <c r="B85" s="14"/>
      <c r="C85" s="14"/>
      <c r="D85" s="14"/>
      <c r="E85" s="14"/>
      <c r="F85" s="14"/>
      <c r="G85" s="14"/>
      <c r="H85" s="25"/>
      <c r="I85" s="14"/>
      <c r="J85" s="14"/>
      <c r="K85" s="14"/>
      <c r="L85" s="14"/>
      <c r="M85" s="14"/>
      <c r="N85" s="14"/>
      <c r="O85" s="14"/>
      <c r="P85" s="25"/>
      <c r="Q85" s="14"/>
      <c r="R85" s="14"/>
      <c r="S85" s="14"/>
      <c r="T85" s="14"/>
      <c r="U85" s="14"/>
      <c r="V85" s="14"/>
      <c r="W85" s="14"/>
      <c r="X85" s="25"/>
      <c r="Y85" s="24"/>
      <c r="Z85" s="14"/>
      <c r="AA85" s="14"/>
      <c r="AB85" s="14"/>
      <c r="AC85" s="14"/>
      <c r="AD85" s="14"/>
      <c r="AE85" s="14"/>
      <c r="AF85" s="25"/>
      <c r="AG85" s="24"/>
      <c r="AH85" s="14"/>
      <c r="AI85" s="14"/>
      <c r="AJ85" s="14"/>
      <c r="AK85" s="14"/>
      <c r="AL85" s="14"/>
      <c r="AM85" s="14"/>
      <c r="AN85" s="25"/>
      <c r="AO85" s="195" t="s">
        <v>18</v>
      </c>
      <c r="AP85" s="194"/>
      <c r="AQ85" s="16">
        <f>AQ86+AQ87</f>
        <v>1.7196182358017473</v>
      </c>
      <c r="AR85" s="14"/>
      <c r="AS85" s="14"/>
      <c r="AT85" s="14"/>
      <c r="AU85" s="14"/>
      <c r="AV85" s="25"/>
      <c r="AW85" s="195" t="s">
        <v>18</v>
      </c>
      <c r="AX85" s="194"/>
      <c r="AY85" s="16">
        <f>AY86+AY87</f>
        <v>1.4015640939760368</v>
      </c>
      <c r="AZ85" s="14"/>
      <c r="BA85" s="14"/>
      <c r="BB85" s="14"/>
      <c r="BC85" s="14"/>
      <c r="BD85" s="25"/>
      <c r="BE85" s="195" t="s">
        <v>18</v>
      </c>
      <c r="BF85" s="194"/>
      <c r="BG85" s="16">
        <f>BG86+BG87</f>
        <v>1.7155221002026904</v>
      </c>
      <c r="BH85" s="14"/>
      <c r="BI85" s="14"/>
      <c r="BJ85" s="14"/>
      <c r="BK85" s="14"/>
      <c r="BL85" s="25"/>
      <c r="BM85" s="195" t="s">
        <v>18</v>
      </c>
      <c r="BN85" s="194"/>
      <c r="BO85" s="16">
        <f>BO86+BO87</f>
        <v>1.4059283566655696</v>
      </c>
      <c r="BP85" s="14"/>
      <c r="BQ85" s="14"/>
      <c r="BR85" s="14"/>
      <c r="BS85" s="14"/>
      <c r="BT85" s="25"/>
      <c r="BU85" s="195" t="s">
        <v>18</v>
      </c>
      <c r="BV85" s="194"/>
      <c r="BW85" s="16">
        <f>BW86+BW87</f>
        <v>1.7155221002026904</v>
      </c>
      <c r="BX85" s="14"/>
      <c r="BY85" s="14"/>
      <c r="BZ85" s="14"/>
      <c r="CA85" s="14"/>
      <c r="CB85" s="25"/>
      <c r="CC85" s="195" t="s">
        <v>18</v>
      </c>
      <c r="CD85" s="194"/>
      <c r="CE85" s="16">
        <f>CE86+CE87</f>
        <v>1.0728536003443279</v>
      </c>
      <c r="CF85" s="14"/>
      <c r="CG85" s="14"/>
      <c r="CH85" s="14"/>
      <c r="CI85" s="14"/>
      <c r="CJ85" s="25"/>
      <c r="CK85" s="195" t="s">
        <v>18</v>
      </c>
      <c r="CL85" s="194"/>
      <c r="CM85" s="16">
        <f>CM86+CM87</f>
        <v>1.3975237120720618</v>
      </c>
      <c r="CN85" s="14"/>
      <c r="CO85" s="14"/>
      <c r="CP85" s="14"/>
      <c r="CQ85" s="14"/>
      <c r="CR85" s="25"/>
      <c r="CS85" s="195" t="s">
        <v>18</v>
      </c>
      <c r="CT85" s="194"/>
      <c r="CU85" s="16">
        <f>CU86+CU87</f>
        <v>1.4015640939760368</v>
      </c>
      <c r="CV85" s="14"/>
      <c r="CW85" s="14"/>
      <c r="CX85" s="14"/>
      <c r="CY85" s="14"/>
      <c r="CZ85" s="25"/>
      <c r="DA85" s="195" t="s">
        <v>18</v>
      </c>
      <c r="DB85" s="194"/>
      <c r="DC85" s="16">
        <f>DC86+DC87</f>
        <v>0.27328582927049255</v>
      </c>
      <c r="DD85" s="14"/>
      <c r="DE85" s="14"/>
      <c r="DF85" s="14"/>
      <c r="DG85" s="14"/>
      <c r="DH85" s="25"/>
      <c r="DI85" s="195" t="s">
        <v>18</v>
      </c>
      <c r="DJ85" s="194"/>
      <c r="DK85" s="16">
        <f>DK86+DK87</f>
        <v>2.0192399723300856</v>
      </c>
      <c r="DL85" s="14"/>
      <c r="DM85" s="14"/>
      <c r="DN85" s="14"/>
      <c r="DO85" s="14"/>
      <c r="DP85" s="25"/>
      <c r="DQ85" s="195" t="s">
        <v>18</v>
      </c>
      <c r="DR85" s="194"/>
      <c r="DS85" s="16">
        <f>DS86+DS87</f>
        <v>2.2700397038969209</v>
      </c>
      <c r="DT85" s="14"/>
      <c r="DU85" s="14"/>
      <c r="DV85" s="14"/>
      <c r="DW85" s="14"/>
      <c r="DX85" s="25"/>
      <c r="DY85" s="195" t="s">
        <v>18</v>
      </c>
      <c r="DZ85" s="194"/>
      <c r="EA85" s="16">
        <f>EA86+EA87</f>
        <v>0.12784393523352877</v>
      </c>
      <c r="EB85" s="14"/>
      <c r="EC85" s="14"/>
      <c r="ED85" s="14"/>
      <c r="EE85" s="14"/>
      <c r="EF85" s="25"/>
      <c r="EG85" s="24"/>
      <c r="EH85" s="14"/>
      <c r="EI85" s="14"/>
      <c r="EJ85" s="14"/>
      <c r="EK85" s="14"/>
      <c r="EL85" s="14"/>
      <c r="EM85" s="14"/>
      <c r="EN85" s="25"/>
      <c r="EO85" s="24"/>
      <c r="EP85" s="14"/>
      <c r="EQ85" s="14"/>
      <c r="ER85" s="14"/>
      <c r="ES85" s="14"/>
      <c r="ET85" s="14"/>
      <c r="EU85" s="14"/>
      <c r="EV85" s="25"/>
      <c r="EW85" s="24"/>
      <c r="EX85" s="14"/>
      <c r="EY85" s="14"/>
      <c r="EZ85" s="14"/>
      <c r="FA85" s="14"/>
      <c r="FB85" s="14"/>
      <c r="FC85" s="14"/>
      <c r="FD85" s="25"/>
      <c r="FE85" s="24"/>
      <c r="FF85" s="14"/>
      <c r="FG85" s="14"/>
      <c r="FH85" s="14"/>
      <c r="FI85" s="14"/>
      <c r="FJ85" s="14"/>
      <c r="FK85" s="14"/>
      <c r="FL85" s="25"/>
      <c r="FM85" s="24"/>
      <c r="FN85" s="14"/>
      <c r="FO85" s="14"/>
      <c r="FP85" s="14"/>
      <c r="FQ85" s="14"/>
      <c r="FR85" s="14"/>
      <c r="FS85" s="14"/>
      <c r="FT85" s="25"/>
      <c r="FU85" s="24"/>
      <c r="FV85" s="14"/>
      <c r="FW85" s="14"/>
      <c r="FX85" s="14"/>
      <c r="FY85" s="14"/>
      <c r="FZ85" s="14"/>
      <c r="GA85" s="14"/>
      <c r="GB85" s="25"/>
      <c r="GC85" s="195" t="s">
        <v>342</v>
      </c>
      <c r="GD85" s="194"/>
      <c r="GE85" s="44">
        <f>GJ69</f>
        <v>0.61253445556311792</v>
      </c>
      <c r="GF85" s="14"/>
      <c r="GG85" s="194" t="s">
        <v>345</v>
      </c>
      <c r="GH85" s="198"/>
      <c r="GI85" s="44">
        <f>(SUMPRODUCT(GE77:GE80,GF77:GF80)+SUMPRODUCT(GI77:GI79,GJ77:GJ79))*(GD66/15000)^GJ80</f>
        <v>0.88800000000000012</v>
      </c>
      <c r="GJ85" s="25"/>
      <c r="GK85" s="195" t="s">
        <v>342</v>
      </c>
      <c r="GL85" s="194"/>
      <c r="GM85" s="44">
        <f>GR69</f>
        <v>15.5278862251168</v>
      </c>
      <c r="GN85" s="14"/>
      <c r="GO85" s="194" t="s">
        <v>345</v>
      </c>
      <c r="GP85" s="198"/>
      <c r="GQ85" s="44">
        <f>(SUMPRODUCT(GM77:GM80,GN77:GN80)+SUMPRODUCT(GQ77:GQ79,GR77:GR79))*(GL66/15000)^GR80</f>
        <v>1.7214637065610836</v>
      </c>
      <c r="GR85" s="25"/>
      <c r="GS85" s="195" t="s">
        <v>342</v>
      </c>
      <c r="GT85" s="194"/>
      <c r="GU85" s="44">
        <f>GZ69</f>
        <v>9.0926390027882924</v>
      </c>
      <c r="GV85" s="14"/>
      <c r="GW85" s="194" t="s">
        <v>345</v>
      </c>
      <c r="GX85" s="198"/>
      <c r="GY85" s="44">
        <f>(SUMPRODUCT(GU77:GU80,GV77:GV80)+SUMPRODUCT(GY77:GY79,GZ77:GZ79))*(GT66/15000)^GZ80</f>
        <v>0.70826666666666671</v>
      </c>
      <c r="GZ85" s="25"/>
      <c r="HA85" s="195" t="s">
        <v>342</v>
      </c>
      <c r="HB85" s="194"/>
      <c r="HC85" s="44">
        <f>HH69</f>
        <v>3.4315493967715827</v>
      </c>
      <c r="HD85" s="14"/>
      <c r="HE85" s="194" t="s">
        <v>345</v>
      </c>
      <c r="HF85" s="198"/>
      <c r="HG85" s="44">
        <f>(SUMPRODUCT(HC77:HC80,HD77:HD80)+SUMPRODUCT(HG77:HG79,HH77:HH79))*(HB66/15000)^HH80</f>
        <v>10.698105026897073</v>
      </c>
      <c r="HH85" s="25"/>
      <c r="HI85" s="195" t="s">
        <v>342</v>
      </c>
      <c r="HJ85" s="194"/>
      <c r="HK85" s="44">
        <f>HP69</f>
        <v>2.0963382331541172</v>
      </c>
      <c r="HL85" s="14"/>
      <c r="HM85" s="194" t="s">
        <v>345</v>
      </c>
      <c r="HN85" s="198"/>
      <c r="HO85" s="44">
        <f>(SUMPRODUCT(HK77:HK80,HL77:HL80)+SUMPRODUCT(HO77:HO79,HP77:HP79))*(HJ66/15000)^HP80</f>
        <v>3.9755466308348364</v>
      </c>
      <c r="HP85" s="25"/>
    </row>
    <row r="86" spans="1:224" x14ac:dyDescent="0.25">
      <c r="A86" s="14"/>
      <c r="B86" s="14"/>
      <c r="C86" s="14"/>
      <c r="D86" s="14"/>
      <c r="E86" s="14"/>
      <c r="F86" s="14"/>
      <c r="G86" s="14"/>
      <c r="H86" s="25"/>
      <c r="I86" s="14"/>
      <c r="J86" s="14"/>
      <c r="K86" s="14"/>
      <c r="L86" s="14"/>
      <c r="M86" s="14"/>
      <c r="N86" s="14"/>
      <c r="O86" s="14"/>
      <c r="P86" s="25"/>
      <c r="Q86" s="14"/>
      <c r="R86" s="14"/>
      <c r="S86" s="14"/>
      <c r="T86" s="14"/>
      <c r="U86" s="14"/>
      <c r="V86" s="14"/>
      <c r="W86" s="14"/>
      <c r="X86" s="25"/>
      <c r="Y86" s="24"/>
      <c r="Z86" s="14"/>
      <c r="AA86" s="14"/>
      <c r="AB86" s="14"/>
      <c r="AC86" s="14"/>
      <c r="AD86" s="14"/>
      <c r="AE86" s="14"/>
      <c r="AF86" s="25"/>
      <c r="AG86" s="24"/>
      <c r="AH86" s="14"/>
      <c r="AI86" s="14"/>
      <c r="AJ86" s="14"/>
      <c r="AK86" s="14"/>
      <c r="AL86" s="14"/>
      <c r="AM86" s="14"/>
      <c r="AN86" s="25"/>
      <c r="AO86" s="195" t="s">
        <v>19</v>
      </c>
      <c r="AP86" s="194"/>
      <c r="AQ86" s="16">
        <f>AV69</f>
        <v>0.46685298487967791</v>
      </c>
      <c r="AR86" s="14"/>
      <c r="AS86" s="14"/>
      <c r="AT86" s="14"/>
      <c r="AU86" s="14"/>
      <c r="AV86" s="25"/>
      <c r="AW86" s="195" t="s">
        <v>19</v>
      </c>
      <c r="AX86" s="194"/>
      <c r="AY86" s="16">
        <f>BD69</f>
        <v>0.34232506520808065</v>
      </c>
      <c r="AZ86" s="14"/>
      <c r="BA86" s="14"/>
      <c r="BB86" s="14"/>
      <c r="BC86" s="14"/>
      <c r="BD86" s="25"/>
      <c r="BE86" s="195" t="s">
        <v>19</v>
      </c>
      <c r="BF86" s="194"/>
      <c r="BG86" s="16">
        <f>BL69</f>
        <v>0.4657663328407422</v>
      </c>
      <c r="BH86" s="14"/>
      <c r="BI86" s="14"/>
      <c r="BJ86" s="14"/>
      <c r="BK86" s="14"/>
      <c r="BL86" s="25"/>
      <c r="BM86" s="195" t="s">
        <v>19</v>
      </c>
      <c r="BN86" s="194"/>
      <c r="BO86" s="16">
        <f>BT69</f>
        <v>0.34336288688550071</v>
      </c>
      <c r="BP86" s="14"/>
      <c r="BQ86" s="14"/>
      <c r="BR86" s="14"/>
      <c r="BS86" s="14"/>
      <c r="BT86" s="25"/>
      <c r="BU86" s="195" t="s">
        <v>19</v>
      </c>
      <c r="BV86" s="194"/>
      <c r="BW86" s="16">
        <f>CB69</f>
        <v>0.4657663328407422</v>
      </c>
      <c r="BX86" s="14"/>
      <c r="BY86" s="14"/>
      <c r="BZ86" s="14"/>
      <c r="CA86" s="14"/>
      <c r="CB86" s="25"/>
      <c r="CC86" s="195" t="s">
        <v>19</v>
      </c>
      <c r="CD86" s="194"/>
      <c r="CE86" s="16">
        <f>CJ69</f>
        <v>0.2638888280864683</v>
      </c>
      <c r="CF86" s="14"/>
      <c r="CG86" s="14"/>
      <c r="CH86" s="14"/>
      <c r="CI86" s="14"/>
      <c r="CJ86" s="25"/>
      <c r="CK86" s="195" t="s">
        <v>19</v>
      </c>
      <c r="CL86" s="194"/>
      <c r="CM86" s="16">
        <f>CR69</f>
        <v>0.38121036562927679</v>
      </c>
      <c r="CN86" s="14"/>
      <c r="CO86" s="14"/>
      <c r="CP86" s="14"/>
      <c r="CQ86" s="14"/>
      <c r="CR86" s="25"/>
      <c r="CS86" s="195" t="s">
        <v>19</v>
      </c>
      <c r="CT86" s="194"/>
      <c r="CU86" s="16">
        <f>CZ69</f>
        <v>0.34232506520808065</v>
      </c>
      <c r="CV86" s="14"/>
      <c r="CW86" s="14"/>
      <c r="CX86" s="14"/>
      <c r="CY86" s="14"/>
      <c r="CZ86" s="25"/>
      <c r="DA86" s="195" t="s">
        <v>19</v>
      </c>
      <c r="DB86" s="194"/>
      <c r="DC86" s="16">
        <f>DH69</f>
        <v>7.7354610182461911E-2</v>
      </c>
      <c r="DD86" s="14"/>
      <c r="DE86" s="14"/>
      <c r="DF86" s="14"/>
      <c r="DG86" s="14"/>
      <c r="DH86" s="25"/>
      <c r="DI86" s="195" t="s">
        <v>19</v>
      </c>
      <c r="DJ86" s="194"/>
      <c r="DK86" s="16">
        <f>DP69</f>
        <v>0.48846037351323057</v>
      </c>
      <c r="DL86" s="14"/>
      <c r="DM86" s="14"/>
      <c r="DN86" s="14"/>
      <c r="DO86" s="14"/>
      <c r="DP86" s="25"/>
      <c r="DQ86" s="195" t="s">
        <v>19</v>
      </c>
      <c r="DR86" s="194"/>
      <c r="DS86" s="16">
        <f>DX69</f>
        <v>0.6123803459785695</v>
      </c>
      <c r="DT86" s="14"/>
      <c r="DU86" s="14"/>
      <c r="DV86" s="14"/>
      <c r="DW86" s="14"/>
      <c r="DX86" s="25"/>
      <c r="DY86" s="195" t="s">
        <v>19</v>
      </c>
      <c r="DZ86" s="194"/>
      <c r="EA86" s="16">
        <f>EF69</f>
        <v>3.3237575176919491E-2</v>
      </c>
      <c r="EB86" s="14"/>
      <c r="EC86" s="14"/>
      <c r="ED86" s="14"/>
      <c r="EE86" s="14"/>
      <c r="EF86" s="25"/>
      <c r="EG86" s="24"/>
      <c r="EH86" s="14"/>
      <c r="EI86" s="14"/>
      <c r="EJ86" s="14"/>
      <c r="EK86" s="14"/>
      <c r="EL86" s="14"/>
      <c r="EM86" s="14"/>
      <c r="EN86" s="25"/>
      <c r="EO86" s="24"/>
      <c r="EP86" s="14"/>
      <c r="EQ86" s="14"/>
      <c r="ER86" s="14"/>
      <c r="ES86" s="14"/>
      <c r="ET86" s="14"/>
      <c r="EU86" s="14"/>
      <c r="EV86" s="25"/>
      <c r="EW86" s="24"/>
      <c r="EX86" s="14"/>
      <c r="EY86" s="14"/>
      <c r="EZ86" s="14"/>
      <c r="FA86" s="14"/>
      <c r="FB86" s="14"/>
      <c r="FC86" s="14"/>
      <c r="FD86" s="25"/>
      <c r="FE86" s="24"/>
      <c r="FF86" s="14"/>
      <c r="FG86" s="14"/>
      <c r="FH86" s="14"/>
      <c r="FI86" s="14"/>
      <c r="FJ86" s="14"/>
      <c r="FK86" s="14"/>
      <c r="FL86" s="25"/>
      <c r="FM86" s="24"/>
      <c r="FN86" s="14"/>
      <c r="FO86" s="14"/>
      <c r="FP86" s="14"/>
      <c r="FQ86" s="14"/>
      <c r="FR86" s="14"/>
      <c r="FS86" s="14"/>
      <c r="FT86" s="25"/>
      <c r="FU86" s="24"/>
      <c r="FV86" s="14"/>
      <c r="FW86" s="14"/>
      <c r="FX86" s="14"/>
      <c r="FY86" s="14"/>
      <c r="FZ86" s="14"/>
      <c r="GA86" s="14"/>
      <c r="GB86" s="25"/>
      <c r="GC86" s="195" t="s">
        <v>217</v>
      </c>
      <c r="GD86" s="194"/>
      <c r="GE86" s="44">
        <f>GJ69*(GJ70/(GJ70+GJ71))</f>
        <v>0.17935565312573776</v>
      </c>
      <c r="GF86" s="14"/>
      <c r="GG86" s="194" t="s">
        <v>219</v>
      </c>
      <c r="GH86" s="198"/>
      <c r="GI86" s="44">
        <f>GI85*GJ86</f>
        <v>0.28682400000000002</v>
      </c>
      <c r="GJ86" s="82">
        <f>LOOKUP(GI66,Reference!$A$101:$A$105,Reference!$K$101:$K$105)</f>
        <v>0.32300000000000001</v>
      </c>
      <c r="GK86" s="195" t="s">
        <v>217</v>
      </c>
      <c r="GL86" s="194"/>
      <c r="GM86" s="44">
        <f>GR69*(GR70/(GR70+GR71))</f>
        <v>4.5961147276528758</v>
      </c>
      <c r="GN86" s="14"/>
      <c r="GO86" s="194" t="s">
        <v>219</v>
      </c>
      <c r="GP86" s="198"/>
      <c r="GQ86" s="44">
        <f>GQ85*GR86</f>
        <v>0.58874058764389059</v>
      </c>
      <c r="GR86" s="82">
        <f>LOOKUP(GQ66,Reference!$A$101:$A$105,Reference!$K$101:$K$105)</f>
        <v>0.34200000000000003</v>
      </c>
      <c r="GS86" s="195" t="s">
        <v>217</v>
      </c>
      <c r="GT86" s="194"/>
      <c r="GU86" s="44">
        <f>GZ69*(GZ70/(GZ70+GZ71))</f>
        <v>2.6073449161144748</v>
      </c>
      <c r="GV86" s="14"/>
      <c r="GW86" s="194" t="s">
        <v>219</v>
      </c>
      <c r="GX86" s="198"/>
      <c r="GY86" s="44">
        <f>GY85*GZ86</f>
        <v>0.22877013333333335</v>
      </c>
      <c r="GZ86" s="82">
        <f>LOOKUP(GY66,Reference!$A$101:$A$105,Reference!$K$101:$K$105)</f>
        <v>0.32300000000000001</v>
      </c>
      <c r="HA86" s="195" t="s">
        <v>217</v>
      </c>
      <c r="HB86" s="194"/>
      <c r="HC86" s="44">
        <f>HH69*(HH70/(HH70+HH71))</f>
        <v>0.91034084912092283</v>
      </c>
      <c r="HD86" s="14"/>
      <c r="HE86" s="194" t="s">
        <v>219</v>
      </c>
      <c r="HF86" s="198"/>
      <c r="HG86" s="44">
        <f>HG85*HH86</f>
        <v>2.8777902522353127</v>
      </c>
      <c r="HH86" s="82">
        <f>LOOKUP(HG66,Reference!$A$101:$A$105,Reference!$K$101:$K$105)</f>
        <v>0.26900000000000002</v>
      </c>
      <c r="HI86" s="195" t="s">
        <v>217</v>
      </c>
      <c r="HJ86" s="194"/>
      <c r="HK86" s="44">
        <f>HP69*(HP70/(HP70+HP71))</f>
        <v>0.56477619916272825</v>
      </c>
      <c r="HL86" s="14"/>
      <c r="HM86" s="194" t="s">
        <v>219</v>
      </c>
      <c r="HN86" s="198"/>
      <c r="HO86" s="44">
        <f>HO85*HP86</f>
        <v>1.0694220436945712</v>
      </c>
      <c r="HP86" s="82">
        <f>LOOKUP(HO66,Reference!$A$101:$A$105,Reference!$K$101:$K$105)</f>
        <v>0.26900000000000002</v>
      </c>
    </row>
    <row r="87" spans="1:224" x14ac:dyDescent="0.25">
      <c r="A87" s="43"/>
      <c r="B87" s="204" t="s">
        <v>45</v>
      </c>
      <c r="C87" s="204"/>
      <c r="D87" s="204"/>
      <c r="E87" s="204"/>
      <c r="F87" s="204"/>
      <c r="G87" s="106" t="s">
        <v>19</v>
      </c>
      <c r="H87" s="32" t="s">
        <v>20</v>
      </c>
      <c r="I87" s="43"/>
      <c r="J87" s="204" t="s">
        <v>45</v>
      </c>
      <c r="K87" s="204"/>
      <c r="L87" s="204"/>
      <c r="M87" s="204"/>
      <c r="N87" s="204"/>
      <c r="O87" s="106" t="s">
        <v>19</v>
      </c>
      <c r="P87" s="32" t="s">
        <v>20</v>
      </c>
      <c r="Q87" s="43"/>
      <c r="R87" s="204" t="s">
        <v>45</v>
      </c>
      <c r="S87" s="204"/>
      <c r="T87" s="204"/>
      <c r="U87" s="204"/>
      <c r="V87" s="204"/>
      <c r="W87" s="106" t="s">
        <v>19</v>
      </c>
      <c r="X87" s="32" t="s">
        <v>20</v>
      </c>
      <c r="Y87" s="31"/>
      <c r="Z87" s="204" t="s">
        <v>45</v>
      </c>
      <c r="AA87" s="204"/>
      <c r="AB87" s="204"/>
      <c r="AC87" s="204"/>
      <c r="AD87" s="204"/>
      <c r="AE87" s="106" t="s">
        <v>19</v>
      </c>
      <c r="AF87" s="32" t="s">
        <v>20</v>
      </c>
      <c r="AG87" s="31"/>
      <c r="AH87" s="204" t="s">
        <v>45</v>
      </c>
      <c r="AI87" s="204"/>
      <c r="AJ87" s="204"/>
      <c r="AK87" s="204"/>
      <c r="AL87" s="204"/>
      <c r="AM87" s="106" t="s">
        <v>19</v>
      </c>
      <c r="AN87" s="32" t="s">
        <v>20</v>
      </c>
      <c r="AO87" s="195" t="s">
        <v>20</v>
      </c>
      <c r="AP87" s="198"/>
      <c r="AQ87" s="16">
        <f>AV70</f>
        <v>1.2527652509220695</v>
      </c>
      <c r="AR87" s="14"/>
      <c r="AS87" s="14"/>
      <c r="AT87" s="14"/>
      <c r="AU87" s="14"/>
      <c r="AV87" s="25"/>
      <c r="AW87" s="195" t="s">
        <v>20</v>
      </c>
      <c r="AX87" s="198"/>
      <c r="AY87" s="16">
        <f>BD70</f>
        <v>1.0592390287679561</v>
      </c>
      <c r="AZ87" s="14"/>
      <c r="BA87" s="14"/>
      <c r="BB87" s="14"/>
      <c r="BC87" s="14"/>
      <c r="BD87" s="25"/>
      <c r="BE87" s="195" t="s">
        <v>20</v>
      </c>
      <c r="BF87" s="198"/>
      <c r="BG87" s="16">
        <f>BL70</f>
        <v>1.2497557673619482</v>
      </c>
      <c r="BH87" s="14"/>
      <c r="BI87" s="14"/>
      <c r="BJ87" s="14"/>
      <c r="BK87" s="14"/>
      <c r="BL87" s="25"/>
      <c r="BM87" s="195" t="s">
        <v>20</v>
      </c>
      <c r="BN87" s="198"/>
      <c r="BO87" s="16">
        <f>BT70</f>
        <v>1.0625654697800688</v>
      </c>
      <c r="BP87" s="14"/>
      <c r="BQ87" s="14"/>
      <c r="BR87" s="14"/>
      <c r="BS87" s="14"/>
      <c r="BT87" s="25"/>
      <c r="BU87" s="195" t="s">
        <v>20</v>
      </c>
      <c r="BV87" s="198"/>
      <c r="BW87" s="16">
        <f>CB70</f>
        <v>1.2497557673619482</v>
      </c>
      <c r="BX87" s="14"/>
      <c r="BY87" s="14"/>
      <c r="BZ87" s="14"/>
      <c r="CA87" s="14"/>
      <c r="CB87" s="25"/>
      <c r="CC87" s="195" t="s">
        <v>20</v>
      </c>
      <c r="CD87" s="198"/>
      <c r="CE87" s="16">
        <f>CJ70</f>
        <v>0.80896477225785968</v>
      </c>
      <c r="CF87" s="14"/>
      <c r="CG87" s="14"/>
      <c r="CH87" s="14"/>
      <c r="CI87" s="14"/>
      <c r="CJ87" s="25"/>
      <c r="CK87" s="195" t="s">
        <v>20</v>
      </c>
      <c r="CL87" s="198"/>
      <c r="CM87" s="16">
        <f>CR70</f>
        <v>1.0163133464427851</v>
      </c>
      <c r="CN87" s="14"/>
      <c r="CO87" s="14"/>
      <c r="CP87" s="14"/>
      <c r="CQ87" s="14"/>
      <c r="CR87" s="25"/>
      <c r="CS87" s="195" t="s">
        <v>20</v>
      </c>
      <c r="CT87" s="198"/>
      <c r="CU87" s="16">
        <f>CZ70</f>
        <v>1.0592390287679561</v>
      </c>
      <c r="CV87" s="14"/>
      <c r="CW87" s="14"/>
      <c r="CX87" s="14"/>
      <c r="CY87" s="14"/>
      <c r="CZ87" s="25"/>
      <c r="DA87" s="195" t="s">
        <v>20</v>
      </c>
      <c r="DB87" s="198"/>
      <c r="DC87" s="16">
        <f>DH70</f>
        <v>0.19593121908803063</v>
      </c>
      <c r="DD87" s="14"/>
      <c r="DE87" s="14"/>
      <c r="DF87" s="14"/>
      <c r="DG87" s="14"/>
      <c r="DH87" s="25"/>
      <c r="DI87" s="195" t="s">
        <v>20</v>
      </c>
      <c r="DJ87" s="198"/>
      <c r="DK87" s="16">
        <f>DP70</f>
        <v>1.5307795988168549</v>
      </c>
      <c r="DL87" s="14"/>
      <c r="DM87" s="14"/>
      <c r="DN87" s="14"/>
      <c r="DO87" s="14"/>
      <c r="DP87" s="25"/>
      <c r="DQ87" s="195" t="s">
        <v>20</v>
      </c>
      <c r="DR87" s="198"/>
      <c r="DS87" s="16">
        <f>DX70</f>
        <v>1.6576593579183516</v>
      </c>
      <c r="DT87" s="14"/>
      <c r="DU87" s="14"/>
      <c r="DV87" s="14"/>
      <c r="DW87" s="14"/>
      <c r="DX87" s="25"/>
      <c r="DY87" s="195" t="s">
        <v>20</v>
      </c>
      <c r="DZ87" s="198"/>
      <c r="EA87" s="16">
        <f>EF70</f>
        <v>9.4606360056609273E-2</v>
      </c>
      <c r="EB87" s="14"/>
      <c r="EC87" s="14"/>
      <c r="ED87" s="14"/>
      <c r="EE87" s="14"/>
      <c r="EF87" s="25"/>
      <c r="EG87" s="24"/>
      <c r="EH87" s="14"/>
      <c r="EI87" s="14"/>
      <c r="EJ87" s="14"/>
      <c r="EK87" s="14"/>
      <c r="EL87" s="14"/>
      <c r="EM87" s="14"/>
      <c r="EN87" s="25"/>
      <c r="EO87" s="24"/>
      <c r="EP87" s="14"/>
      <c r="EQ87" s="14"/>
      <c r="ER87" s="14"/>
      <c r="ES87" s="14"/>
      <c r="ET87" s="14"/>
      <c r="EU87" s="14"/>
      <c r="EV87" s="25"/>
      <c r="EW87" s="24"/>
      <c r="EX87" s="14"/>
      <c r="EY87" s="14"/>
      <c r="EZ87" s="14"/>
      <c r="FA87" s="14"/>
      <c r="FB87" s="14"/>
      <c r="FC87" s="14"/>
      <c r="FD87" s="25"/>
      <c r="FE87" s="24"/>
      <c r="FF87" s="14"/>
      <c r="FG87" s="14"/>
      <c r="FH87" s="14"/>
      <c r="FI87" s="14"/>
      <c r="FJ87" s="14"/>
      <c r="FK87" s="14"/>
      <c r="FL87" s="25"/>
      <c r="FM87" s="24"/>
      <c r="FN87" s="14"/>
      <c r="FO87" s="14"/>
      <c r="FP87" s="14"/>
      <c r="FQ87" s="14"/>
      <c r="FR87" s="14"/>
      <c r="FS87" s="14"/>
      <c r="FT87" s="25"/>
      <c r="FU87" s="24"/>
      <c r="FV87" s="14"/>
      <c r="FW87" s="14"/>
      <c r="FX87" s="14"/>
      <c r="FY87" s="14"/>
      <c r="FZ87" s="14"/>
      <c r="GA87" s="14"/>
      <c r="GB87" s="25"/>
      <c r="GC87" s="195" t="s">
        <v>218</v>
      </c>
      <c r="GD87" s="194"/>
      <c r="GE87" s="44">
        <f>GE85-GE86</f>
        <v>0.43317880243738016</v>
      </c>
      <c r="GF87" s="14"/>
      <c r="GG87" s="194" t="s">
        <v>220</v>
      </c>
      <c r="GH87" s="198"/>
      <c r="GI87" s="44">
        <f>GJ87*GI85</f>
        <v>0.60117600000000015</v>
      </c>
      <c r="GJ87" s="82">
        <f>1-GJ86</f>
        <v>0.67700000000000005</v>
      </c>
      <c r="GK87" s="195" t="s">
        <v>218</v>
      </c>
      <c r="GL87" s="194"/>
      <c r="GM87" s="44">
        <f>GM85-GM86</f>
        <v>10.931771497463924</v>
      </c>
      <c r="GN87" s="14"/>
      <c r="GO87" s="194" t="s">
        <v>220</v>
      </c>
      <c r="GP87" s="198"/>
      <c r="GQ87" s="44">
        <f>GR87*GQ85</f>
        <v>1.1327231189171929</v>
      </c>
      <c r="GR87" s="82">
        <f>1-GR86</f>
        <v>0.65799999999999992</v>
      </c>
      <c r="GS87" s="195" t="s">
        <v>218</v>
      </c>
      <c r="GT87" s="194"/>
      <c r="GU87" s="44">
        <f>GU85-GU86</f>
        <v>6.485294086673818</v>
      </c>
      <c r="GV87" s="14"/>
      <c r="GW87" s="194" t="s">
        <v>220</v>
      </c>
      <c r="GX87" s="198"/>
      <c r="GY87" s="44">
        <f>GZ87*GY85</f>
        <v>0.47949653333333342</v>
      </c>
      <c r="GZ87" s="82">
        <f>1-GZ86</f>
        <v>0.67700000000000005</v>
      </c>
      <c r="HA87" s="195" t="s">
        <v>218</v>
      </c>
      <c r="HB87" s="194"/>
      <c r="HC87" s="44">
        <f>HC85-HC86</f>
        <v>2.5212085476506596</v>
      </c>
      <c r="HD87" s="14"/>
      <c r="HE87" s="194" t="s">
        <v>220</v>
      </c>
      <c r="HF87" s="198"/>
      <c r="HG87" s="44">
        <f>HH87*HG85</f>
        <v>7.8203147746617603</v>
      </c>
      <c r="HH87" s="82">
        <f>1-HH86</f>
        <v>0.73099999999999998</v>
      </c>
      <c r="HI87" s="195" t="s">
        <v>218</v>
      </c>
      <c r="HJ87" s="194"/>
      <c r="HK87" s="44">
        <f>HK85-HK86</f>
        <v>1.5315620339913889</v>
      </c>
      <c r="HL87" s="14"/>
      <c r="HM87" s="194" t="s">
        <v>220</v>
      </c>
      <c r="HN87" s="198"/>
      <c r="HO87" s="44">
        <f>HP87*HO85</f>
        <v>2.9061245871402654</v>
      </c>
      <c r="HP87" s="82">
        <f>1-HP86</f>
        <v>0.73099999999999998</v>
      </c>
    </row>
    <row r="88" spans="1:224" x14ac:dyDescent="0.25">
      <c r="A88" s="106">
        <v>1</v>
      </c>
      <c r="B88" s="223" t="s">
        <v>346</v>
      </c>
      <c r="C88" s="223"/>
      <c r="D88" s="223"/>
      <c r="E88" s="223"/>
      <c r="F88" s="223"/>
      <c r="G88" s="47">
        <v>1</v>
      </c>
      <c r="H88" s="48">
        <v>1</v>
      </c>
      <c r="I88" s="106">
        <v>1</v>
      </c>
      <c r="J88" s="223" t="s">
        <v>346</v>
      </c>
      <c r="K88" s="223"/>
      <c r="L88" s="223"/>
      <c r="M88" s="223"/>
      <c r="N88" s="223"/>
      <c r="O88" s="47">
        <v>1</v>
      </c>
      <c r="P88" s="48">
        <v>1</v>
      </c>
      <c r="Q88" s="106">
        <v>1</v>
      </c>
      <c r="R88" s="223" t="s">
        <v>346</v>
      </c>
      <c r="S88" s="223"/>
      <c r="T88" s="223"/>
      <c r="U88" s="223"/>
      <c r="V88" s="223"/>
      <c r="W88" s="47">
        <v>1</v>
      </c>
      <c r="X88" s="48">
        <v>1</v>
      </c>
      <c r="Y88" s="107">
        <v>1</v>
      </c>
      <c r="Z88" s="223" t="s">
        <v>346</v>
      </c>
      <c r="AA88" s="223"/>
      <c r="AB88" s="223"/>
      <c r="AC88" s="223"/>
      <c r="AD88" s="223"/>
      <c r="AE88" s="47">
        <v>1</v>
      </c>
      <c r="AF88" s="48">
        <v>1</v>
      </c>
      <c r="AG88" s="107">
        <v>1</v>
      </c>
      <c r="AH88" s="223" t="s">
        <v>346</v>
      </c>
      <c r="AI88" s="223"/>
      <c r="AJ88" s="223"/>
      <c r="AK88" s="223"/>
      <c r="AL88" s="223"/>
      <c r="AM88" s="47">
        <v>1</v>
      </c>
      <c r="AN88" s="48">
        <v>1</v>
      </c>
      <c r="AO88" s="24"/>
      <c r="AP88" s="14"/>
      <c r="AQ88" s="14"/>
      <c r="AR88" s="14"/>
      <c r="AS88" s="14"/>
      <c r="AT88" s="14"/>
      <c r="AU88" s="14"/>
      <c r="AV88" s="25"/>
      <c r="AW88" s="24"/>
      <c r="AX88" s="14"/>
      <c r="AY88" s="14"/>
      <c r="AZ88" s="14"/>
      <c r="BA88" s="14"/>
      <c r="BB88" s="14"/>
      <c r="BC88" s="14"/>
      <c r="BD88" s="25"/>
      <c r="BE88" s="24"/>
      <c r="BF88" s="14"/>
      <c r="BG88" s="14"/>
      <c r="BH88" s="14"/>
      <c r="BI88" s="14"/>
      <c r="BJ88" s="14"/>
      <c r="BK88" s="14"/>
      <c r="BL88" s="25"/>
      <c r="BM88" s="24"/>
      <c r="BN88" s="14"/>
      <c r="BO88" s="14"/>
      <c r="BP88" s="14"/>
      <c r="BQ88" s="14"/>
      <c r="BR88" s="14"/>
      <c r="BS88" s="14"/>
      <c r="BT88" s="25"/>
      <c r="BU88" s="24"/>
      <c r="BV88" s="14"/>
      <c r="BW88" s="14"/>
      <c r="BX88" s="14"/>
      <c r="BY88" s="14"/>
      <c r="BZ88" s="14"/>
      <c r="CA88" s="14"/>
      <c r="CB88" s="25"/>
      <c r="CC88" s="24"/>
      <c r="CD88" s="14"/>
      <c r="CE88" s="14"/>
      <c r="CF88" s="14"/>
      <c r="CG88" s="14"/>
      <c r="CH88" s="14"/>
      <c r="CI88" s="14"/>
      <c r="CJ88" s="25"/>
      <c r="CK88" s="24"/>
      <c r="CL88" s="14"/>
      <c r="CM88" s="14"/>
      <c r="CN88" s="14"/>
      <c r="CO88" s="14"/>
      <c r="CP88" s="14"/>
      <c r="CQ88" s="14"/>
      <c r="CR88" s="25"/>
      <c r="CS88" s="24"/>
      <c r="CT88" s="14"/>
      <c r="CU88" s="14"/>
      <c r="CV88" s="14"/>
      <c r="CW88" s="14"/>
      <c r="CX88" s="14"/>
      <c r="CY88" s="14"/>
      <c r="CZ88" s="25"/>
      <c r="DA88" s="24"/>
      <c r="DB88" s="14"/>
      <c r="DC88" s="14"/>
      <c r="DD88" s="14"/>
      <c r="DE88" s="14"/>
      <c r="DF88" s="14"/>
      <c r="DG88" s="14"/>
      <c r="DH88" s="25"/>
      <c r="DI88" s="24"/>
      <c r="DJ88" s="14"/>
      <c r="DK88" s="14"/>
      <c r="DL88" s="14"/>
      <c r="DM88" s="14"/>
      <c r="DN88" s="14"/>
      <c r="DO88" s="14"/>
      <c r="DP88" s="25"/>
      <c r="DQ88" s="24"/>
      <c r="DR88" s="14"/>
      <c r="DS88" s="14"/>
      <c r="DT88" s="14"/>
      <c r="DU88" s="14"/>
      <c r="DV88" s="14"/>
      <c r="DW88" s="14"/>
      <c r="DX88" s="25"/>
      <c r="DY88" s="24"/>
      <c r="DZ88" s="14"/>
      <c r="EA88" s="14"/>
      <c r="EB88" s="14"/>
      <c r="EC88" s="14"/>
      <c r="ED88" s="14"/>
      <c r="EE88" s="14"/>
      <c r="EF88" s="25"/>
      <c r="EG88" s="24"/>
      <c r="EH88" s="14"/>
      <c r="EI88" s="14"/>
      <c r="EJ88" s="14"/>
      <c r="EK88" s="14"/>
      <c r="EL88" s="14"/>
      <c r="EM88" s="14"/>
      <c r="EN88" s="25"/>
      <c r="EO88" s="24"/>
      <c r="EP88" s="14"/>
      <c r="EQ88" s="14"/>
      <c r="ER88" s="14"/>
      <c r="ES88" s="14"/>
      <c r="ET88" s="14"/>
      <c r="EU88" s="14"/>
      <c r="EV88" s="25"/>
      <c r="EW88" s="24"/>
      <c r="EX88" s="14"/>
      <c r="EY88" s="14"/>
      <c r="EZ88" s="14"/>
      <c r="FA88" s="14"/>
      <c r="FB88" s="14"/>
      <c r="FC88" s="14"/>
      <c r="FD88" s="25"/>
      <c r="FE88" s="24"/>
      <c r="FF88" s="14"/>
      <c r="FG88" s="14"/>
      <c r="FH88" s="14"/>
      <c r="FI88" s="14"/>
      <c r="FJ88" s="14"/>
      <c r="FK88" s="14"/>
      <c r="FL88" s="25"/>
      <c r="FM88" s="24"/>
      <c r="FN88" s="14"/>
      <c r="FO88" s="14"/>
      <c r="FP88" s="14"/>
      <c r="FQ88" s="14"/>
      <c r="FR88" s="14"/>
      <c r="FS88" s="14"/>
      <c r="FT88" s="25"/>
      <c r="FU88" s="24"/>
      <c r="FV88" s="14"/>
      <c r="FW88" s="14"/>
      <c r="FX88" s="14"/>
      <c r="FY88" s="14"/>
      <c r="FZ88" s="14"/>
      <c r="GA88" s="14"/>
      <c r="GB88" s="25"/>
      <c r="GC88" s="195" t="s">
        <v>3</v>
      </c>
      <c r="GD88" s="194"/>
      <c r="GE88" s="44">
        <f>GJ72</f>
        <v>0.28367347324190739</v>
      </c>
      <c r="GF88" s="14"/>
      <c r="GG88" s="14"/>
      <c r="GH88" s="14"/>
      <c r="GI88" s="14"/>
      <c r="GJ88" s="25"/>
      <c r="GK88" s="195" t="s">
        <v>3</v>
      </c>
      <c r="GL88" s="194"/>
      <c r="GM88" s="44">
        <f>GR72</f>
        <v>3.0550297929180035</v>
      </c>
      <c r="GN88" s="14"/>
      <c r="GO88" s="14"/>
      <c r="GP88" s="14"/>
      <c r="GQ88" s="14"/>
      <c r="GR88" s="25"/>
      <c r="GS88" s="195" t="s">
        <v>3</v>
      </c>
      <c r="GT88" s="194"/>
      <c r="GU88" s="44">
        <f>GZ72</f>
        <v>1.4037609980415715</v>
      </c>
      <c r="GV88" s="14"/>
      <c r="GW88" s="14"/>
      <c r="GX88" s="14"/>
      <c r="GY88" s="14"/>
      <c r="GZ88" s="25"/>
      <c r="HA88" s="195" t="s">
        <v>3</v>
      </c>
      <c r="HB88" s="194"/>
      <c r="HC88" s="44">
        <f>HH72</f>
        <v>0.65554549958144115</v>
      </c>
      <c r="HD88" s="14"/>
      <c r="HE88" s="14"/>
      <c r="HF88" s="14"/>
      <c r="HG88" s="14"/>
      <c r="HH88" s="25"/>
      <c r="HI88" s="195" t="s">
        <v>3</v>
      </c>
      <c r="HJ88" s="194"/>
      <c r="HK88" s="44">
        <f>HP72</f>
        <v>0.52218004472353141</v>
      </c>
      <c r="HL88" s="14"/>
      <c r="HM88" s="14"/>
      <c r="HN88" s="14"/>
      <c r="HO88" s="14"/>
      <c r="HP88" s="25"/>
    </row>
    <row r="89" spans="1:224" x14ac:dyDescent="0.25">
      <c r="A89" s="106">
        <v>2</v>
      </c>
      <c r="B89" s="215" t="s">
        <v>195</v>
      </c>
      <c r="C89" s="216"/>
      <c r="D89" s="216"/>
      <c r="E89" s="217"/>
      <c r="F89" s="62">
        <v>13</v>
      </c>
      <c r="G89" s="47">
        <f>IF(F89&gt;=13,0.963,EXP(-0.0376*(F89-12)))</f>
        <v>0.96299999999999997</v>
      </c>
      <c r="H89" s="48">
        <v>1</v>
      </c>
      <c r="I89" s="106">
        <v>2</v>
      </c>
      <c r="J89" s="215" t="s">
        <v>195</v>
      </c>
      <c r="K89" s="216"/>
      <c r="L89" s="216"/>
      <c r="M89" s="217"/>
      <c r="N89" s="62">
        <v>13</v>
      </c>
      <c r="O89" s="47">
        <f>IF(N89&gt;=13,0.963,EXP(-0.0376*(N89-12)))</f>
        <v>0.96299999999999997</v>
      </c>
      <c r="P89" s="48">
        <v>1</v>
      </c>
      <c r="Q89" s="106">
        <v>2</v>
      </c>
      <c r="R89" s="215" t="s">
        <v>195</v>
      </c>
      <c r="S89" s="216"/>
      <c r="T89" s="216"/>
      <c r="U89" s="217"/>
      <c r="V89" s="62">
        <v>13</v>
      </c>
      <c r="W89" s="47">
        <f>IF(V89&gt;=13,0.963,EXP(-0.0376*(V89-12)))</f>
        <v>0.96299999999999997</v>
      </c>
      <c r="X89" s="48">
        <v>1</v>
      </c>
      <c r="Y89" s="107">
        <v>2</v>
      </c>
      <c r="Z89" s="215" t="s">
        <v>195</v>
      </c>
      <c r="AA89" s="216"/>
      <c r="AB89" s="216"/>
      <c r="AC89" s="217"/>
      <c r="AD89" s="62">
        <v>13</v>
      </c>
      <c r="AE89" s="47">
        <f>IF(AD89&gt;=13,0.963,EXP(-0.0376*(AD89-12)))</f>
        <v>0.96299999999999997</v>
      </c>
      <c r="AF89" s="48">
        <v>1</v>
      </c>
      <c r="AG89" s="107">
        <v>2</v>
      </c>
      <c r="AH89" s="215" t="s">
        <v>195</v>
      </c>
      <c r="AI89" s="216"/>
      <c r="AJ89" s="216"/>
      <c r="AK89" s="217"/>
      <c r="AL89" s="62">
        <v>13</v>
      </c>
      <c r="AM89" s="47">
        <f>IF(AL89&gt;=13,0.963,EXP(-0.0376*(AL89-12)))</f>
        <v>0.96299999999999997</v>
      </c>
      <c r="AN89" s="48">
        <v>1</v>
      </c>
      <c r="AO89" s="24"/>
      <c r="AP89" s="14"/>
      <c r="AQ89" s="14"/>
      <c r="AR89" s="14"/>
      <c r="AS89" s="14"/>
      <c r="AT89" s="14"/>
      <c r="AU89" s="14"/>
      <c r="AV89" s="25"/>
      <c r="AW89" s="24"/>
      <c r="AX89" s="14"/>
      <c r="AY89" s="14"/>
      <c r="AZ89" s="14"/>
      <c r="BA89" s="14"/>
      <c r="BB89" s="14"/>
      <c r="BC89" s="14"/>
      <c r="BD89" s="25"/>
      <c r="BE89" s="24"/>
      <c r="BF89" s="14"/>
      <c r="BG89" s="14"/>
      <c r="BH89" s="14"/>
      <c r="BI89" s="14"/>
      <c r="BJ89" s="14"/>
      <c r="BK89" s="14"/>
      <c r="BL89" s="25"/>
      <c r="BM89" s="24"/>
      <c r="BN89" s="14"/>
      <c r="BO89" s="14"/>
      <c r="BP89" s="14"/>
      <c r="BQ89" s="14"/>
      <c r="BR89" s="14"/>
      <c r="BS89" s="14"/>
      <c r="BT89" s="25"/>
      <c r="BU89" s="24"/>
      <c r="BV89" s="14"/>
      <c r="BW89" s="14"/>
      <c r="BX89" s="14"/>
      <c r="BY89" s="14"/>
      <c r="BZ89" s="14"/>
      <c r="CA89" s="14"/>
      <c r="CB89" s="25"/>
      <c r="CC89" s="24"/>
      <c r="CD89" s="14"/>
      <c r="CE89" s="14"/>
      <c r="CF89" s="14"/>
      <c r="CG89" s="14"/>
      <c r="CH89" s="14"/>
      <c r="CI89" s="14"/>
      <c r="CJ89" s="25"/>
      <c r="CK89" s="24"/>
      <c r="CL89" s="14"/>
      <c r="CM89" s="14"/>
      <c r="CN89" s="14"/>
      <c r="CO89" s="14"/>
      <c r="CP89" s="14"/>
      <c r="CQ89" s="14"/>
      <c r="CR89" s="25"/>
      <c r="CS89" s="24"/>
      <c r="CT89" s="14"/>
      <c r="CU89" s="14"/>
      <c r="CV89" s="14"/>
      <c r="CW89" s="14"/>
      <c r="CX89" s="14"/>
      <c r="CY89" s="14"/>
      <c r="CZ89" s="25"/>
      <c r="DA89" s="24"/>
      <c r="DB89" s="14"/>
      <c r="DC89" s="14"/>
      <c r="DD89" s="14"/>
      <c r="DE89" s="14"/>
      <c r="DF89" s="14"/>
      <c r="DG89" s="14"/>
      <c r="DH89" s="25"/>
      <c r="DI89" s="24"/>
      <c r="DJ89" s="14"/>
      <c r="DK89" s="14"/>
      <c r="DL89" s="14"/>
      <c r="DM89" s="14"/>
      <c r="DN89" s="14"/>
      <c r="DO89" s="14"/>
      <c r="DP89" s="25"/>
      <c r="DQ89" s="24"/>
      <c r="DR89" s="14"/>
      <c r="DS89" s="14"/>
      <c r="DT89" s="14"/>
      <c r="DU89" s="14"/>
      <c r="DV89" s="14"/>
      <c r="DW89" s="14"/>
      <c r="DX89" s="25"/>
      <c r="DY89" s="24"/>
      <c r="DZ89" s="14"/>
      <c r="EA89" s="14"/>
      <c r="EB89" s="14"/>
      <c r="EC89" s="14"/>
      <c r="ED89" s="14"/>
      <c r="EE89" s="14"/>
      <c r="EF89" s="25"/>
      <c r="EG89" s="24"/>
      <c r="EH89" s="14"/>
      <c r="EI89" s="14"/>
      <c r="EJ89" s="14"/>
      <c r="EK89" s="14"/>
      <c r="EL89" s="14"/>
      <c r="EM89" s="14"/>
      <c r="EN89" s="25"/>
      <c r="EO89" s="24"/>
      <c r="EP89" s="14"/>
      <c r="EQ89" s="14"/>
      <c r="ER89" s="14"/>
      <c r="ES89" s="14"/>
      <c r="ET89" s="14"/>
      <c r="EU89" s="14"/>
      <c r="EV89" s="25"/>
      <c r="EW89" s="24"/>
      <c r="EX89" s="14"/>
      <c r="EY89" s="14"/>
      <c r="EZ89" s="14"/>
      <c r="FA89" s="14"/>
      <c r="FB89" s="14"/>
      <c r="FC89" s="14"/>
      <c r="FD89" s="25"/>
      <c r="FE89" s="24"/>
      <c r="FF89" s="14"/>
      <c r="FG89" s="14"/>
      <c r="FH89" s="14"/>
      <c r="FI89" s="14"/>
      <c r="FJ89" s="14"/>
      <c r="FK89" s="14"/>
      <c r="FL89" s="25"/>
      <c r="FM89" s="24"/>
      <c r="FN89" s="14"/>
      <c r="FO89" s="14"/>
      <c r="FP89" s="14"/>
      <c r="FQ89" s="14"/>
      <c r="FR89" s="14"/>
      <c r="FS89" s="14"/>
      <c r="FT89" s="25"/>
      <c r="FU89" s="24"/>
      <c r="FV89" s="14"/>
      <c r="FW89" s="14"/>
      <c r="FX89" s="14"/>
      <c r="FY89" s="14"/>
      <c r="FZ89" s="14"/>
      <c r="GA89" s="14"/>
      <c r="GB89" s="25"/>
      <c r="GC89" s="195" t="s">
        <v>4</v>
      </c>
      <c r="GD89" s="194"/>
      <c r="GE89" s="44">
        <f>IF(GE73=0,GJ73,GJ72*(GJ73/(GJ73+GJ74)))</f>
        <v>6.070561685734098E-2</v>
      </c>
      <c r="GF89" s="14"/>
      <c r="GG89" s="194" t="s">
        <v>111</v>
      </c>
      <c r="GH89" s="198"/>
      <c r="GI89" s="44">
        <f>GI112*GE83</f>
        <v>6.0963982782896817E-2</v>
      </c>
      <c r="GJ89" s="25"/>
      <c r="GK89" s="195" t="s">
        <v>4</v>
      </c>
      <c r="GL89" s="194"/>
      <c r="GM89" s="44">
        <f>IF(GM73=0,GR73,GR72*(GR73/(GR73+GR74)))</f>
        <v>0.70763924950296475</v>
      </c>
      <c r="GN89" s="14"/>
      <c r="GO89" s="194" t="s">
        <v>111</v>
      </c>
      <c r="GP89" s="198"/>
      <c r="GQ89" s="44">
        <f>GQ112*GM83</f>
        <v>0.41455744851291665</v>
      </c>
      <c r="GR89" s="25"/>
      <c r="GS89" s="195" t="s">
        <v>4</v>
      </c>
      <c r="GT89" s="194"/>
      <c r="GU89" s="44">
        <f>IF(GU73=0,GZ73,GZ72*(GZ73/(GZ73+GZ74)))</f>
        <v>0.21625882995380158</v>
      </c>
      <c r="GV89" s="14"/>
      <c r="GW89" s="194" t="s">
        <v>111</v>
      </c>
      <c r="GX89" s="198"/>
      <c r="GY89" s="44">
        <f>GY112*GU83</f>
        <v>0.38284837477594352</v>
      </c>
      <c r="GZ89" s="25"/>
      <c r="HA89" s="195" t="s">
        <v>4</v>
      </c>
      <c r="HB89" s="194"/>
      <c r="HC89" s="44">
        <f>IF(HC73=0,HH73,HH72*(HH73/(HH73+HH74)))</f>
        <v>0.14071427549229637</v>
      </c>
      <c r="HD89" s="14"/>
      <c r="HE89" s="194" t="s">
        <v>111</v>
      </c>
      <c r="HF89" s="198"/>
      <c r="HG89" s="44">
        <f>HG112*HC83</f>
        <v>0.32142921739206476</v>
      </c>
      <c r="HH89" s="25"/>
      <c r="HI89" s="195" t="s">
        <v>4</v>
      </c>
      <c r="HJ89" s="194"/>
      <c r="HK89" s="44">
        <f>IF(HK73=0,HP73,HP72*(HP73/(HP73+HP74)))</f>
        <v>0.12202817334692824</v>
      </c>
      <c r="HL89" s="14"/>
      <c r="HM89" s="194" t="s">
        <v>111</v>
      </c>
      <c r="HN89" s="198"/>
      <c r="HO89" s="44">
        <f>HO112*HK83</f>
        <v>0.14335451221778372</v>
      </c>
      <c r="HP89" s="25"/>
    </row>
    <row r="90" spans="1:224" x14ac:dyDescent="0.25">
      <c r="A90" s="106">
        <v>3</v>
      </c>
      <c r="B90" s="215" t="s">
        <v>202</v>
      </c>
      <c r="C90" s="216"/>
      <c r="D90" s="216"/>
      <c r="E90" s="217"/>
      <c r="F90" s="60">
        <v>10</v>
      </c>
      <c r="G90" s="47">
        <f>EXP(-0.0172*(F90-6))</f>
        <v>0.9335133640819957</v>
      </c>
      <c r="H90" s="48">
        <f>EXP(-0.0153*(F90-6))</f>
        <v>0.94063509394326494</v>
      </c>
      <c r="I90" s="106">
        <v>3</v>
      </c>
      <c r="J90" s="215" t="s">
        <v>202</v>
      </c>
      <c r="K90" s="216"/>
      <c r="L90" s="216"/>
      <c r="M90" s="217"/>
      <c r="N90" s="60">
        <v>10</v>
      </c>
      <c r="O90" s="47">
        <f>EXP(-0.0172*(N90-6))</f>
        <v>0.9335133640819957</v>
      </c>
      <c r="P90" s="48">
        <f>EXP(-0.0153*(N90-6))</f>
        <v>0.94063509394326494</v>
      </c>
      <c r="Q90" s="106">
        <v>3</v>
      </c>
      <c r="R90" s="215" t="s">
        <v>202</v>
      </c>
      <c r="S90" s="216"/>
      <c r="T90" s="216"/>
      <c r="U90" s="217"/>
      <c r="V90" s="60">
        <v>10</v>
      </c>
      <c r="W90" s="47">
        <f>EXP(-0.0172*(V90-6))</f>
        <v>0.9335133640819957</v>
      </c>
      <c r="X90" s="48">
        <f>EXP(-0.0153*(V90-6))</f>
        <v>0.94063509394326494</v>
      </c>
      <c r="Y90" s="107">
        <v>3</v>
      </c>
      <c r="Z90" s="215" t="s">
        <v>202</v>
      </c>
      <c r="AA90" s="216"/>
      <c r="AB90" s="216"/>
      <c r="AC90" s="217"/>
      <c r="AD90" s="60">
        <v>10</v>
      </c>
      <c r="AE90" s="47">
        <f>EXP(-0.0172*(AD90-6))</f>
        <v>0.9335133640819957</v>
      </c>
      <c r="AF90" s="48">
        <f>EXP(-0.0153*(AD90-6))</f>
        <v>0.94063509394326494</v>
      </c>
      <c r="AG90" s="107">
        <v>3</v>
      </c>
      <c r="AH90" s="215" t="s">
        <v>202</v>
      </c>
      <c r="AI90" s="216"/>
      <c r="AJ90" s="216"/>
      <c r="AK90" s="217"/>
      <c r="AL90" s="60">
        <v>10</v>
      </c>
      <c r="AM90" s="47">
        <f>EXP(-0.0172*(AL90-6))</f>
        <v>0.9335133640819957</v>
      </c>
      <c r="AN90" s="48">
        <f>EXP(-0.0153*(AL90-6))</f>
        <v>0.94063509394326494</v>
      </c>
      <c r="AO90" s="31"/>
      <c r="AP90" s="204" t="s">
        <v>45</v>
      </c>
      <c r="AQ90" s="204"/>
      <c r="AR90" s="204"/>
      <c r="AS90" s="204"/>
      <c r="AT90" s="204"/>
      <c r="AU90" s="112" t="s">
        <v>19</v>
      </c>
      <c r="AV90" s="32" t="s">
        <v>20</v>
      </c>
      <c r="AW90" s="31"/>
      <c r="AX90" s="204" t="s">
        <v>45</v>
      </c>
      <c r="AY90" s="204"/>
      <c r="AZ90" s="204"/>
      <c r="BA90" s="204"/>
      <c r="BB90" s="204"/>
      <c r="BC90" s="112" t="s">
        <v>19</v>
      </c>
      <c r="BD90" s="32" t="s">
        <v>20</v>
      </c>
      <c r="BE90" s="31"/>
      <c r="BF90" s="204" t="s">
        <v>45</v>
      </c>
      <c r="BG90" s="204"/>
      <c r="BH90" s="204"/>
      <c r="BI90" s="204"/>
      <c r="BJ90" s="204"/>
      <c r="BK90" s="112" t="s">
        <v>19</v>
      </c>
      <c r="BL90" s="32" t="s">
        <v>20</v>
      </c>
      <c r="BM90" s="31"/>
      <c r="BN90" s="204" t="s">
        <v>45</v>
      </c>
      <c r="BO90" s="204"/>
      <c r="BP90" s="204"/>
      <c r="BQ90" s="204"/>
      <c r="BR90" s="204"/>
      <c r="BS90" s="112" t="s">
        <v>19</v>
      </c>
      <c r="BT90" s="32" t="s">
        <v>20</v>
      </c>
      <c r="BU90" s="31"/>
      <c r="BV90" s="204" t="s">
        <v>45</v>
      </c>
      <c r="BW90" s="204"/>
      <c r="BX90" s="204"/>
      <c r="BY90" s="204"/>
      <c r="BZ90" s="204"/>
      <c r="CA90" s="112" t="s">
        <v>19</v>
      </c>
      <c r="CB90" s="32" t="s">
        <v>20</v>
      </c>
      <c r="CC90" s="31"/>
      <c r="CD90" s="204" t="s">
        <v>45</v>
      </c>
      <c r="CE90" s="204"/>
      <c r="CF90" s="204"/>
      <c r="CG90" s="204"/>
      <c r="CH90" s="204"/>
      <c r="CI90" s="112" t="s">
        <v>19</v>
      </c>
      <c r="CJ90" s="32" t="s">
        <v>20</v>
      </c>
      <c r="CK90" s="31"/>
      <c r="CL90" s="204" t="s">
        <v>45</v>
      </c>
      <c r="CM90" s="204"/>
      <c r="CN90" s="204"/>
      <c r="CO90" s="204"/>
      <c r="CP90" s="204"/>
      <c r="CQ90" s="112" t="s">
        <v>19</v>
      </c>
      <c r="CR90" s="32" t="s">
        <v>20</v>
      </c>
      <c r="CS90" s="31"/>
      <c r="CT90" s="204" t="s">
        <v>45</v>
      </c>
      <c r="CU90" s="204"/>
      <c r="CV90" s="204"/>
      <c r="CW90" s="204"/>
      <c r="CX90" s="204"/>
      <c r="CY90" s="112" t="s">
        <v>19</v>
      </c>
      <c r="CZ90" s="32" t="s">
        <v>20</v>
      </c>
      <c r="DA90" s="31"/>
      <c r="DB90" s="204" t="s">
        <v>45</v>
      </c>
      <c r="DC90" s="204"/>
      <c r="DD90" s="204"/>
      <c r="DE90" s="204"/>
      <c r="DF90" s="204"/>
      <c r="DG90" s="112" t="s">
        <v>19</v>
      </c>
      <c r="DH90" s="32" t="s">
        <v>20</v>
      </c>
      <c r="DI90" s="31"/>
      <c r="DJ90" s="204" t="s">
        <v>45</v>
      </c>
      <c r="DK90" s="204"/>
      <c r="DL90" s="204"/>
      <c r="DM90" s="204"/>
      <c r="DN90" s="204"/>
      <c r="DO90" s="112" t="s">
        <v>19</v>
      </c>
      <c r="DP90" s="32" t="s">
        <v>20</v>
      </c>
      <c r="DQ90" s="31"/>
      <c r="DR90" s="204" t="s">
        <v>45</v>
      </c>
      <c r="DS90" s="204"/>
      <c r="DT90" s="204"/>
      <c r="DU90" s="204"/>
      <c r="DV90" s="204"/>
      <c r="DW90" s="112" t="s">
        <v>19</v>
      </c>
      <c r="DX90" s="32" t="s">
        <v>20</v>
      </c>
      <c r="DY90" s="31"/>
      <c r="DZ90" s="204" t="s">
        <v>45</v>
      </c>
      <c r="EA90" s="204"/>
      <c r="EB90" s="204"/>
      <c r="EC90" s="204"/>
      <c r="ED90" s="204"/>
      <c r="EE90" s="112" t="s">
        <v>19</v>
      </c>
      <c r="EF90" s="32" t="s">
        <v>20</v>
      </c>
      <c r="EG90" s="31"/>
      <c r="EH90" s="204" t="s">
        <v>45</v>
      </c>
      <c r="EI90" s="204"/>
      <c r="EJ90" s="204"/>
      <c r="EK90" s="204"/>
      <c r="EL90" s="204"/>
      <c r="EM90" s="112" t="s">
        <v>19</v>
      </c>
      <c r="EN90" s="32" t="s">
        <v>20</v>
      </c>
      <c r="EO90" s="31"/>
      <c r="EP90" s="204" t="s">
        <v>45</v>
      </c>
      <c r="EQ90" s="204"/>
      <c r="ER90" s="204"/>
      <c r="ES90" s="204"/>
      <c r="ET90" s="204"/>
      <c r="EU90" s="112" t="s">
        <v>19</v>
      </c>
      <c r="EV90" s="32" t="s">
        <v>20</v>
      </c>
      <c r="EW90" s="31"/>
      <c r="EX90" s="204" t="s">
        <v>45</v>
      </c>
      <c r="EY90" s="204"/>
      <c r="EZ90" s="204"/>
      <c r="FA90" s="204"/>
      <c r="FB90" s="204"/>
      <c r="FC90" s="112" t="s">
        <v>19</v>
      </c>
      <c r="FD90" s="32" t="s">
        <v>20</v>
      </c>
      <c r="FE90" s="31"/>
      <c r="FF90" s="204" t="s">
        <v>45</v>
      </c>
      <c r="FG90" s="204"/>
      <c r="FH90" s="204"/>
      <c r="FI90" s="204"/>
      <c r="FJ90" s="204"/>
      <c r="FK90" s="112" t="s">
        <v>19</v>
      </c>
      <c r="FL90" s="32" t="s">
        <v>20</v>
      </c>
      <c r="FM90" s="31"/>
      <c r="FN90" s="204" t="s">
        <v>45</v>
      </c>
      <c r="FO90" s="204"/>
      <c r="FP90" s="204"/>
      <c r="FQ90" s="204"/>
      <c r="FR90" s="204"/>
      <c r="FS90" s="112" t="s">
        <v>19</v>
      </c>
      <c r="FT90" s="32" t="s">
        <v>20</v>
      </c>
      <c r="FU90" s="31"/>
      <c r="FV90" s="204" t="s">
        <v>45</v>
      </c>
      <c r="FW90" s="204"/>
      <c r="FX90" s="204"/>
      <c r="FY90" s="204"/>
      <c r="FZ90" s="204"/>
      <c r="GA90" s="112" t="s">
        <v>19</v>
      </c>
      <c r="GB90" s="32" t="s">
        <v>20</v>
      </c>
      <c r="GC90" s="195" t="s">
        <v>5</v>
      </c>
      <c r="GD90" s="194"/>
      <c r="GE90" s="44">
        <f>GE88-GE89</f>
        <v>0.2229678563845664</v>
      </c>
      <c r="GF90" s="14"/>
      <c r="GG90" s="194" t="s">
        <v>112</v>
      </c>
      <c r="GH90" s="198"/>
      <c r="GI90" s="44">
        <f>GI112*GI83</f>
        <v>3.0481991391448408E-2</v>
      </c>
      <c r="GJ90" s="25"/>
      <c r="GK90" s="195" t="s">
        <v>5</v>
      </c>
      <c r="GL90" s="194"/>
      <c r="GM90" s="44">
        <f>GM88-GM89</f>
        <v>2.3473905434150386</v>
      </c>
      <c r="GN90" s="14"/>
      <c r="GO90" s="194" t="s">
        <v>112</v>
      </c>
      <c r="GP90" s="198"/>
      <c r="GQ90" s="44">
        <f>GQ112*GQ83</f>
        <v>0.20727872425645832</v>
      </c>
      <c r="GR90" s="25"/>
      <c r="GS90" s="195" t="s">
        <v>5</v>
      </c>
      <c r="GT90" s="194"/>
      <c r="GU90" s="44">
        <f>GU88-GU89</f>
        <v>1.18750216808777</v>
      </c>
      <c r="GV90" s="14"/>
      <c r="GW90" s="194" t="s">
        <v>112</v>
      </c>
      <c r="GX90" s="198"/>
      <c r="GY90" s="44">
        <f>GY112*GY83</f>
        <v>0.19142418738797176</v>
      </c>
      <c r="GZ90" s="25"/>
      <c r="HA90" s="195" t="s">
        <v>5</v>
      </c>
      <c r="HB90" s="194"/>
      <c r="HC90" s="44">
        <f>HC88-HC89</f>
        <v>0.51483122408914483</v>
      </c>
      <c r="HD90" s="14"/>
      <c r="HE90" s="194" t="s">
        <v>112</v>
      </c>
      <c r="HF90" s="198"/>
      <c r="HG90" s="44">
        <f>HG112*HG83</f>
        <v>0.16770220037846856</v>
      </c>
      <c r="HH90" s="25"/>
      <c r="HI90" s="195" t="s">
        <v>5</v>
      </c>
      <c r="HJ90" s="194"/>
      <c r="HK90" s="44">
        <f>HK88-HK89</f>
        <v>0.40015187137660319</v>
      </c>
      <c r="HL90" s="14"/>
      <c r="HM90" s="194" t="s">
        <v>112</v>
      </c>
      <c r="HN90" s="198"/>
      <c r="HO90" s="44">
        <f>HO112*HO83</f>
        <v>7.4793658548408914E-2</v>
      </c>
      <c r="HP90" s="25"/>
    </row>
    <row r="91" spans="1:224" x14ac:dyDescent="0.25">
      <c r="A91" s="106">
        <v>5</v>
      </c>
      <c r="B91" s="215" t="s">
        <v>204</v>
      </c>
      <c r="C91" s="216"/>
      <c r="D91" s="217"/>
      <c r="E91" s="59">
        <v>1</v>
      </c>
      <c r="F91" s="61">
        <v>13</v>
      </c>
      <c r="G91" s="47">
        <f>(1-E91)+E91*EXP(0.131/F91)</f>
        <v>1.0101278662392577</v>
      </c>
      <c r="H91" s="48">
        <f>(1-E91)+E91*EXP(0.169/F91)</f>
        <v>1.0130848673598092</v>
      </c>
      <c r="I91" s="106">
        <v>5</v>
      </c>
      <c r="J91" s="215" t="s">
        <v>204</v>
      </c>
      <c r="K91" s="216"/>
      <c r="L91" s="217"/>
      <c r="M91" s="59">
        <v>1</v>
      </c>
      <c r="N91" s="61">
        <v>13</v>
      </c>
      <c r="O91" s="47">
        <f>(1-M91)+M91*EXP(0.131/N91)</f>
        <v>1.0101278662392577</v>
      </c>
      <c r="P91" s="48">
        <f>(1-M91)+M91*EXP(0.169/N91)</f>
        <v>1.0130848673598092</v>
      </c>
      <c r="Q91" s="106">
        <v>5</v>
      </c>
      <c r="R91" s="215" t="s">
        <v>204</v>
      </c>
      <c r="S91" s="216"/>
      <c r="T91" s="217"/>
      <c r="U91" s="59">
        <v>1</v>
      </c>
      <c r="V91" s="61">
        <v>13</v>
      </c>
      <c r="W91" s="47">
        <f>(1-U91)+U91*EXP(0.131/V91)</f>
        <v>1.0101278662392577</v>
      </c>
      <c r="X91" s="48">
        <f>(1-U91)+U91*EXP(0.169/V91)</f>
        <v>1.0130848673598092</v>
      </c>
      <c r="Y91" s="107">
        <v>5</v>
      </c>
      <c r="Z91" s="215" t="s">
        <v>204</v>
      </c>
      <c r="AA91" s="216"/>
      <c r="AB91" s="217"/>
      <c r="AC91" s="59">
        <v>1</v>
      </c>
      <c r="AD91" s="61">
        <v>13</v>
      </c>
      <c r="AE91" s="47">
        <f>(1-AC91)+AC91*EXP(0.131/AD91)</f>
        <v>1.0101278662392577</v>
      </c>
      <c r="AF91" s="48">
        <f>(1-AC91)+AC91*EXP(0.169/AD91)</f>
        <v>1.0130848673598092</v>
      </c>
      <c r="AG91" s="107">
        <v>5</v>
      </c>
      <c r="AH91" s="215" t="s">
        <v>204</v>
      </c>
      <c r="AI91" s="216"/>
      <c r="AJ91" s="217"/>
      <c r="AK91" s="59">
        <v>0.5</v>
      </c>
      <c r="AL91" s="61">
        <v>13</v>
      </c>
      <c r="AM91" s="47">
        <f>(1-AK91)+AK91*EXP(0.131/AL91)</f>
        <v>1.0050639331196289</v>
      </c>
      <c r="AN91" s="48">
        <f>(1-AK91)+AK91*EXP(0.169/AL91)</f>
        <v>1.0065424336799045</v>
      </c>
      <c r="AO91" s="116">
        <v>1</v>
      </c>
      <c r="AP91" s="199" t="s">
        <v>279</v>
      </c>
      <c r="AQ91" s="199"/>
      <c r="AR91" s="199"/>
      <c r="AS91" s="199"/>
      <c r="AT91" s="199"/>
      <c r="AU91" s="47">
        <f>IF(OR(AU66="1 (Merge, 4 Through Lanes)",AU66="2 (Merge, 6 Through Lanes)"),EXP(AQ75*IF(AR67="Left",1,0)+AR75/AR66+AT75*LN(AS75*AP67)),EXP(AQ75*IF(AR67="Left",1,0)+AR75/AR66))</f>
        <v>1.0474933244984428</v>
      </c>
      <c r="AV91" s="48">
        <f>IF(OR(AU66="1 (Merge, 4 Through Lanes)",AU66="2 (Merge, 6 Through Lanes)"),EXP(AQ76*IF(AR67="Left",1,0)+AR76/AR66+AT76*LN(AS76*AP67)),EXP(AQ76*IF(AR67="Left",1,0)+AR76/AR66))</f>
        <v>1</v>
      </c>
      <c r="AW91" s="116">
        <v>1</v>
      </c>
      <c r="AX91" s="199" t="s">
        <v>279</v>
      </c>
      <c r="AY91" s="199"/>
      <c r="AZ91" s="199"/>
      <c r="BA91" s="199"/>
      <c r="BB91" s="199"/>
      <c r="BC91" s="47">
        <f>IF(OR(BC66="1 (Merge, 4 Through Lanes)",BC66="2 (Merge, 6 Through Lanes)"),EXP(AY75*IF(AZ67="Left",1,0)+AZ75/AZ66+BB75*LN(BA75*AX67)),EXP(AY75*IF(AZ67="Left",1,0)+AZ75/AZ66))</f>
        <v>1.579970143704057</v>
      </c>
      <c r="BD91" s="48">
        <f>IF(OR(BC66="1 (Merge, 4 Through Lanes)",BC66="2 (Merge, 6 Through Lanes)"),EXP(AY76*IF(AZ67="Left",1,0)+AZ76/AZ66+BB76*LN(BA76*AX67)),EXP(AY76*IF(AZ67="Left",1,0)+AZ76/AZ66))</f>
        <v>1.1060554085591288</v>
      </c>
      <c r="BE91" s="116">
        <v>1</v>
      </c>
      <c r="BF91" s="199" t="s">
        <v>279</v>
      </c>
      <c r="BG91" s="199"/>
      <c r="BH91" s="199"/>
      <c r="BI91" s="199"/>
      <c r="BJ91" s="199"/>
      <c r="BK91" s="47">
        <f>IF(OR(BK66="1 (Merge, 4 Through Lanes)",BK66="2 (Merge, 6 Through Lanes)"),EXP(BG75*IF(BH67="Left",1,0)+BH75/BH66+BJ75*LN(BI75*BF67)),EXP(BG75*IF(BH67="Left",1,0)+BH75/BH66))</f>
        <v>1.0474933244984428</v>
      </c>
      <c r="BL91" s="48">
        <f>IF(OR(BK66="1 (Merge, 4 Through Lanes)",BK66="2 (Merge, 6 Through Lanes)"),EXP(BG76*IF(BH67="Left",1,0)+BH76/BH66+BJ76*LN(BI76*BF67)),EXP(BG76*IF(BH67="Left",1,0)+BH76/BH66))</f>
        <v>1</v>
      </c>
      <c r="BM91" s="116">
        <v>1</v>
      </c>
      <c r="BN91" s="199" t="s">
        <v>279</v>
      </c>
      <c r="BO91" s="199"/>
      <c r="BP91" s="199"/>
      <c r="BQ91" s="199"/>
      <c r="BR91" s="199"/>
      <c r="BS91" s="47">
        <f>IF(OR(BS66="1 (Merge, 4 Through Lanes)",BS66="2 (Merge, 6 Through Lanes)"),EXP(BO75*IF(BP67="Left",1,0)+BP75/BP66+BR75*LN(BQ75*BN67)),EXP(BO75*IF(BP67="Left",1,0)+BP75/BP66))</f>
        <v>1.857462885752909</v>
      </c>
      <c r="BT91" s="48">
        <f>IF(OR(BS66="1 (Merge, 4 Through Lanes)",BS66="2 (Merge, 6 Through Lanes)"),EXP(BO76*IF(BP67="Left",1,0)+BP76/BP66+BR76*LN(BQ76*BN67)),EXP(BO76*IF(BP67="Left",1,0)+BP76/BP66))</f>
        <v>1.1060554085591288</v>
      </c>
      <c r="BU91" s="116">
        <v>1</v>
      </c>
      <c r="BV91" s="199" t="s">
        <v>279</v>
      </c>
      <c r="BW91" s="199"/>
      <c r="BX91" s="199"/>
      <c r="BY91" s="199"/>
      <c r="BZ91" s="199"/>
      <c r="CA91" s="47">
        <f>IF(OR(CA66="1 (Merge, 4 Through Lanes)",CA66="2 (Merge, 6 Through Lanes)"),EXP(BW75*IF(BX67="Left",1,0)+BX75/BX66+BZ75*LN(BY75*BV67)),EXP(BW75*IF(BX67="Left",1,0)+BX75/BX66))</f>
        <v>1.0474933244984428</v>
      </c>
      <c r="CB91" s="48">
        <f>IF(OR(CA66="1 (Merge, 4 Through Lanes)",CA66="2 (Merge, 6 Through Lanes)"),EXP(BW76*IF(BX67="Left",1,0)+BX76/BX66+BZ76*LN(BY76*BV67)),EXP(BW76*IF(BX67="Left",1,0)+BX76/BX66))</f>
        <v>1</v>
      </c>
      <c r="CC91" s="116">
        <v>1</v>
      </c>
      <c r="CD91" s="199" t="s">
        <v>279</v>
      </c>
      <c r="CE91" s="199"/>
      <c r="CF91" s="199"/>
      <c r="CG91" s="199"/>
      <c r="CH91" s="199"/>
      <c r="CI91" s="47">
        <f>IF(OR(CI66="1 (Merge, 4 Through Lanes)",CI66="2 (Merge, 6 Through Lanes)"),EXP(CE75*IF(CF67="Left",1,0)+CF75/CF66+CH75*LN(CG75*CD67)),EXP(CE75*IF(CF67="Left",1,0)+CF75/CF66))</f>
        <v>1.5158946223704615</v>
      </c>
      <c r="CJ91" s="48">
        <f>IF(OR(CI66="1 (Merge, 4 Through Lanes)",CI66="2 (Merge, 6 Through Lanes)"),EXP(CE76*IF(CF67="Left",1,0)+CF76/CF66+CH76*LN(CG76*CD67)),EXP(CE76*IF(CF67="Left",1,0)+CF76/CF66))</f>
        <v>1.1060554085591288</v>
      </c>
      <c r="CK91" s="116">
        <v>1</v>
      </c>
      <c r="CL91" s="199" t="s">
        <v>279</v>
      </c>
      <c r="CM91" s="199"/>
      <c r="CN91" s="199"/>
      <c r="CO91" s="199"/>
      <c r="CP91" s="199"/>
      <c r="CQ91" s="47">
        <f>IF(OR(CQ66="1 (Merge, 4 Through Lanes)",CQ66="2 (Merge, 6 Through Lanes)"),EXP(CM75*IF(CN67="Left",1,0)+CN75/CN66+CP75*LN(CO75*CL67)),EXP(CM75*IF(CN67="Left",1,0)+CN75/CN66))</f>
        <v>1.0474933244984428</v>
      </c>
      <c r="CR91" s="48">
        <f>IF(OR(CQ66="1 (Merge, 4 Through Lanes)",CQ66="2 (Merge, 6 Through Lanes)"),EXP(CM76*IF(CN67="Left",1,0)+CN76/CN66+CP76*LN(CO76*CL67)),EXP(CM76*IF(CN67="Left",1,0)+CN76/CN66))</f>
        <v>1</v>
      </c>
      <c r="CS91" s="116">
        <v>1</v>
      </c>
      <c r="CT91" s="199" t="s">
        <v>279</v>
      </c>
      <c r="CU91" s="199"/>
      <c r="CV91" s="199"/>
      <c r="CW91" s="199"/>
      <c r="CX91" s="199"/>
      <c r="CY91" s="47">
        <f>IF(OR(CY66="1 (Merge, 4 Through Lanes)",CY66="2 (Merge, 6 Through Lanes)"),EXP(CU75*IF(CV67="Left",1,0)+CV75/CV66+CX75*LN(CW75*CT67)),EXP(CU75*IF(CV67="Left",1,0)+CV75/CV66))</f>
        <v>1.857462885752909</v>
      </c>
      <c r="CZ91" s="48">
        <f>IF(OR(CY66="1 (Merge, 4 Through Lanes)",CY66="2 (Merge, 6 Through Lanes)"),EXP(CU76*IF(CV67="Left",1,0)+CV76/CV66+CX76*LN(CW76*CT67)),EXP(CU76*IF(CV67="Left",1,0)+CV76/CV66))</f>
        <v>1.1060554085591288</v>
      </c>
      <c r="DA91" s="116">
        <v>1</v>
      </c>
      <c r="DB91" s="199" t="s">
        <v>279</v>
      </c>
      <c r="DC91" s="199"/>
      <c r="DD91" s="199"/>
      <c r="DE91" s="199"/>
      <c r="DF91" s="199"/>
      <c r="DG91" s="47">
        <f>IF(OR(DG66="1 (Merge, 4 Through Lanes)",DG66="2 (Merge, 6 Through Lanes)"),EXP(DC75*IF(DD67="Left",1,0)+DD75/DD66+DF75*LN(DE75*DB67)),EXP(DC75*IF(DD67="Left",1,0)+DD75/DD66))</f>
        <v>1.0474933244984428</v>
      </c>
      <c r="DH91" s="48">
        <f>IF(OR(DG66="1 (Merge, 4 Through Lanes)",DG66="2 (Merge, 6 Through Lanes)"),EXP(DC76*IF(DD67="Left",1,0)+DD76/DD66+DF76*LN(DE76*DB67)),EXP(DC76*IF(DD67="Left",1,0)+DD76/DD66))</f>
        <v>1</v>
      </c>
      <c r="DI91" s="116">
        <v>1</v>
      </c>
      <c r="DJ91" s="199" t="s">
        <v>279</v>
      </c>
      <c r="DK91" s="199"/>
      <c r="DL91" s="199"/>
      <c r="DM91" s="199"/>
      <c r="DN91" s="199"/>
      <c r="DO91" s="47">
        <f>IF(OR(DO66="1 (Merge, 4 Through Lanes)",DO66="2 (Merge, 6 Through Lanes)"),EXP(DK75*IF(DL67="Left",1,0)+DL75/DL66+DN75*LN(DM75*DJ67)),EXP(DK75*IF(DL67="Left",1,0)+DL75/DL66))</f>
        <v>1.6787811818907585</v>
      </c>
      <c r="DP91" s="48">
        <f>IF(OR(DO66="1 (Merge, 4 Through Lanes)",DO66="2 (Merge, 6 Through Lanes)"),EXP(DK76*IF(DL67="Left",1,0)+DL76/DL66+DN76*LN(DM76*DJ67)),EXP(DK76*IF(DL67="Left",1,0)+DL76/DL66))</f>
        <v>1.1060554085591288</v>
      </c>
      <c r="DQ91" s="116">
        <v>1</v>
      </c>
      <c r="DR91" s="199" t="s">
        <v>279</v>
      </c>
      <c r="DS91" s="199"/>
      <c r="DT91" s="199"/>
      <c r="DU91" s="199"/>
      <c r="DV91" s="199"/>
      <c r="DW91" s="47">
        <f>IF(OR(DW66="1 (Merge, 4 Through Lanes)",DW66="2 (Merge, 6 Through Lanes)"),EXP(DS75*IF(DT67="Left",1,0)+DT75/DT66+DV75*LN(DU75*DR67)),EXP(DS75*IF(DT67="Left",1,0)+DT75/DT66))</f>
        <v>1.0474933244984428</v>
      </c>
      <c r="DX91" s="48">
        <f>IF(OR(DW66="1 (Merge, 4 Through Lanes)",DW66="2 (Merge, 6 Through Lanes)"),EXP(DS76*IF(DT67="Left",1,0)+DT76/DT66+DV76*LN(DU76*DR67)),EXP(DS76*IF(DT67="Left",1,0)+DT76/DT66))</f>
        <v>1</v>
      </c>
      <c r="DY91" s="116">
        <v>1</v>
      </c>
      <c r="DZ91" s="199" t="s">
        <v>279</v>
      </c>
      <c r="EA91" s="199"/>
      <c r="EB91" s="199"/>
      <c r="EC91" s="199"/>
      <c r="ED91" s="199"/>
      <c r="EE91" s="47">
        <f>IF(OR(EE66="1 (Merge, 4 Through Lanes)",EE66="2 (Merge, 6 Through Lanes)"),EXP(EA75*IF(EB67="Left",1,0)+EB75/EB66+ED75*LN(EC75*DZ67)),EXP(EA75*IF(EB67="Left",1,0)+EB75/EB66))</f>
        <v>1.7055992227281187</v>
      </c>
      <c r="EF91" s="48">
        <f>IF(OR(EE66="1 (Merge, 4 Through Lanes)",EE66="2 (Merge, 6 Through Lanes)"),EXP(EA76*IF(EB67="Left",1,0)+EB76/EB66+ED76*LN(EC76*DZ67)),EXP(EA76*IF(EB67="Left",1,0)+EB76/EB66))</f>
        <v>1.1060554085591288</v>
      </c>
      <c r="EG91" s="114">
        <v>10</v>
      </c>
      <c r="EH91" s="218" t="s">
        <v>171</v>
      </c>
      <c r="EI91" s="219"/>
      <c r="EJ91" s="220"/>
      <c r="EK91" s="91">
        <v>1</v>
      </c>
      <c r="EL91" s="118" t="s">
        <v>172</v>
      </c>
      <c r="EM91" s="47">
        <f>(1-(EH67/SUM(EH67:EH70)))+(EH67/SUM(EH67:EH70))*EXP(IF(EK70="Signalized",0.0668,0.151)*(0.001*EH67)/IF(EL91="Merge/Freeflow",0.5*(EK91-1)+1,0.5*EK91))</f>
        <v>1.1325115444914646</v>
      </c>
      <c r="EN91" s="48">
        <f>(1-(EH67/SUM(EH67:EH70)))+(EH67/SUM(EH67:EH70))*EXP(IF(EK70="Signalized",0.0668,0.151)*(0.001*EH67)/IF(EL91="Merge/Freeflow",0.5*(EK91-1)+1,0.5*EK91))</f>
        <v>1.1325115444914646</v>
      </c>
      <c r="EO91" s="114">
        <v>10</v>
      </c>
      <c r="EP91" s="218" t="s">
        <v>171</v>
      </c>
      <c r="EQ91" s="219"/>
      <c r="ER91" s="220"/>
      <c r="ES91" s="91">
        <v>1</v>
      </c>
      <c r="ET91" s="118" t="s">
        <v>172</v>
      </c>
      <c r="EU91" s="185"/>
      <c r="EV91" s="185"/>
      <c r="EW91" s="114">
        <v>10</v>
      </c>
      <c r="EX91" s="218" t="s">
        <v>171</v>
      </c>
      <c r="EY91" s="219"/>
      <c r="EZ91" s="220"/>
      <c r="FA91" s="91">
        <v>1</v>
      </c>
      <c r="FB91" s="118" t="s">
        <v>172</v>
      </c>
      <c r="FC91" s="47">
        <f>(1-(EX67/SUM(EX67:EX70)))+(EX67/SUM(EX67:EX70))*EXP(IF(FA70="Signalized",0.0668,0.151)*(0.001*EX67)/IF(FB91="Merge/Freeflow",0.5*(FA91-1)+1,0.5*FA91))</f>
        <v>1.1608524643299147</v>
      </c>
      <c r="FD91" s="48">
        <f>(1-(EX67/SUM(EX67:EX70)))+(EX67/SUM(EX67:EX70))*EXP(IF(FA70="Signalized",0.0668,0.151)*(0.001*EX67)/IF(FB91="Merge/Freeflow",0.5*(FA91-1)+1,0.5*FA91))</f>
        <v>1.1608524643299147</v>
      </c>
      <c r="FE91" s="114">
        <v>10</v>
      </c>
      <c r="FF91" s="218" t="s">
        <v>171</v>
      </c>
      <c r="FG91" s="219"/>
      <c r="FH91" s="220"/>
      <c r="FI91" s="91">
        <v>1</v>
      </c>
      <c r="FJ91" s="118" t="s">
        <v>172</v>
      </c>
      <c r="FK91" s="185"/>
      <c r="FL91" s="185"/>
      <c r="FM91" s="114">
        <v>10</v>
      </c>
      <c r="FN91" s="218" t="s">
        <v>171</v>
      </c>
      <c r="FO91" s="219"/>
      <c r="FP91" s="220"/>
      <c r="FQ91" s="91">
        <v>1</v>
      </c>
      <c r="FR91" s="118" t="s">
        <v>172</v>
      </c>
      <c r="FS91" s="47">
        <f>(1-(FN67/SUM(FN67:FN70)))+(FN67/SUM(FN67:FN70))*EXP(IF(FQ70="Signalized",0.0668,0.151)*(0.001*FN67)/IF(FR91="Merge/Freeflow",0.5*(FQ91-1)+1,0.5*FQ91))</f>
        <v>1.1583721548682506</v>
      </c>
      <c r="FT91" s="48">
        <f>(1-(FN67/SUM(FN67:FN70)))+(FN67/SUM(FN67:FN70))*EXP(IF(FQ70="Signalized",0.0668,0.151)*(0.001*FN67)/IF(FR91="Merge/Freeflow",0.5*(FQ91-1)+1,0.5*FQ91))</f>
        <v>1.1583721548682506</v>
      </c>
      <c r="FU91" s="114">
        <v>10</v>
      </c>
      <c r="FV91" s="218" t="s">
        <v>171</v>
      </c>
      <c r="FW91" s="219"/>
      <c r="FX91" s="220"/>
      <c r="FY91" s="91">
        <v>1</v>
      </c>
      <c r="FZ91" s="118" t="s">
        <v>172</v>
      </c>
      <c r="GA91" s="47">
        <f>(1-(FV67/SUM(FV67:FV70)))+(FV67/SUM(FV67:FV70))*EXP(IF(FY70="Signalized",0.0668,0.151)*(0.001*FV67)/IF(FZ91="Merge/Freeflow",0.5*(FY91-1)+1,0.5*FY91))</f>
        <v>1.2290214671866171</v>
      </c>
      <c r="GB91" s="48">
        <f>(1-(FV67/SUM(FV67:FV70)))+(FV67/SUM(FV67:FV70))*EXP(IF(FY70="Signalized",0.0668,0.151)*(0.001*FV67)/IF(FZ91="Merge/Freeflow",0.5*(FY91-1)+1,0.5*FY91))</f>
        <v>1.2290214671866171</v>
      </c>
      <c r="GC91" s="24"/>
      <c r="GD91" s="14"/>
      <c r="GE91" s="14"/>
      <c r="GF91" s="14"/>
      <c r="GG91" s="14"/>
      <c r="GH91" s="14"/>
      <c r="GI91" s="14"/>
      <c r="GJ91" s="25"/>
      <c r="GK91" s="24"/>
      <c r="GL91" s="14"/>
      <c r="GM91" s="14"/>
      <c r="GN91" s="14"/>
      <c r="GO91" s="14"/>
      <c r="GP91" s="14"/>
      <c r="GQ91" s="14"/>
      <c r="GR91" s="25"/>
      <c r="GS91" s="24"/>
      <c r="GT91" s="14"/>
      <c r="GU91" s="14"/>
      <c r="GV91" s="14"/>
      <c r="GW91" s="14"/>
      <c r="GX91" s="14"/>
      <c r="GY91" s="14"/>
      <c r="GZ91" s="25"/>
      <c r="HA91" s="24"/>
      <c r="HB91" s="14"/>
      <c r="HC91" s="14"/>
      <c r="HD91" s="14"/>
      <c r="HE91" s="14"/>
      <c r="HF91" s="14"/>
      <c r="HG91" s="14"/>
      <c r="HH91" s="25"/>
      <c r="HI91" s="24"/>
      <c r="HJ91" s="14"/>
      <c r="HK91" s="14"/>
      <c r="HL91" s="14"/>
      <c r="HM91" s="14"/>
      <c r="HN91" s="14"/>
      <c r="HO91" s="14"/>
      <c r="HP91" s="25"/>
    </row>
    <row r="92" spans="1:224" x14ac:dyDescent="0.25">
      <c r="A92" s="106" t="s">
        <v>208</v>
      </c>
      <c r="B92" s="199"/>
      <c r="C92" s="199"/>
      <c r="D92" s="199"/>
      <c r="E92" s="199"/>
      <c r="F92" s="199"/>
      <c r="G92" s="47"/>
      <c r="H92" s="48"/>
      <c r="I92" s="106" t="s">
        <v>208</v>
      </c>
      <c r="J92" s="199"/>
      <c r="K92" s="199"/>
      <c r="L92" s="199"/>
      <c r="M92" s="199"/>
      <c r="N92" s="199"/>
      <c r="O92" s="47"/>
      <c r="P92" s="48"/>
      <c r="Q92" s="106" t="s">
        <v>208</v>
      </c>
      <c r="R92" s="199"/>
      <c r="S92" s="199"/>
      <c r="T92" s="199"/>
      <c r="U92" s="199"/>
      <c r="V92" s="199"/>
      <c r="W92" s="47"/>
      <c r="X92" s="48"/>
      <c r="Y92" s="107" t="s">
        <v>208</v>
      </c>
      <c r="Z92" s="199"/>
      <c r="AA92" s="199"/>
      <c r="AB92" s="199"/>
      <c r="AC92" s="199"/>
      <c r="AD92" s="199"/>
      <c r="AE92" s="47"/>
      <c r="AF92" s="48"/>
      <c r="AG92" s="107" t="s">
        <v>208</v>
      </c>
      <c r="AH92" s="199"/>
      <c r="AI92" s="199"/>
      <c r="AJ92" s="199"/>
      <c r="AK92" s="199"/>
      <c r="AL92" s="199"/>
      <c r="AM92" s="47"/>
      <c r="AN92" s="48"/>
      <c r="AO92" s="116">
        <v>2</v>
      </c>
      <c r="AP92" s="199"/>
      <c r="AQ92" s="199"/>
      <c r="AR92" s="199"/>
      <c r="AS92" s="199"/>
      <c r="AT92" s="199"/>
      <c r="AU92" s="118"/>
      <c r="AV92" s="121"/>
      <c r="AW92" s="116">
        <v>2</v>
      </c>
      <c r="AX92" s="199"/>
      <c r="AY92" s="199"/>
      <c r="AZ92" s="199"/>
      <c r="BA92" s="199"/>
      <c r="BB92" s="199"/>
      <c r="BC92" s="118"/>
      <c r="BD92" s="121"/>
      <c r="BE92" s="116">
        <v>2</v>
      </c>
      <c r="BF92" s="199"/>
      <c r="BG92" s="199"/>
      <c r="BH92" s="199"/>
      <c r="BI92" s="199"/>
      <c r="BJ92" s="199"/>
      <c r="BK92" s="118"/>
      <c r="BL92" s="121"/>
      <c r="BM92" s="116">
        <v>2</v>
      </c>
      <c r="BN92" s="199"/>
      <c r="BO92" s="199"/>
      <c r="BP92" s="199"/>
      <c r="BQ92" s="199"/>
      <c r="BR92" s="199"/>
      <c r="BS92" s="118"/>
      <c r="BT92" s="121"/>
      <c r="BU92" s="116">
        <v>2</v>
      </c>
      <c r="BV92" s="199"/>
      <c r="BW92" s="199"/>
      <c r="BX92" s="199"/>
      <c r="BY92" s="199"/>
      <c r="BZ92" s="199"/>
      <c r="CA92" s="118"/>
      <c r="CB92" s="121"/>
      <c r="CC92" s="116">
        <v>2</v>
      </c>
      <c r="CD92" s="199"/>
      <c r="CE92" s="199"/>
      <c r="CF92" s="199"/>
      <c r="CG92" s="199"/>
      <c r="CH92" s="199"/>
      <c r="CI92" s="118"/>
      <c r="CJ92" s="121"/>
      <c r="CK92" s="116">
        <v>2</v>
      </c>
      <c r="CL92" s="199"/>
      <c r="CM92" s="199"/>
      <c r="CN92" s="199"/>
      <c r="CO92" s="199"/>
      <c r="CP92" s="199"/>
      <c r="CQ92" s="118"/>
      <c r="CR92" s="121"/>
      <c r="CS92" s="116">
        <v>2</v>
      </c>
      <c r="CT92" s="199"/>
      <c r="CU92" s="199"/>
      <c r="CV92" s="199"/>
      <c r="CW92" s="199"/>
      <c r="CX92" s="199"/>
      <c r="CY92" s="118"/>
      <c r="CZ92" s="121"/>
      <c r="DA92" s="116">
        <v>2</v>
      </c>
      <c r="DB92" s="199"/>
      <c r="DC92" s="199"/>
      <c r="DD92" s="199"/>
      <c r="DE92" s="199"/>
      <c r="DF92" s="199"/>
      <c r="DG92" s="118"/>
      <c r="DH92" s="121"/>
      <c r="DI92" s="116">
        <v>2</v>
      </c>
      <c r="DJ92" s="199"/>
      <c r="DK92" s="199"/>
      <c r="DL92" s="199"/>
      <c r="DM92" s="199"/>
      <c r="DN92" s="199"/>
      <c r="DO92" s="118"/>
      <c r="DP92" s="121"/>
      <c r="DQ92" s="116">
        <v>2</v>
      </c>
      <c r="DR92" s="199"/>
      <c r="DS92" s="199"/>
      <c r="DT92" s="199"/>
      <c r="DU92" s="199"/>
      <c r="DV92" s="199"/>
      <c r="DW92" s="118"/>
      <c r="DX92" s="121"/>
      <c r="DY92" s="116">
        <v>2</v>
      </c>
      <c r="DZ92" s="199"/>
      <c r="EA92" s="199"/>
      <c r="EB92" s="199"/>
      <c r="EC92" s="199"/>
      <c r="ED92" s="199"/>
      <c r="EE92" s="118"/>
      <c r="EF92" s="121"/>
      <c r="EG92" s="229">
        <v>11</v>
      </c>
      <c r="EH92" s="199" t="s">
        <v>174</v>
      </c>
      <c r="EI92" s="199"/>
      <c r="EJ92" s="199"/>
      <c r="EK92" s="199"/>
      <c r="EL92" s="118" t="s">
        <v>128</v>
      </c>
      <c r="EM92" s="47">
        <f>IF(EL92="Present",(1-(EH69/SUM(EH67:EH70)))+(EH69/SUM(EH67:EH70))*IF(EK70="Signalized",IF(EK66="Rural",0.44,0.65),IF(EK66="Rural",0.36,0.59)),1)</f>
        <v>0.84283980582524265</v>
      </c>
      <c r="EN92" s="48">
        <f>IF(EL92="Present",(1-(EH69/SUM(EH67:EH70)))+(EH69/SUM(EH67:EH70))*IF(EK70="Signalized",IF(EK66="Rural",0.66,0.68),IF(EK66="Rural",0.55,0.58)),1)</f>
        <v>0.85631067961165053</v>
      </c>
      <c r="EO92" s="229">
        <v>11</v>
      </c>
      <c r="EP92" s="199" t="s">
        <v>174</v>
      </c>
      <c r="EQ92" s="199"/>
      <c r="ER92" s="199"/>
      <c r="ES92" s="199"/>
      <c r="ET92" s="118" t="s">
        <v>128</v>
      </c>
      <c r="EU92" s="47">
        <f>IF(ET92="Present",(1-(EP69/SUM(EP67:EP70)))+(EP69/SUM(EP67:EP70))*IF(ES70="Signalized",IF(ES66="Rural",0.44,0.65),IF(ES66="Rural",0.36,0.59)),1)</f>
        <v>0.91956521739130437</v>
      </c>
      <c r="EV92" s="48">
        <f>IF(ET92="Present",(1-(EP69/SUM(EP67:EP70)))+(EP69/SUM(EP67:EP70))*IF(ES70="Signalized",IF(ES66="Rural",0.66,0.68),IF(ES66="Rural",0.55,0.58)),1)</f>
        <v>0.92645962732919251</v>
      </c>
      <c r="EW92" s="229">
        <v>11</v>
      </c>
      <c r="EX92" s="199" t="s">
        <v>174</v>
      </c>
      <c r="EY92" s="199"/>
      <c r="EZ92" s="199"/>
      <c r="FA92" s="199"/>
      <c r="FB92" s="118" t="s">
        <v>128</v>
      </c>
      <c r="FC92" s="47">
        <f>IF(FB92="Present",(1-(EX69/SUM(EX67:EX70)))+(EX69/SUM(EX67:EX70))*IF(FA70="Signalized",IF(FA66="Rural",0.44,0.65),IF(FA66="Rural",0.36,0.59)),1)</f>
        <v>0.9418072289156626</v>
      </c>
      <c r="FD92" s="48">
        <f>IF(FB92="Present",(1-(EX69/SUM(EX67:EX70)))+(EX69/SUM(EX67:EX70))*IF(FA70="Signalized",IF(FA66="Rural",0.66,0.68),IF(FA66="Rural",0.55,0.58)),1)</f>
        <v>0.94679518072289159</v>
      </c>
      <c r="FE92" s="229">
        <v>11</v>
      </c>
      <c r="FF92" s="199" t="s">
        <v>174</v>
      </c>
      <c r="FG92" s="199"/>
      <c r="FH92" s="199"/>
      <c r="FI92" s="199"/>
      <c r="FJ92" s="118" t="s">
        <v>128</v>
      </c>
      <c r="FK92" s="47">
        <f>IF(FJ92="Present",(1-(FF69/SUM(FF67:FF70)))+(FF69/SUM(FF67:FF70))*IF(FI70="Signalized",IF(FI66="Rural",0.44,0.65),IF(FI66="Rural",0.36,0.59)),1)</f>
        <v>0.95292397660818706</v>
      </c>
      <c r="FL92" s="48">
        <f>IF(FJ92="Present",(1-(FF69/SUM(FF67:FF70)))+(FF69/SUM(FF67:FF70))*IF(FI70="Signalized",IF(FI66="Rural",0.66,0.68),IF(FI66="Rural",0.55,0.58)),1)</f>
        <v>0.95695906432748534</v>
      </c>
      <c r="FM92" s="229">
        <v>11</v>
      </c>
      <c r="FN92" s="199" t="s">
        <v>174</v>
      </c>
      <c r="FO92" s="199"/>
      <c r="FP92" s="199"/>
      <c r="FQ92" s="199"/>
      <c r="FR92" s="118" t="s">
        <v>128</v>
      </c>
      <c r="FS92" s="47">
        <f>IF(FR92="Present",(1-(FN69/SUM(FN67:FN70)))+(FN69/SUM(FN67:FN70))*IF(FQ70="Signalized",IF(FQ66="Rural",0.44,0.65),IF(FQ66="Rural",0.36,0.59)),1)</f>
        <v>0.87380952380952381</v>
      </c>
      <c r="FT92" s="48">
        <f>IF(FR92="Present",(1-(FN69/SUM(FN67:FN70)))+(FN69/SUM(FN67:FN70))*IF(FQ70="Signalized",IF(FQ66="Rural",0.66,0.68),IF(FQ66="Rural",0.55,0.58)),1)</f>
        <v>0.88462585034013608</v>
      </c>
      <c r="FU92" s="229">
        <v>11</v>
      </c>
      <c r="FV92" s="199" t="s">
        <v>174</v>
      </c>
      <c r="FW92" s="199"/>
      <c r="FX92" s="199"/>
      <c r="FY92" s="199"/>
      <c r="FZ92" s="118" t="s">
        <v>128</v>
      </c>
      <c r="GA92" s="47">
        <f>IF(FZ92="Present",(1-(FV69/SUM(FV67:FV70)))+(FV69/SUM(FV67:FV70))*IF(FY70="Signalized",IF(FY66="Rural",0.44,0.65),IF(FY66="Rural",0.36,0.59)),1)</f>
        <v>0.85160000000000013</v>
      </c>
      <c r="GB92" s="48">
        <f>IF(FZ92="Present",(1-(FV69/SUM(FV67:FV70)))+(FV69/SUM(FV67:FV70))*IF(FY70="Signalized",IF(FY66="Rural",0.66,0.68),IF(FY66="Rural",0.55,0.58)),1)</f>
        <v>0.86432000000000009</v>
      </c>
      <c r="GC92" s="195" t="s">
        <v>108</v>
      </c>
      <c r="GD92" s="194"/>
      <c r="GE92" s="44">
        <f>GE85+GE88+GI85</f>
        <v>1.7842079288050254</v>
      </c>
      <c r="GF92" s="14"/>
      <c r="GG92" s="14"/>
      <c r="GH92" s="14"/>
      <c r="GI92" s="14"/>
      <c r="GJ92" s="25"/>
      <c r="GK92" s="195" t="s">
        <v>108</v>
      </c>
      <c r="GL92" s="194"/>
      <c r="GM92" s="44">
        <f>GM85+GM88+GQ85</f>
        <v>20.30437972459589</v>
      </c>
      <c r="GN92" s="14"/>
      <c r="GO92" s="14"/>
      <c r="GP92" s="14"/>
      <c r="GQ92" s="14"/>
      <c r="GR92" s="25"/>
      <c r="GS92" s="195" t="s">
        <v>108</v>
      </c>
      <c r="GT92" s="194"/>
      <c r="GU92" s="44">
        <f>GU85+GU88+GY85</f>
        <v>11.204666667496531</v>
      </c>
      <c r="GV92" s="14"/>
      <c r="GW92" s="14"/>
      <c r="GX92" s="14"/>
      <c r="GY92" s="14"/>
      <c r="GZ92" s="25"/>
      <c r="HA92" s="195" t="s">
        <v>108</v>
      </c>
      <c r="HB92" s="194"/>
      <c r="HC92" s="44">
        <f>HC85+HC88+HG85</f>
        <v>14.785199923250097</v>
      </c>
      <c r="HD92" s="14"/>
      <c r="HE92" s="14"/>
      <c r="HF92" s="14"/>
      <c r="HG92" s="14"/>
      <c r="HH92" s="25"/>
      <c r="HI92" s="195" t="s">
        <v>108</v>
      </c>
      <c r="HJ92" s="194"/>
      <c r="HK92" s="44">
        <f>HK85+HK88+HO85</f>
        <v>6.5940649087124852</v>
      </c>
      <c r="HL92" s="14"/>
      <c r="HM92" s="14"/>
      <c r="HN92" s="14"/>
      <c r="HO92" s="14"/>
      <c r="HP92" s="25"/>
    </row>
    <row r="93" spans="1:224" x14ac:dyDescent="0.25">
      <c r="A93" s="106"/>
      <c r="B93" s="232"/>
      <c r="C93" s="232"/>
      <c r="D93" s="232"/>
      <c r="E93" s="232"/>
      <c r="F93" s="232"/>
      <c r="G93" s="18">
        <f>IF(G88=0,1,G88)*IF(G89=0,1,G89)*IF(G90=0,1,G90)*IF(G91=0,1,G91)*IF(G92=0,1,G92)</f>
        <v>0.90807805165103639</v>
      </c>
      <c r="H93" s="33">
        <f>IF(H88=0,1,H88)*IF(H89=0,1,H89)*IF(H90=0,1,H90)*IF(H91=0,1,H91)*IF(H92=0,1,H92)</f>
        <v>0.9529431793814942</v>
      </c>
      <c r="I93" s="106"/>
      <c r="J93" s="232"/>
      <c r="K93" s="232"/>
      <c r="L93" s="232"/>
      <c r="M93" s="232"/>
      <c r="N93" s="232"/>
      <c r="O93" s="18">
        <f>IF(O88=0,1,O88)*IF(O89=0,1,O89)*IF(O90=0,1,O90)*IF(O91=0,1,O91)*IF(O92=0,1,O92)</f>
        <v>0.90807805165103639</v>
      </c>
      <c r="P93" s="33">
        <f>IF(P88=0,1,P88)*IF(P89=0,1,P89)*IF(P90=0,1,P90)*IF(P91=0,1,P91)*IF(P92=0,1,P92)</f>
        <v>0.9529431793814942</v>
      </c>
      <c r="Q93" s="106"/>
      <c r="R93" s="232"/>
      <c r="S93" s="232"/>
      <c r="T93" s="232"/>
      <c r="U93" s="232"/>
      <c r="V93" s="232"/>
      <c r="W93" s="18">
        <f>IF(W88=0,1,W88)*IF(W89=0,1,W89)*IF(W90=0,1,W90)*IF(W91=0,1,W91)*IF(W92=0,1,W92)</f>
        <v>0.90807805165103639</v>
      </c>
      <c r="X93" s="33">
        <f>IF(X88=0,1,X88)*IF(X89=0,1,X89)*IF(X90=0,1,X90)*IF(X91=0,1,X91)*IF(X92=0,1,X92)</f>
        <v>0.9529431793814942</v>
      </c>
      <c r="Y93" s="107"/>
      <c r="Z93" s="232"/>
      <c r="AA93" s="232"/>
      <c r="AB93" s="232"/>
      <c r="AC93" s="232"/>
      <c r="AD93" s="232"/>
      <c r="AE93" s="18">
        <f>IF(AE88=0,1,AE88)*IF(AE89=0,1,AE89)*IF(AE90=0,1,AE90)*IF(AE91=0,1,AE91)*IF(AE92=0,1,AE92)</f>
        <v>0.90807805165103639</v>
      </c>
      <c r="AF93" s="33">
        <f>IF(AF88=0,1,AF88)*IF(AF89=0,1,AF89)*IF(AF90=0,1,AF90)*IF(AF91=0,1,AF91)*IF(AF92=0,1,AF92)</f>
        <v>0.9529431793814942</v>
      </c>
      <c r="AG93" s="107"/>
      <c r="AH93" s="232"/>
      <c r="AI93" s="232"/>
      <c r="AJ93" s="232"/>
      <c r="AK93" s="232"/>
      <c r="AL93" s="232"/>
      <c r="AM93" s="18">
        <f>IF(AM88=0,1,AM88)*IF(AM89=0,1,AM89)*IF(AM90=0,1,AM90)*IF(AM91=0,1,AM91)*IF(AM92=0,1,AM92)</f>
        <v>0.90352571063099929</v>
      </c>
      <c r="AN93" s="33">
        <f>IF(AN88=0,1,AN88)*IF(AN89=0,1,AN89)*IF(AN90=0,1,AN90)*IF(AN91=0,1,AN91)*IF(AN92=0,1,AN92)</f>
        <v>0.94678913666237952</v>
      </c>
      <c r="AO93" s="116">
        <v>3</v>
      </c>
      <c r="AP93" s="199"/>
      <c r="AQ93" s="199"/>
      <c r="AR93" s="199"/>
      <c r="AS93" s="199"/>
      <c r="AT93" s="199"/>
      <c r="AU93" s="118"/>
      <c r="AV93" s="121"/>
      <c r="AW93" s="116">
        <v>3</v>
      </c>
      <c r="AX93" s="199"/>
      <c r="AY93" s="199"/>
      <c r="AZ93" s="199"/>
      <c r="BA93" s="199"/>
      <c r="BB93" s="199"/>
      <c r="BC93" s="118"/>
      <c r="BD93" s="121"/>
      <c r="BE93" s="116">
        <v>3</v>
      </c>
      <c r="BF93" s="199"/>
      <c r="BG93" s="199"/>
      <c r="BH93" s="199"/>
      <c r="BI93" s="199"/>
      <c r="BJ93" s="199"/>
      <c r="BK93" s="118"/>
      <c r="BL93" s="121"/>
      <c r="BM93" s="116">
        <v>3</v>
      </c>
      <c r="BN93" s="199"/>
      <c r="BO93" s="199"/>
      <c r="BP93" s="199"/>
      <c r="BQ93" s="199"/>
      <c r="BR93" s="199"/>
      <c r="BS93" s="118"/>
      <c r="BT93" s="121"/>
      <c r="BU93" s="116">
        <v>3</v>
      </c>
      <c r="BV93" s="199"/>
      <c r="BW93" s="199"/>
      <c r="BX93" s="199"/>
      <c r="BY93" s="199"/>
      <c r="BZ93" s="199"/>
      <c r="CA93" s="118"/>
      <c r="CB93" s="121"/>
      <c r="CC93" s="116">
        <v>3</v>
      </c>
      <c r="CD93" s="199"/>
      <c r="CE93" s="199"/>
      <c r="CF93" s="199"/>
      <c r="CG93" s="199"/>
      <c r="CH93" s="199"/>
      <c r="CI93" s="118"/>
      <c r="CJ93" s="121"/>
      <c r="CK93" s="116">
        <v>3</v>
      </c>
      <c r="CL93" s="199"/>
      <c r="CM93" s="199"/>
      <c r="CN93" s="199"/>
      <c r="CO93" s="199"/>
      <c r="CP93" s="199"/>
      <c r="CQ93" s="118"/>
      <c r="CR93" s="121"/>
      <c r="CS93" s="116">
        <v>3</v>
      </c>
      <c r="CT93" s="199"/>
      <c r="CU93" s="199"/>
      <c r="CV93" s="199"/>
      <c r="CW93" s="199"/>
      <c r="CX93" s="199"/>
      <c r="CY93" s="118"/>
      <c r="CZ93" s="121"/>
      <c r="DA93" s="116">
        <v>3</v>
      </c>
      <c r="DB93" s="199"/>
      <c r="DC93" s="199"/>
      <c r="DD93" s="199"/>
      <c r="DE93" s="199"/>
      <c r="DF93" s="199"/>
      <c r="DG93" s="118"/>
      <c r="DH93" s="121"/>
      <c r="DI93" s="116">
        <v>3</v>
      </c>
      <c r="DJ93" s="199"/>
      <c r="DK93" s="199"/>
      <c r="DL93" s="199"/>
      <c r="DM93" s="199"/>
      <c r="DN93" s="199"/>
      <c r="DO93" s="118"/>
      <c r="DP93" s="121"/>
      <c r="DQ93" s="116">
        <v>3</v>
      </c>
      <c r="DR93" s="199"/>
      <c r="DS93" s="199"/>
      <c r="DT93" s="199"/>
      <c r="DU93" s="199"/>
      <c r="DV93" s="199"/>
      <c r="DW93" s="118"/>
      <c r="DX93" s="121"/>
      <c r="DY93" s="116">
        <v>3</v>
      </c>
      <c r="DZ93" s="199"/>
      <c r="EA93" s="199"/>
      <c r="EB93" s="199"/>
      <c r="EC93" s="199"/>
      <c r="ED93" s="199"/>
      <c r="EE93" s="118"/>
      <c r="EF93" s="121"/>
      <c r="EG93" s="229"/>
      <c r="EH93" s="199" t="s">
        <v>173</v>
      </c>
      <c r="EI93" s="199"/>
      <c r="EJ93" s="199"/>
      <c r="EK93" s="199"/>
      <c r="EL93" s="118" t="s">
        <v>129</v>
      </c>
      <c r="EM93" s="47">
        <f>IF(EL93="Present",(1-(EH70/SUM(EH67:EH70)))+(EH70/SUM(EH67:EH70))*IF(EK70="Signalized",IF(EK66="Rural",0.44,0.65),IF(EK66="Rural",0.36,0.59)),1)</f>
        <v>1</v>
      </c>
      <c r="EN93" s="48">
        <f>IF(EL93="Present",(1-(EH70/SUM(EH67:EH70)))+(EH70/SUM(EH67:EH70))*IF(EK70="Signalized",IF(EK66="Rural",0.66,0.68),IF(EK66="Rural",0.55,0.58)),1)</f>
        <v>1</v>
      </c>
      <c r="EO93" s="229"/>
      <c r="EP93" s="199" t="s">
        <v>173</v>
      </c>
      <c r="EQ93" s="199"/>
      <c r="ER93" s="199"/>
      <c r="ES93" s="199"/>
      <c r="ET93" s="118" t="s">
        <v>129</v>
      </c>
      <c r="EU93" s="47">
        <f>IF(ET93="Present",(1-(EP70/SUM(EP67:EP70)))+(EP70/SUM(EP67:EP70))*IF(ES70="Signalized",IF(ES66="Rural",0.44,0.65),IF(ES66="Rural",0.36,0.59)),1)</f>
        <v>1</v>
      </c>
      <c r="EV93" s="48">
        <f>IF(ET93="Present",(1-(EP70/SUM(EP67:EP70)))+(EP70/SUM(EP67:EP70))*IF(ES70="Signalized",IF(ES66="Rural",0.66,0.68),IF(ES66="Rural",0.55,0.58)),1)</f>
        <v>1</v>
      </c>
      <c r="EW93" s="229"/>
      <c r="EX93" s="199" t="s">
        <v>173</v>
      </c>
      <c r="EY93" s="199"/>
      <c r="EZ93" s="199"/>
      <c r="FA93" s="199"/>
      <c r="FB93" s="118" t="s">
        <v>129</v>
      </c>
      <c r="FC93" s="47">
        <f>IF(FB93="Present",(1-(EX70/SUM(EX67:EX70)))+(EX70/SUM(EX67:EX70))*IF(FA70="Signalized",IF(FA66="Rural",0.44,0.65),IF(FA66="Rural",0.36,0.59)),1)</f>
        <v>1</v>
      </c>
      <c r="FD93" s="48">
        <f>IF(FB93="Present",(1-(EX70/SUM(EX67:EX70)))+(EX70/SUM(EX67:EX70))*IF(FA70="Signalized",IF(FA66="Rural",0.66,0.68),IF(FA66="Rural",0.55,0.58)),1)</f>
        <v>1</v>
      </c>
      <c r="FE93" s="229"/>
      <c r="FF93" s="199" t="s">
        <v>173</v>
      </c>
      <c r="FG93" s="199"/>
      <c r="FH93" s="199"/>
      <c r="FI93" s="199"/>
      <c r="FJ93" s="118" t="s">
        <v>129</v>
      </c>
      <c r="FK93" s="47">
        <f>IF(FJ93="Present",(1-(FF70/SUM(FF67:FF70)))+(FF70/SUM(FF67:FF70))*IF(FI70="Signalized",IF(FI66="Rural",0.44,0.65),IF(FI66="Rural",0.36,0.59)),1)</f>
        <v>1</v>
      </c>
      <c r="FL93" s="48">
        <f>IF(FJ93="Present",(1-(FF70/SUM(FF67:FF70)))+(FF70/SUM(FF67:FF70))*IF(FI70="Signalized",IF(FI66="Rural",0.66,0.68),IF(FI66="Rural",0.55,0.58)),1)</f>
        <v>1</v>
      </c>
      <c r="FM93" s="229"/>
      <c r="FN93" s="199" t="s">
        <v>173</v>
      </c>
      <c r="FO93" s="199"/>
      <c r="FP93" s="199"/>
      <c r="FQ93" s="199"/>
      <c r="FR93" s="118" t="s">
        <v>129</v>
      </c>
      <c r="FS93" s="47">
        <f>IF(FR93="Present",(1-(FN70/SUM(FN67:FN70)))+(FN70/SUM(FN67:FN70))*IF(FQ70="Signalized",IF(FQ66="Rural",0.44,0.65),IF(FQ66="Rural",0.36,0.59)),1)</f>
        <v>1</v>
      </c>
      <c r="FT93" s="48">
        <f>IF(FR93="Present",(1-(FN70/SUM(FN67:FN70)))+(FN70/SUM(FN67:FN70))*IF(FQ70="Signalized",IF(FQ66="Rural",0.66,0.68),IF(FQ66="Rural",0.55,0.58)),1)</f>
        <v>1</v>
      </c>
      <c r="FU93" s="229"/>
      <c r="FV93" s="199" t="s">
        <v>173</v>
      </c>
      <c r="FW93" s="199"/>
      <c r="FX93" s="199"/>
      <c r="FY93" s="199"/>
      <c r="FZ93" s="118" t="s">
        <v>129</v>
      </c>
      <c r="GA93" s="47">
        <f>IF(FZ93="Present",(1-(FV70/SUM(FV67:FV70)))+(FV70/SUM(FV67:FV70))*IF(FY70="Signalized",IF(FY66="Rural",0.44,0.65),IF(FY66="Rural",0.36,0.59)),1)</f>
        <v>1</v>
      </c>
      <c r="GB93" s="48">
        <f>IF(FZ93="Present",(1-(FV70/SUM(FV67:FV70)))+(FV70/SUM(FV67:FV70))*IF(FY70="Signalized",IF(FY66="Rural",0.66,0.68),IF(FY66="Rural",0.55,0.58)),1)</f>
        <v>1</v>
      </c>
      <c r="GC93" s="195" t="s">
        <v>109</v>
      </c>
      <c r="GD93" s="194"/>
      <c r="GE93" s="44">
        <f>GE86+GE89+GI86</f>
        <v>0.52688526998307883</v>
      </c>
      <c r="GF93" s="14"/>
      <c r="GG93" s="14"/>
      <c r="GH93" s="14"/>
      <c r="GI93" s="14"/>
      <c r="GJ93" s="25"/>
      <c r="GK93" s="195" t="s">
        <v>109</v>
      </c>
      <c r="GL93" s="194"/>
      <c r="GM93" s="44">
        <f>GM86+GM89+GQ86</f>
        <v>5.8924945647997307</v>
      </c>
      <c r="GN93" s="14"/>
      <c r="GO93" s="14"/>
      <c r="GP93" s="14"/>
      <c r="GQ93" s="14"/>
      <c r="GR93" s="25"/>
      <c r="GS93" s="195" t="s">
        <v>109</v>
      </c>
      <c r="GT93" s="194"/>
      <c r="GU93" s="44">
        <f>GU86+GU89+GY86</f>
        <v>3.0523738794016095</v>
      </c>
      <c r="GV93" s="14"/>
      <c r="GW93" s="14"/>
      <c r="GX93" s="14"/>
      <c r="GY93" s="14"/>
      <c r="GZ93" s="25"/>
      <c r="HA93" s="195" t="s">
        <v>109</v>
      </c>
      <c r="HB93" s="194"/>
      <c r="HC93" s="44">
        <f>HC86+HC89+HG86</f>
        <v>3.9288453768485319</v>
      </c>
      <c r="HD93" s="14"/>
      <c r="HE93" s="14"/>
      <c r="HF93" s="14"/>
      <c r="HG93" s="14"/>
      <c r="HH93" s="25"/>
      <c r="HI93" s="195" t="s">
        <v>109</v>
      </c>
      <c r="HJ93" s="194"/>
      <c r="HK93" s="44">
        <f>HK86+HK89+HO86</f>
        <v>1.7562264162042278</v>
      </c>
      <c r="HL93" s="14"/>
      <c r="HM93" s="14"/>
      <c r="HN93" s="14"/>
      <c r="HO93" s="14"/>
      <c r="HP93" s="25"/>
    </row>
    <row r="94" spans="1:224" x14ac:dyDescent="0.25">
      <c r="A94" s="106"/>
      <c r="B94" s="204" t="s">
        <v>207</v>
      </c>
      <c r="C94" s="204"/>
      <c r="D94" s="204"/>
      <c r="E94" s="204"/>
      <c r="F94" s="204"/>
      <c r="G94" s="106" t="s">
        <v>19</v>
      </c>
      <c r="H94" s="32" t="s">
        <v>20</v>
      </c>
      <c r="I94" s="106"/>
      <c r="J94" s="204" t="s">
        <v>207</v>
      </c>
      <c r="K94" s="204"/>
      <c r="L94" s="204"/>
      <c r="M94" s="204"/>
      <c r="N94" s="204"/>
      <c r="O94" s="106" t="s">
        <v>19</v>
      </c>
      <c r="P94" s="32" t="s">
        <v>20</v>
      </c>
      <c r="Q94" s="106"/>
      <c r="R94" s="204" t="s">
        <v>207</v>
      </c>
      <c r="S94" s="204"/>
      <c r="T94" s="204"/>
      <c r="U94" s="204"/>
      <c r="V94" s="204"/>
      <c r="W94" s="106" t="s">
        <v>19</v>
      </c>
      <c r="X94" s="32" t="s">
        <v>20</v>
      </c>
      <c r="Y94" s="107"/>
      <c r="Z94" s="204" t="s">
        <v>207</v>
      </c>
      <c r="AA94" s="204"/>
      <c r="AB94" s="204"/>
      <c r="AC94" s="204"/>
      <c r="AD94" s="204"/>
      <c r="AE94" s="106" t="s">
        <v>19</v>
      </c>
      <c r="AF94" s="32" t="s">
        <v>20</v>
      </c>
      <c r="AG94" s="107"/>
      <c r="AH94" s="204" t="s">
        <v>207</v>
      </c>
      <c r="AI94" s="204"/>
      <c r="AJ94" s="204"/>
      <c r="AK94" s="204"/>
      <c r="AL94" s="204"/>
      <c r="AM94" s="106" t="s">
        <v>19</v>
      </c>
      <c r="AN94" s="32" t="s">
        <v>20</v>
      </c>
      <c r="AO94" s="116">
        <v>4</v>
      </c>
      <c r="AP94" s="199"/>
      <c r="AQ94" s="199"/>
      <c r="AR94" s="199"/>
      <c r="AS94" s="199"/>
      <c r="AT94" s="199"/>
      <c r="AU94" s="118"/>
      <c r="AV94" s="121"/>
      <c r="AW94" s="116">
        <v>4</v>
      </c>
      <c r="AX94" s="199"/>
      <c r="AY94" s="199"/>
      <c r="AZ94" s="199"/>
      <c r="BA94" s="199"/>
      <c r="BB94" s="199"/>
      <c r="BC94" s="118"/>
      <c r="BD94" s="121"/>
      <c r="BE94" s="116">
        <v>4</v>
      </c>
      <c r="BF94" s="199"/>
      <c r="BG94" s="199"/>
      <c r="BH94" s="199"/>
      <c r="BI94" s="199"/>
      <c r="BJ94" s="199"/>
      <c r="BK94" s="118"/>
      <c r="BL94" s="121"/>
      <c r="BM94" s="116">
        <v>4</v>
      </c>
      <c r="BN94" s="199"/>
      <c r="BO94" s="199"/>
      <c r="BP94" s="199"/>
      <c r="BQ94" s="199"/>
      <c r="BR94" s="199"/>
      <c r="BS94" s="118"/>
      <c r="BT94" s="121"/>
      <c r="BU94" s="116">
        <v>4</v>
      </c>
      <c r="BV94" s="199"/>
      <c r="BW94" s="199"/>
      <c r="BX94" s="199"/>
      <c r="BY94" s="199"/>
      <c r="BZ94" s="199"/>
      <c r="CA94" s="118"/>
      <c r="CB94" s="121"/>
      <c r="CC94" s="116">
        <v>4</v>
      </c>
      <c r="CD94" s="199"/>
      <c r="CE94" s="199"/>
      <c r="CF94" s="199"/>
      <c r="CG94" s="199"/>
      <c r="CH94" s="199"/>
      <c r="CI94" s="118"/>
      <c r="CJ94" s="121"/>
      <c r="CK94" s="116">
        <v>4</v>
      </c>
      <c r="CL94" s="199"/>
      <c r="CM94" s="199"/>
      <c r="CN94" s="199"/>
      <c r="CO94" s="199"/>
      <c r="CP94" s="199"/>
      <c r="CQ94" s="118"/>
      <c r="CR94" s="121"/>
      <c r="CS94" s="116">
        <v>4</v>
      </c>
      <c r="CT94" s="199"/>
      <c r="CU94" s="199"/>
      <c r="CV94" s="199"/>
      <c r="CW94" s="199"/>
      <c r="CX94" s="199"/>
      <c r="CY94" s="118"/>
      <c r="CZ94" s="121"/>
      <c r="DA94" s="116">
        <v>4</v>
      </c>
      <c r="DB94" s="199"/>
      <c r="DC94" s="199"/>
      <c r="DD94" s="199"/>
      <c r="DE94" s="199"/>
      <c r="DF94" s="199"/>
      <c r="DG94" s="118"/>
      <c r="DH94" s="121"/>
      <c r="DI94" s="116">
        <v>4</v>
      </c>
      <c r="DJ94" s="199"/>
      <c r="DK94" s="199"/>
      <c r="DL94" s="199"/>
      <c r="DM94" s="199"/>
      <c r="DN94" s="199"/>
      <c r="DO94" s="118"/>
      <c r="DP94" s="121"/>
      <c r="DQ94" s="116">
        <v>4</v>
      </c>
      <c r="DR94" s="199"/>
      <c r="DS94" s="199"/>
      <c r="DT94" s="199"/>
      <c r="DU94" s="199"/>
      <c r="DV94" s="199"/>
      <c r="DW94" s="118"/>
      <c r="DX94" s="121"/>
      <c r="DY94" s="116">
        <v>4</v>
      </c>
      <c r="DZ94" s="199"/>
      <c r="EA94" s="199"/>
      <c r="EB94" s="199"/>
      <c r="EC94" s="199"/>
      <c r="ED94" s="199"/>
      <c r="EE94" s="118"/>
      <c r="EF94" s="121"/>
      <c r="EG94" s="229">
        <v>12</v>
      </c>
      <c r="EH94" s="199" t="s">
        <v>214</v>
      </c>
      <c r="EI94" s="199"/>
      <c r="EJ94" s="199"/>
      <c r="EK94" s="199"/>
      <c r="EL94" s="118" t="s">
        <v>129</v>
      </c>
      <c r="EM94" s="47">
        <f>IF(EL94="Present",(1-(EH69/SUM(EH67:EH70)))+(EH69/SUM(EH67:EH70))*IF(EK70="Signalized",IF(EK66="Rural",0.59,0.76),IF(EK66="Rural",0.76,0.87)),1)</f>
        <v>1</v>
      </c>
      <c r="EN94" s="48">
        <f>IF(EL94="Present",(1-(EH69/SUM(EH67:EH70)))+(EH69/SUM(EH67:EH70))*IF(EK70="Signalized",IF(EK66="Rural",0.97,0.94),IF(EK66="Rural",0.63,0.69)),1)</f>
        <v>1</v>
      </c>
      <c r="EO94" s="229">
        <v>12</v>
      </c>
      <c r="EP94" s="199" t="s">
        <v>214</v>
      </c>
      <c r="EQ94" s="199"/>
      <c r="ER94" s="199"/>
      <c r="ES94" s="199"/>
      <c r="ET94" s="118" t="s">
        <v>129</v>
      </c>
      <c r="EU94" s="47">
        <f>IF(ET94="Present",(1-(EP69/SUM(EP67:EP70)))+(EP69/SUM(EP67:EP70))*IF(ES70="Signalized",IF(ES66="Rural",0.59,0.76),IF(ES66="Rural",0.76,0.87)),1)</f>
        <v>1</v>
      </c>
      <c r="EV94" s="48">
        <f>IF(ET94="Present",(1-(EP69/SUM(EP67:EP70)))+(EP69/SUM(EP67:EP70))*IF(ES70="Signalized",IF(ES66="Rural",0.97,0.94),IF(ES66="Rural",0.63,0.69)),1)</f>
        <v>1</v>
      </c>
      <c r="EW94" s="229">
        <v>12</v>
      </c>
      <c r="EX94" s="199" t="s">
        <v>214</v>
      </c>
      <c r="EY94" s="199"/>
      <c r="EZ94" s="199"/>
      <c r="FA94" s="199"/>
      <c r="FB94" s="118" t="s">
        <v>129</v>
      </c>
      <c r="FC94" s="47">
        <f>IF(FB94="Present",(1-(EX69/SUM(EX67:EX70)))+(EX69/SUM(EX67:EX70))*IF(FA70="Signalized",IF(FA66="Rural",0.59,0.76),IF(FA66="Rural",0.76,0.87)),1)</f>
        <v>1</v>
      </c>
      <c r="FD94" s="48">
        <f>IF(FB94="Present",(1-(EX69/SUM(EX67:EX70)))+(EX69/SUM(EX67:EX70))*IF(FA70="Signalized",IF(FA66="Rural",0.97,0.94),IF(FA66="Rural",0.63,0.69)),1)</f>
        <v>1</v>
      </c>
      <c r="FE94" s="229">
        <v>12</v>
      </c>
      <c r="FF94" s="199" t="s">
        <v>214</v>
      </c>
      <c r="FG94" s="199"/>
      <c r="FH94" s="199"/>
      <c r="FI94" s="199"/>
      <c r="FJ94" s="118" t="s">
        <v>129</v>
      </c>
      <c r="FK94" s="47">
        <f>IF(FJ94="Present",(1-(FF69/SUM(FF67:FF70)))+(FF69/SUM(FF67:FF70))*IF(FI70="Signalized",IF(FI66="Rural",0.59,0.76),IF(FI66="Rural",0.76,0.87)),1)</f>
        <v>1</v>
      </c>
      <c r="FL94" s="48">
        <f>IF(FJ94="Present",(1-(FF69/SUM(FF67:FF70)))+(FF69/SUM(FF67:FF70))*IF(FI70="Signalized",IF(FI66="Rural",0.97,0.94),IF(FI66="Rural",0.63,0.69)),1)</f>
        <v>1</v>
      </c>
      <c r="FM94" s="229">
        <v>12</v>
      </c>
      <c r="FN94" s="199" t="s">
        <v>214</v>
      </c>
      <c r="FO94" s="199"/>
      <c r="FP94" s="199"/>
      <c r="FQ94" s="199"/>
      <c r="FR94" s="118" t="s">
        <v>129</v>
      </c>
      <c r="FS94" s="47">
        <f>IF(FR94="Present",(1-(FN69/SUM(FN67:FN70)))+(FN69/SUM(FN67:FN70))*IF(FQ70="Signalized",IF(FQ66="Rural",0.59,0.76),IF(FQ66="Rural",0.76,0.87)),1)</f>
        <v>1</v>
      </c>
      <c r="FT94" s="48">
        <f>IF(FR94="Present",(1-(FN69/SUM(FN67:FN70)))+(FN69/SUM(FN67:FN70))*IF(FQ70="Signalized",IF(FQ66="Rural",0.97,0.94),IF(FQ66="Rural",0.63,0.69)),1)</f>
        <v>1</v>
      </c>
      <c r="FU94" s="229">
        <v>12</v>
      </c>
      <c r="FV94" s="199" t="s">
        <v>214</v>
      </c>
      <c r="FW94" s="199"/>
      <c r="FX94" s="199"/>
      <c r="FY94" s="199"/>
      <c r="FZ94" s="118" t="s">
        <v>129</v>
      </c>
      <c r="GA94" s="47">
        <f>IF(FZ94="Present",(1-(FV69/SUM(FV67:FV70)))+(FV69/SUM(FV67:FV70))*IF(FY70="Signalized",IF(FY66="Rural",0.59,0.76),IF(FY66="Rural",0.76,0.87)),1)</f>
        <v>1</v>
      </c>
      <c r="GB94" s="48">
        <f>IF(FZ94="Present",(1-(FV69/SUM(FV67:FV70)))+(FV69/SUM(FV67:FV70))*IF(FY70="Signalized",IF(FY66="Rural",0.97,0.94),IF(FY66="Rural",0.63,0.69)),1)</f>
        <v>1</v>
      </c>
      <c r="GC94" s="195" t="s">
        <v>110</v>
      </c>
      <c r="GD94" s="194"/>
      <c r="GE94" s="44">
        <f>GE87+GE90+GI87</f>
        <v>1.2573226588219466</v>
      </c>
      <c r="GF94" s="14"/>
      <c r="GG94" s="14"/>
      <c r="GH94" s="14"/>
      <c r="GI94" s="14"/>
      <c r="GJ94" s="25"/>
      <c r="GK94" s="195" t="s">
        <v>110</v>
      </c>
      <c r="GL94" s="194"/>
      <c r="GM94" s="44">
        <f>GM87+GM90+GQ87</f>
        <v>14.411885159796155</v>
      </c>
      <c r="GN94" s="14"/>
      <c r="GO94" s="14"/>
      <c r="GP94" s="14"/>
      <c r="GQ94" s="14"/>
      <c r="GR94" s="25"/>
      <c r="GS94" s="195" t="s">
        <v>110</v>
      </c>
      <c r="GT94" s="194"/>
      <c r="GU94" s="44">
        <f>GU87+GU90+GY87</f>
        <v>8.1522927880949219</v>
      </c>
      <c r="GV94" s="14"/>
      <c r="GW94" s="14"/>
      <c r="GX94" s="14"/>
      <c r="GY94" s="14"/>
      <c r="GZ94" s="25"/>
      <c r="HA94" s="195" t="s">
        <v>110</v>
      </c>
      <c r="HB94" s="194"/>
      <c r="HC94" s="44">
        <f>HC87+HC90+HG87</f>
        <v>10.856354546401565</v>
      </c>
      <c r="HD94" s="14"/>
      <c r="HE94" s="14"/>
      <c r="HF94" s="14"/>
      <c r="HG94" s="14"/>
      <c r="HH94" s="25"/>
      <c r="HI94" s="195" t="s">
        <v>110</v>
      </c>
      <c r="HJ94" s="194"/>
      <c r="HK94" s="44">
        <f>HK87+HK90+HO87</f>
        <v>4.8378384925082578</v>
      </c>
      <c r="HL94" s="14"/>
      <c r="HM94" s="14"/>
      <c r="HN94" s="14"/>
      <c r="HO94" s="14"/>
      <c r="HP94" s="25"/>
    </row>
    <row r="95" spans="1:224" x14ac:dyDescent="0.25">
      <c r="A95" s="106">
        <v>4</v>
      </c>
      <c r="B95" s="215" t="s">
        <v>203</v>
      </c>
      <c r="C95" s="217"/>
      <c r="D95" s="63">
        <v>40</v>
      </c>
      <c r="E95" s="59">
        <v>1</v>
      </c>
      <c r="F95" s="61">
        <v>13</v>
      </c>
      <c r="G95" s="47">
        <f>(1-E95)*EXP(-0.00302*(D95-2*F95-48))+E95*EXP(-0.00302*(2*F95-48))</f>
        <v>1.0686968403410602</v>
      </c>
      <c r="H95" s="48">
        <f>(1-E95)*EXP(-0.00291*(D95-2*F95-48))+E95*EXP(-0.00291*(2*F95-48))</f>
        <v>1.0661137208227003</v>
      </c>
      <c r="I95" s="106">
        <v>4</v>
      </c>
      <c r="J95" s="215" t="s">
        <v>203</v>
      </c>
      <c r="K95" s="217"/>
      <c r="L95" s="63">
        <v>40</v>
      </c>
      <c r="M95" s="59">
        <v>1</v>
      </c>
      <c r="N95" s="61">
        <v>13</v>
      </c>
      <c r="O95" s="47">
        <f>(1-M95)*EXP(-0.00302*(L95-2*N95-48))+M95*EXP(-0.00302*(2*N95-48))</f>
        <v>1.0686968403410602</v>
      </c>
      <c r="P95" s="48">
        <f>(1-M95)*EXP(-0.00291*(L95-2*N95-48))+M95*EXP(-0.00291*(2*N95-48))</f>
        <v>1.0661137208227003</v>
      </c>
      <c r="Q95" s="106">
        <v>4</v>
      </c>
      <c r="R95" s="215" t="s">
        <v>203</v>
      </c>
      <c r="S95" s="217"/>
      <c r="T95" s="63">
        <v>40</v>
      </c>
      <c r="U95" s="59">
        <v>1</v>
      </c>
      <c r="V95" s="61">
        <v>13</v>
      </c>
      <c r="W95" s="47">
        <f>(1-U95)*EXP(-0.00302*(T95-2*V95-48))+U95*EXP(-0.00302*(2*V95-48))</f>
        <v>1.0686968403410602</v>
      </c>
      <c r="X95" s="48">
        <f>(1-U95)*EXP(-0.00291*(T95-2*V95-48))+U95*EXP(-0.00291*(2*V95-48))</f>
        <v>1.0661137208227003</v>
      </c>
      <c r="Y95" s="107">
        <v>4</v>
      </c>
      <c r="Z95" s="215" t="s">
        <v>203</v>
      </c>
      <c r="AA95" s="217"/>
      <c r="AB95" s="63">
        <v>40</v>
      </c>
      <c r="AC95" s="59">
        <v>1</v>
      </c>
      <c r="AD95" s="61">
        <v>13</v>
      </c>
      <c r="AE95" s="47">
        <f>(1-AC95)*EXP(-0.00302*(AB95-2*AD95-48))+AC95*EXP(-0.00302*(2*AD95-48))</f>
        <v>1.0686968403410602</v>
      </c>
      <c r="AF95" s="48">
        <f>(1-AC95)*EXP(-0.00291*(AB95-2*AD95-48))+AC95*EXP(-0.00291*(2*AD95-48))</f>
        <v>1.0661137208227003</v>
      </c>
      <c r="AG95" s="107">
        <v>4</v>
      </c>
      <c r="AH95" s="215" t="s">
        <v>203</v>
      </c>
      <c r="AI95" s="217"/>
      <c r="AJ95" s="63">
        <v>40</v>
      </c>
      <c r="AK95" s="59">
        <v>0.5</v>
      </c>
      <c r="AL95" s="61">
        <v>13</v>
      </c>
      <c r="AM95" s="47">
        <f>(1-AK95)*EXP(-0.00302*(AJ95-2*AL95-48))+AK95*EXP(-0.00302*(2*AL95-48))</f>
        <v>1.088416794457435</v>
      </c>
      <c r="AN95" s="48">
        <f>(1-AK95)*EXP(-0.00291*(AJ95-2*AL95-48))+AK95*EXP(-0.00291*(2*AL95-48))</f>
        <v>1.0850568891954442</v>
      </c>
      <c r="AO95" s="116">
        <v>5</v>
      </c>
      <c r="AP95" s="199"/>
      <c r="AQ95" s="199"/>
      <c r="AR95" s="199"/>
      <c r="AS95" s="199"/>
      <c r="AT95" s="199"/>
      <c r="AU95" s="118"/>
      <c r="AV95" s="121"/>
      <c r="AW95" s="116">
        <v>5</v>
      </c>
      <c r="AX95" s="199"/>
      <c r="AY95" s="199"/>
      <c r="AZ95" s="199"/>
      <c r="BA95" s="199"/>
      <c r="BB95" s="199"/>
      <c r="BC95" s="118"/>
      <c r="BD95" s="121"/>
      <c r="BE95" s="116">
        <v>5</v>
      </c>
      <c r="BF95" s="199"/>
      <c r="BG95" s="199"/>
      <c r="BH95" s="199"/>
      <c r="BI95" s="199"/>
      <c r="BJ95" s="199"/>
      <c r="BK95" s="118"/>
      <c r="BL95" s="121"/>
      <c r="BM95" s="116">
        <v>5</v>
      </c>
      <c r="BN95" s="199"/>
      <c r="BO95" s="199"/>
      <c r="BP95" s="199"/>
      <c r="BQ95" s="199"/>
      <c r="BR95" s="199"/>
      <c r="BS95" s="118"/>
      <c r="BT95" s="121"/>
      <c r="BU95" s="116">
        <v>5</v>
      </c>
      <c r="BV95" s="199"/>
      <c r="BW95" s="199"/>
      <c r="BX95" s="199"/>
      <c r="BY95" s="199"/>
      <c r="BZ95" s="199"/>
      <c r="CA95" s="118"/>
      <c r="CB95" s="121"/>
      <c r="CC95" s="116">
        <v>5</v>
      </c>
      <c r="CD95" s="199"/>
      <c r="CE95" s="199"/>
      <c r="CF95" s="199"/>
      <c r="CG95" s="199"/>
      <c r="CH95" s="199"/>
      <c r="CI95" s="118"/>
      <c r="CJ95" s="121"/>
      <c r="CK95" s="116">
        <v>5</v>
      </c>
      <c r="CL95" s="199"/>
      <c r="CM95" s="199"/>
      <c r="CN95" s="199"/>
      <c r="CO95" s="199"/>
      <c r="CP95" s="199"/>
      <c r="CQ95" s="118"/>
      <c r="CR95" s="121"/>
      <c r="CS95" s="116">
        <v>5</v>
      </c>
      <c r="CT95" s="199"/>
      <c r="CU95" s="199"/>
      <c r="CV95" s="199"/>
      <c r="CW95" s="199"/>
      <c r="CX95" s="199"/>
      <c r="CY95" s="118"/>
      <c r="CZ95" s="121"/>
      <c r="DA95" s="116">
        <v>5</v>
      </c>
      <c r="DB95" s="199"/>
      <c r="DC95" s="199"/>
      <c r="DD95" s="199"/>
      <c r="DE95" s="199"/>
      <c r="DF95" s="199"/>
      <c r="DG95" s="118"/>
      <c r="DH95" s="121"/>
      <c r="DI95" s="116">
        <v>5</v>
      </c>
      <c r="DJ95" s="199"/>
      <c r="DK95" s="199"/>
      <c r="DL95" s="199"/>
      <c r="DM95" s="199"/>
      <c r="DN95" s="199"/>
      <c r="DO95" s="118"/>
      <c r="DP95" s="121"/>
      <c r="DQ95" s="116">
        <v>5</v>
      </c>
      <c r="DR95" s="199"/>
      <c r="DS95" s="199"/>
      <c r="DT95" s="199"/>
      <c r="DU95" s="199"/>
      <c r="DV95" s="199"/>
      <c r="DW95" s="118"/>
      <c r="DX95" s="121"/>
      <c r="DY95" s="116">
        <v>5</v>
      </c>
      <c r="DZ95" s="199"/>
      <c r="EA95" s="199"/>
      <c r="EB95" s="199"/>
      <c r="EC95" s="199"/>
      <c r="ED95" s="199"/>
      <c r="EE95" s="118"/>
      <c r="EF95" s="121"/>
      <c r="EG95" s="229"/>
      <c r="EH95" s="199" t="s">
        <v>175</v>
      </c>
      <c r="EI95" s="199"/>
      <c r="EJ95" s="199"/>
      <c r="EK95" s="199"/>
      <c r="EL95" s="118" t="s">
        <v>128</v>
      </c>
      <c r="EM95" s="47">
        <f>IF(EL95="Present",(1-(EH70/SUM(EH67:EH70)))+(EH70/SUM(EH67:EH70))*IF(EK70="Signalized",IF(EK66="Rural",0.59,0.76),IF(EK66="Rural",0.76,0.87)),1)</f>
        <v>0.93009708737864072</v>
      </c>
      <c r="EN95" s="48">
        <f>IF(EL95="Present",(1-(EH70/SUM(EH67:EH70)))+(EH70/SUM(EH67:EH70))*IF(EK70="Signalized",IF(EK66="Rural",0.97,0.94),IF(EK66="Rural",0.63,0.69)),1)</f>
        <v>0.98252427184466018</v>
      </c>
      <c r="EO95" s="229"/>
      <c r="EP95" s="199" t="s">
        <v>175</v>
      </c>
      <c r="EQ95" s="199"/>
      <c r="ER95" s="199"/>
      <c r="ES95" s="199"/>
      <c r="ET95" s="118" t="s">
        <v>129</v>
      </c>
      <c r="EU95" s="47">
        <f>IF(ET95="Present",(1-(EP70/SUM(EP67:EP70)))+(EP70/SUM(EP67:EP70))*IF(ES70="Signalized",IF(ES66="Rural",0.59,0.76),IF(ES66="Rural",0.76,0.87)),1)</f>
        <v>1</v>
      </c>
      <c r="EV95" s="48">
        <f>IF(ET95="Present",(1-(EP70/SUM(EP67:EP70)))+(EP70/SUM(EP67:EP70))*IF(ES70="Signalized",IF(ES66="Rural",0.97,0.94),IF(ES66="Rural",0.63,0.69)),1)</f>
        <v>1</v>
      </c>
      <c r="EW95" s="229"/>
      <c r="EX95" s="199" t="s">
        <v>175</v>
      </c>
      <c r="EY95" s="199"/>
      <c r="EZ95" s="199"/>
      <c r="FA95" s="199"/>
      <c r="FB95" s="118" t="s">
        <v>129</v>
      </c>
      <c r="FC95" s="47">
        <f>IF(FB95="Present",(1-(EX70/SUM(EX67:EX70)))+(EX70/SUM(EX67:EX70))*IF(FA70="Signalized",IF(FA66="Rural",0.59,0.76),IF(FA66="Rural",0.76,0.87)),1)</f>
        <v>1</v>
      </c>
      <c r="FD95" s="48">
        <f>IF(FB95="Present",(1-(EX70/SUM(EX67:EX70)))+(EX70/SUM(EX67:EX70))*IF(FA70="Signalized",IF(FA66="Rural",0.97,0.94),IF(FA66="Rural",0.63,0.69)),1)</f>
        <v>1</v>
      </c>
      <c r="FE95" s="229"/>
      <c r="FF95" s="199" t="s">
        <v>175</v>
      </c>
      <c r="FG95" s="199"/>
      <c r="FH95" s="199"/>
      <c r="FI95" s="199"/>
      <c r="FJ95" s="118" t="s">
        <v>129</v>
      </c>
      <c r="FK95" s="47">
        <f>IF(FJ95="Present",(1-(FF70/SUM(FF67:FF70)))+(FF70/SUM(FF67:FF70))*IF(FI70="Signalized",IF(FI66="Rural",0.59,0.76),IF(FI66="Rural",0.76,0.87)),1)</f>
        <v>1</v>
      </c>
      <c r="FL95" s="48">
        <f>IF(FJ95="Present",(1-(FF70/SUM(FF67:FF70)))+(FF70/SUM(FF67:FF70))*IF(FI70="Signalized",IF(FI66="Rural",0.97,0.94),IF(FI66="Rural",0.63,0.69)),1)</f>
        <v>1</v>
      </c>
      <c r="FM95" s="229"/>
      <c r="FN95" s="199" t="s">
        <v>175</v>
      </c>
      <c r="FO95" s="199"/>
      <c r="FP95" s="199"/>
      <c r="FQ95" s="199"/>
      <c r="FR95" s="118" t="s">
        <v>129</v>
      </c>
      <c r="FS95" s="47">
        <f>IF(FR95="Present",(1-(FN70/SUM(FN67:FN70)))+(FN70/SUM(FN67:FN70))*IF(FQ70="Signalized",IF(FQ66="Rural",0.59,0.76),IF(FQ66="Rural",0.76,0.87)),1)</f>
        <v>1</v>
      </c>
      <c r="FT95" s="48">
        <f>IF(FR95="Present",(1-(FN70/SUM(FN67:FN70)))+(FN70/SUM(FN67:FN70))*IF(FQ70="Signalized",IF(FQ66="Rural",0.97,0.94),IF(FQ66="Rural",0.63,0.69)),1)</f>
        <v>1</v>
      </c>
      <c r="FU95" s="229"/>
      <c r="FV95" s="199" t="s">
        <v>175</v>
      </c>
      <c r="FW95" s="199"/>
      <c r="FX95" s="199"/>
      <c r="FY95" s="199"/>
      <c r="FZ95" s="118" t="s">
        <v>129</v>
      </c>
      <c r="GA95" s="47">
        <f>IF(FZ95="Present",(1-(FV70/SUM(FV67:FV70)))+(FV70/SUM(FV67:FV70))*IF(FY70="Signalized",IF(FY66="Rural",0.59,0.76),IF(FY66="Rural",0.76,0.87)),1)</f>
        <v>1</v>
      </c>
      <c r="GB95" s="48">
        <f>IF(FZ95="Present",(1-(FV70/SUM(FV67:FV70)))+(FV70/SUM(FV67:FV70))*IF(FY70="Signalized",IF(FY66="Rural",0.97,0.94),IF(FY66="Rural",0.63,0.69)),1)</f>
        <v>1</v>
      </c>
      <c r="GC95" s="24"/>
      <c r="GD95" s="14"/>
      <c r="GE95" s="14"/>
      <c r="GF95" s="14"/>
      <c r="GG95" s="14"/>
      <c r="GH95" s="14"/>
      <c r="GI95" s="14"/>
      <c r="GJ95" s="25"/>
      <c r="GK95" s="24"/>
      <c r="GL95" s="14"/>
      <c r="GM95" s="14"/>
      <c r="GN95" s="14"/>
      <c r="GO95" s="14"/>
      <c r="GP95" s="14"/>
      <c r="GQ95" s="14"/>
      <c r="GR95" s="25"/>
      <c r="GS95" s="24"/>
      <c r="GT95" s="14"/>
      <c r="GU95" s="14"/>
      <c r="GV95" s="14"/>
      <c r="GW95" s="14"/>
      <c r="GX95" s="14"/>
      <c r="GY95" s="14"/>
      <c r="GZ95" s="25"/>
      <c r="HA95" s="24"/>
      <c r="HB95" s="14"/>
      <c r="HC95" s="14"/>
      <c r="HD95" s="14"/>
      <c r="HE95" s="14"/>
      <c r="HF95" s="14"/>
      <c r="HG95" s="14"/>
      <c r="HH95" s="25"/>
      <c r="HI95" s="24"/>
      <c r="HJ95" s="14"/>
      <c r="HK95" s="14"/>
      <c r="HL95" s="14"/>
      <c r="HM95" s="14"/>
      <c r="HN95" s="14"/>
      <c r="HO95" s="14"/>
      <c r="HP95" s="25"/>
    </row>
    <row r="96" spans="1:224" x14ac:dyDescent="0.25">
      <c r="A96" s="106">
        <v>6</v>
      </c>
      <c r="B96" s="215" t="s">
        <v>205</v>
      </c>
      <c r="C96" s="217"/>
      <c r="D96" s="233">
        <v>0.1</v>
      </c>
      <c r="E96" s="234"/>
      <c r="F96" s="235"/>
      <c r="G96" s="47">
        <f>EXP(0.35*D96)</f>
        <v>1.0356197087996233</v>
      </c>
      <c r="H96" s="48">
        <f>EXP(0.283*D96)</f>
        <v>1.0287042494091854</v>
      </c>
      <c r="I96" s="106">
        <v>6</v>
      </c>
      <c r="J96" s="215" t="s">
        <v>205</v>
      </c>
      <c r="K96" s="217"/>
      <c r="L96" s="233">
        <v>0.1</v>
      </c>
      <c r="M96" s="234"/>
      <c r="N96" s="235"/>
      <c r="O96" s="47">
        <f>EXP(0.35*L96)</f>
        <v>1.0356197087996233</v>
      </c>
      <c r="P96" s="48">
        <f>EXP(0.283*L96)</f>
        <v>1.0287042494091854</v>
      </c>
      <c r="Q96" s="106">
        <v>6</v>
      </c>
      <c r="R96" s="215" t="s">
        <v>205</v>
      </c>
      <c r="S96" s="217"/>
      <c r="T96" s="233">
        <v>0.1</v>
      </c>
      <c r="U96" s="234"/>
      <c r="V96" s="235"/>
      <c r="W96" s="47">
        <f>EXP(0.35*T96)</f>
        <v>1.0356197087996233</v>
      </c>
      <c r="X96" s="48">
        <f>EXP(0.283*T96)</f>
        <v>1.0287042494091854</v>
      </c>
      <c r="Y96" s="107">
        <v>6</v>
      </c>
      <c r="Z96" s="215" t="s">
        <v>205</v>
      </c>
      <c r="AA96" s="217"/>
      <c r="AB96" s="233">
        <v>0.1</v>
      </c>
      <c r="AC96" s="234"/>
      <c r="AD96" s="235"/>
      <c r="AE96" s="47">
        <f>EXP(0.35*AB96)</f>
        <v>1.0356197087996233</v>
      </c>
      <c r="AF96" s="48">
        <f>EXP(0.283*AB96)</f>
        <v>1.0287042494091854</v>
      </c>
      <c r="AG96" s="107">
        <v>6</v>
      </c>
      <c r="AH96" s="215" t="s">
        <v>205</v>
      </c>
      <c r="AI96" s="217"/>
      <c r="AJ96" s="233">
        <v>0.1</v>
      </c>
      <c r="AK96" s="234"/>
      <c r="AL96" s="235"/>
      <c r="AM96" s="47">
        <f>EXP(0.35*AJ96)</f>
        <v>1.0356197087996233</v>
      </c>
      <c r="AN96" s="48">
        <f>EXP(0.283*AJ96)</f>
        <v>1.0287042494091854</v>
      </c>
      <c r="AO96" s="116">
        <v>6</v>
      </c>
      <c r="AP96" s="199"/>
      <c r="AQ96" s="199"/>
      <c r="AR96" s="199"/>
      <c r="AS96" s="199"/>
      <c r="AT96" s="199"/>
      <c r="AU96" s="118"/>
      <c r="AV96" s="121"/>
      <c r="AW96" s="116">
        <v>6</v>
      </c>
      <c r="AX96" s="199"/>
      <c r="AY96" s="199"/>
      <c r="AZ96" s="199"/>
      <c r="BA96" s="199"/>
      <c r="BB96" s="199"/>
      <c r="BC96" s="118"/>
      <c r="BD96" s="121"/>
      <c r="BE96" s="116">
        <v>6</v>
      </c>
      <c r="BF96" s="199"/>
      <c r="BG96" s="199"/>
      <c r="BH96" s="199"/>
      <c r="BI96" s="199"/>
      <c r="BJ96" s="199"/>
      <c r="BK96" s="118"/>
      <c r="BL96" s="121"/>
      <c r="BM96" s="116">
        <v>6</v>
      </c>
      <c r="BN96" s="199"/>
      <c r="BO96" s="199"/>
      <c r="BP96" s="199"/>
      <c r="BQ96" s="199"/>
      <c r="BR96" s="199"/>
      <c r="BS96" s="118"/>
      <c r="BT96" s="121"/>
      <c r="BU96" s="116">
        <v>6</v>
      </c>
      <c r="BV96" s="199"/>
      <c r="BW96" s="199"/>
      <c r="BX96" s="199"/>
      <c r="BY96" s="199"/>
      <c r="BZ96" s="199"/>
      <c r="CA96" s="118"/>
      <c r="CB96" s="121"/>
      <c r="CC96" s="116">
        <v>6</v>
      </c>
      <c r="CD96" s="199"/>
      <c r="CE96" s="199"/>
      <c r="CF96" s="199"/>
      <c r="CG96" s="199"/>
      <c r="CH96" s="199"/>
      <c r="CI96" s="118"/>
      <c r="CJ96" s="121"/>
      <c r="CK96" s="116">
        <v>6</v>
      </c>
      <c r="CL96" s="199"/>
      <c r="CM96" s="199"/>
      <c r="CN96" s="199"/>
      <c r="CO96" s="199"/>
      <c r="CP96" s="199"/>
      <c r="CQ96" s="118"/>
      <c r="CR96" s="121"/>
      <c r="CS96" s="116">
        <v>6</v>
      </c>
      <c r="CT96" s="199"/>
      <c r="CU96" s="199"/>
      <c r="CV96" s="199"/>
      <c r="CW96" s="199"/>
      <c r="CX96" s="199"/>
      <c r="CY96" s="118"/>
      <c r="CZ96" s="121"/>
      <c r="DA96" s="116">
        <v>6</v>
      </c>
      <c r="DB96" s="199"/>
      <c r="DC96" s="199"/>
      <c r="DD96" s="199"/>
      <c r="DE96" s="199"/>
      <c r="DF96" s="199"/>
      <c r="DG96" s="118"/>
      <c r="DH96" s="121"/>
      <c r="DI96" s="116">
        <v>6</v>
      </c>
      <c r="DJ96" s="199"/>
      <c r="DK96" s="199"/>
      <c r="DL96" s="199"/>
      <c r="DM96" s="199"/>
      <c r="DN96" s="199"/>
      <c r="DO96" s="118"/>
      <c r="DP96" s="121"/>
      <c r="DQ96" s="116">
        <v>6</v>
      </c>
      <c r="DR96" s="199"/>
      <c r="DS96" s="199"/>
      <c r="DT96" s="199"/>
      <c r="DU96" s="199"/>
      <c r="DV96" s="199"/>
      <c r="DW96" s="118"/>
      <c r="DX96" s="121"/>
      <c r="DY96" s="116">
        <v>6</v>
      </c>
      <c r="DZ96" s="199"/>
      <c r="EA96" s="199"/>
      <c r="EB96" s="199"/>
      <c r="EC96" s="199"/>
      <c r="ED96" s="199"/>
      <c r="EE96" s="118"/>
      <c r="EF96" s="121"/>
      <c r="EG96" s="114">
        <v>13</v>
      </c>
      <c r="EH96" s="199" t="s">
        <v>176</v>
      </c>
      <c r="EI96" s="199"/>
      <c r="EJ96" s="199"/>
      <c r="EK96" s="92">
        <v>1</v>
      </c>
      <c r="EL96" s="50">
        <v>0</v>
      </c>
      <c r="EM96" s="47">
        <f>(1-(EH70/SUM(EH67:EH70)))+(EH70/SUM(EH67:EH70))*EXP(IF(EK70="Signalized",0.158,0)*EK96+IF(EK70="Signalized",0.158,0.522)*EL96)</f>
        <v>1.0498542314682533</v>
      </c>
      <c r="EN96" s="48">
        <f>(1-(EH70/SUM(EH67:EH70)))+(EH70/SUM(EH67:EH70))*EXP(IF(EK70="Signalized",0.203,0)*EK96+IF(EK70="Signalized",0.203,0)*EL96)</f>
        <v>1.0655550878390774</v>
      </c>
      <c r="EO96" s="114">
        <v>13</v>
      </c>
      <c r="EP96" s="199" t="s">
        <v>176</v>
      </c>
      <c r="EQ96" s="199"/>
      <c r="ER96" s="199"/>
      <c r="ES96" s="92">
        <v>1</v>
      </c>
      <c r="ET96" s="50">
        <v>0</v>
      </c>
      <c r="EU96" s="47">
        <f>(1-(EP70/SUM(EP67:EP70)))+(EP70/SUM(EP67:EP70))*EXP(IF(ES70="Signalized",0.158,0)*ES96+IF(ES70="Signalized",0.158,0.522)*ET96)</f>
        <v>1.0978092541186681</v>
      </c>
      <c r="EV96" s="48">
        <f>(1-(EP70/SUM(EP67:EP70)))+(EP70/SUM(EP67:EP70))*EXP(IF(ES70="Signalized",0.203,0)*ES96+IF(ES70="Signalized",0.203,0)*ET96)</f>
        <v>1.128612838998571</v>
      </c>
      <c r="EW96" s="114">
        <v>13</v>
      </c>
      <c r="EX96" s="199" t="s">
        <v>176</v>
      </c>
      <c r="EY96" s="199"/>
      <c r="EZ96" s="199"/>
      <c r="FA96" s="92">
        <v>1</v>
      </c>
      <c r="FB96" s="50">
        <v>2</v>
      </c>
      <c r="FC96" s="47">
        <f>(1-(EX70/SUM(EX67:EX70)))+(EX70/SUM(EX67:EX70))*EXP(IF(FA70="Signalized",0.158,0)*FA96+IF(FA70="Signalized",0.158,0.522)*FB96)</f>
        <v>1.0292244331097571</v>
      </c>
      <c r="FD96" s="48">
        <f>(1-(EX70/SUM(EX67:EX70)))+(EX70/SUM(EX67:EX70))*EXP(IF(FA70="Signalized",0.203,0)*FA96+IF(FA70="Signalized",0.203,0)*FB96)</f>
        <v>1.0404140668574406</v>
      </c>
      <c r="FE96" s="114">
        <v>13</v>
      </c>
      <c r="FF96" s="199" t="s">
        <v>176</v>
      </c>
      <c r="FG96" s="199"/>
      <c r="FH96" s="199"/>
      <c r="FI96" s="92">
        <v>1</v>
      </c>
      <c r="FJ96" s="50">
        <v>2</v>
      </c>
      <c r="FK96" s="47">
        <f>(1-(FF70/SUM(FF67:FF70)))+(FF70/SUM(FF67:FF70))*EXP(IF(FI70="Signalized",0.158,0)*FI96+IF(FI70="Signalized",0.158,0.522)*FJ96)</f>
        <v>1.1394854278152833</v>
      </c>
      <c r="FL96" s="48">
        <f>(1-(FF70/SUM(FF67:FF70)))+(FF70/SUM(FF67:FF70))*EXP(IF(FI70="Signalized",0.203,0)*FI96+IF(FI70="Signalized",0.203,0)*FJ96)</f>
        <v>1.1928924808975505</v>
      </c>
      <c r="FM96" s="114">
        <v>13</v>
      </c>
      <c r="FN96" s="199" t="s">
        <v>176</v>
      </c>
      <c r="FO96" s="199"/>
      <c r="FP96" s="199"/>
      <c r="FQ96" s="92">
        <v>3</v>
      </c>
      <c r="FR96" s="50">
        <v>0</v>
      </c>
      <c r="FS96" s="47">
        <f>(1-(FN70/SUM(FN67:FN70)))+(FN70/SUM(FN67:FN70))*EXP(IF(FQ70="Signalized",0.158,0)*FQ96+IF(FQ70="Signalized",0.158,0.522)*FR96)</f>
        <v>1.2640139263248806</v>
      </c>
      <c r="FT96" s="48">
        <f>(1-(FN70/SUM(FN67:FN70)))+(FN70/SUM(FN67:FN70))*EXP(IF(FQ70="Signalized",0.203,0)*FQ96+IF(FQ70="Signalized",0.203,0)*FR96)</f>
        <v>1.3651012298413685</v>
      </c>
      <c r="FU96" s="114">
        <v>13</v>
      </c>
      <c r="FV96" s="199" t="s">
        <v>176</v>
      </c>
      <c r="FW96" s="199"/>
      <c r="FX96" s="199"/>
      <c r="FY96" s="92">
        <v>3</v>
      </c>
      <c r="FZ96" s="50">
        <v>0</v>
      </c>
      <c r="GA96" s="47">
        <f>(1-(FV70/SUM(FV67:FV70)))+(FV70/SUM(FV67:FV70))*EXP(IF(FY70="Signalized",0.158,0)*FY96+IF(FY70="Signalized",0.158,0.522)*FZ96)</f>
        <v>1.2037527476412266</v>
      </c>
      <c r="GB96" s="48">
        <f>(1-(FV70/SUM(FV67:FV70)))+(FV70/SUM(FV67:FV70))*EXP(IF(FY70="Signalized",0.203,0)*FY96+IF(FY70="Signalized",0.203,0)*FZ96)</f>
        <v>1.2817668741300761</v>
      </c>
      <c r="GC96" s="24"/>
      <c r="GD96" s="14"/>
      <c r="GE96" s="14"/>
      <c r="GF96" s="14"/>
      <c r="GG96" s="14"/>
      <c r="GH96" s="14"/>
      <c r="GI96" s="14"/>
      <c r="GJ96" s="25"/>
      <c r="GK96" s="24"/>
      <c r="GL96" s="14"/>
      <c r="GM96" s="14"/>
      <c r="GN96" s="14"/>
      <c r="GO96" s="14"/>
      <c r="GP96" s="14"/>
      <c r="GQ96" s="14"/>
      <c r="GR96" s="25"/>
      <c r="GS96" s="24"/>
      <c r="GT96" s="14"/>
      <c r="GU96" s="14"/>
      <c r="GV96" s="14"/>
      <c r="GW96" s="14"/>
      <c r="GX96" s="14"/>
      <c r="GY96" s="14"/>
      <c r="GZ96" s="25"/>
      <c r="HA96" s="24"/>
      <c r="HB96" s="14"/>
      <c r="HC96" s="14"/>
      <c r="HD96" s="14"/>
      <c r="HE96" s="14"/>
      <c r="HF96" s="14"/>
      <c r="HG96" s="14"/>
      <c r="HH96" s="25"/>
      <c r="HI96" s="24"/>
      <c r="HJ96" s="14"/>
      <c r="HK96" s="14"/>
      <c r="HL96" s="14"/>
      <c r="HM96" s="14"/>
      <c r="HN96" s="14"/>
      <c r="HO96" s="14"/>
      <c r="HP96" s="25"/>
    </row>
    <row r="97" spans="1:224" x14ac:dyDescent="0.25">
      <c r="A97" s="106">
        <v>7</v>
      </c>
      <c r="B97" s="203" t="s">
        <v>347</v>
      </c>
      <c r="C97" s="203"/>
      <c r="D97" s="203"/>
      <c r="E97" s="203"/>
      <c r="F97" s="203"/>
      <c r="G97" s="47">
        <v>1</v>
      </c>
      <c r="H97" s="48">
        <v>1</v>
      </c>
      <c r="I97" s="106">
        <v>7</v>
      </c>
      <c r="J97" s="203" t="s">
        <v>347</v>
      </c>
      <c r="K97" s="203"/>
      <c r="L97" s="203"/>
      <c r="M97" s="203"/>
      <c r="N97" s="203"/>
      <c r="O97" s="47">
        <v>1</v>
      </c>
      <c r="P97" s="48">
        <v>1</v>
      </c>
      <c r="Q97" s="106">
        <v>7</v>
      </c>
      <c r="R97" s="203" t="s">
        <v>347</v>
      </c>
      <c r="S97" s="203"/>
      <c r="T97" s="203"/>
      <c r="U97" s="203"/>
      <c r="V97" s="203"/>
      <c r="W97" s="47">
        <v>1</v>
      </c>
      <c r="X97" s="48">
        <v>1</v>
      </c>
      <c r="Y97" s="107">
        <v>7</v>
      </c>
      <c r="Z97" s="199" t="s">
        <v>347</v>
      </c>
      <c r="AA97" s="199"/>
      <c r="AB97" s="199"/>
      <c r="AC97" s="199"/>
      <c r="AD97" s="199"/>
      <c r="AE97" s="47">
        <v>1</v>
      </c>
      <c r="AF97" s="48">
        <v>1</v>
      </c>
      <c r="AG97" s="107">
        <v>7</v>
      </c>
      <c r="AH97" s="199" t="s">
        <v>347</v>
      </c>
      <c r="AI97" s="199"/>
      <c r="AJ97" s="199"/>
      <c r="AK97" s="199"/>
      <c r="AL97" s="199"/>
      <c r="AM97" s="47">
        <v>1</v>
      </c>
      <c r="AN97" s="48">
        <v>1</v>
      </c>
      <c r="AO97" s="116">
        <v>7</v>
      </c>
      <c r="AP97" s="199"/>
      <c r="AQ97" s="199"/>
      <c r="AR97" s="199"/>
      <c r="AS97" s="199"/>
      <c r="AT97" s="199"/>
      <c r="AU97" s="118"/>
      <c r="AV97" s="121"/>
      <c r="AW97" s="116">
        <v>7</v>
      </c>
      <c r="AX97" s="199"/>
      <c r="AY97" s="199"/>
      <c r="AZ97" s="199"/>
      <c r="BA97" s="199"/>
      <c r="BB97" s="199"/>
      <c r="BC97" s="118"/>
      <c r="BD97" s="121"/>
      <c r="BE97" s="116">
        <v>7</v>
      </c>
      <c r="BF97" s="199"/>
      <c r="BG97" s="199"/>
      <c r="BH97" s="199"/>
      <c r="BI97" s="199"/>
      <c r="BJ97" s="199"/>
      <c r="BK97" s="118"/>
      <c r="BL97" s="121"/>
      <c r="BM97" s="116">
        <v>7</v>
      </c>
      <c r="BN97" s="199"/>
      <c r="BO97" s="199"/>
      <c r="BP97" s="199"/>
      <c r="BQ97" s="199"/>
      <c r="BR97" s="199"/>
      <c r="BS97" s="118"/>
      <c r="BT97" s="121"/>
      <c r="BU97" s="116">
        <v>7</v>
      </c>
      <c r="BV97" s="199"/>
      <c r="BW97" s="199"/>
      <c r="BX97" s="199"/>
      <c r="BY97" s="199"/>
      <c r="BZ97" s="199"/>
      <c r="CA97" s="118"/>
      <c r="CB97" s="121"/>
      <c r="CC97" s="116">
        <v>7</v>
      </c>
      <c r="CD97" s="199"/>
      <c r="CE97" s="199"/>
      <c r="CF97" s="199"/>
      <c r="CG97" s="199"/>
      <c r="CH97" s="199"/>
      <c r="CI97" s="118"/>
      <c r="CJ97" s="121"/>
      <c r="CK97" s="116">
        <v>7</v>
      </c>
      <c r="CL97" s="199"/>
      <c r="CM97" s="199"/>
      <c r="CN97" s="199"/>
      <c r="CO97" s="199"/>
      <c r="CP97" s="199"/>
      <c r="CQ97" s="118"/>
      <c r="CR97" s="121"/>
      <c r="CS97" s="116">
        <v>7</v>
      </c>
      <c r="CT97" s="199"/>
      <c r="CU97" s="199"/>
      <c r="CV97" s="199"/>
      <c r="CW97" s="199"/>
      <c r="CX97" s="199"/>
      <c r="CY97" s="118"/>
      <c r="CZ97" s="121"/>
      <c r="DA97" s="116">
        <v>7</v>
      </c>
      <c r="DB97" s="199"/>
      <c r="DC97" s="199"/>
      <c r="DD97" s="199"/>
      <c r="DE97" s="199"/>
      <c r="DF97" s="199"/>
      <c r="DG97" s="118"/>
      <c r="DH97" s="121"/>
      <c r="DI97" s="116">
        <v>7</v>
      </c>
      <c r="DJ97" s="199"/>
      <c r="DK97" s="199"/>
      <c r="DL97" s="199"/>
      <c r="DM97" s="199"/>
      <c r="DN97" s="199"/>
      <c r="DO97" s="118"/>
      <c r="DP97" s="121"/>
      <c r="DQ97" s="116">
        <v>7</v>
      </c>
      <c r="DR97" s="199"/>
      <c r="DS97" s="199"/>
      <c r="DT97" s="199"/>
      <c r="DU97" s="199"/>
      <c r="DV97" s="199"/>
      <c r="DW97" s="118"/>
      <c r="DX97" s="121"/>
      <c r="DY97" s="116">
        <v>7</v>
      </c>
      <c r="DZ97" s="199"/>
      <c r="EA97" s="199"/>
      <c r="EB97" s="199"/>
      <c r="EC97" s="199"/>
      <c r="ED97" s="199"/>
      <c r="EE97" s="118"/>
      <c r="EF97" s="121"/>
      <c r="EG97" s="45">
        <v>14</v>
      </c>
      <c r="EH97" s="199" t="s">
        <v>177</v>
      </c>
      <c r="EI97" s="199"/>
      <c r="EJ97" s="199"/>
      <c r="EK97" s="124">
        <f>500/5280</f>
        <v>9.4696969696969696E-2</v>
      </c>
      <c r="EL97" s="124">
        <f>500/5280</f>
        <v>9.4696969696969696E-2</v>
      </c>
      <c r="EM97" s="47">
        <f>EXP(IF(EK70="Signalized",-0.0185,-0.0141)*((1/EK97)+(1/EL97)-0.333))</f>
        <v>0.68075044073693614</v>
      </c>
      <c r="EN97" s="48">
        <f>EXP(IF(EK70="Signalized",-0.0186,0)*((1/EK97)+(1/EL97)-0.33))</f>
        <v>0.6792989285986144</v>
      </c>
      <c r="EO97" s="45">
        <v>14</v>
      </c>
      <c r="EP97" s="199" t="s">
        <v>177</v>
      </c>
      <c r="EQ97" s="199"/>
      <c r="ER97" s="199"/>
      <c r="ES97" s="124">
        <f>500/5280</f>
        <v>9.4696969696969696E-2</v>
      </c>
      <c r="ET97" s="124">
        <f>500/5280</f>
        <v>9.4696969696969696E-2</v>
      </c>
      <c r="EU97" s="47">
        <f>EXP(IF(ES70="Signalized",-0.0185,-0.0141)*((1/ES97)+(1/ET97)-0.333))</f>
        <v>0.68075044073693614</v>
      </c>
      <c r="EV97" s="48">
        <f>EXP(IF(ES70="Signalized",-0.0186,0)*((1/ES97)+(1/ET97)-0.33))</f>
        <v>0.6792989285986144</v>
      </c>
      <c r="EW97" s="45">
        <v>14</v>
      </c>
      <c r="EX97" s="199" t="s">
        <v>177</v>
      </c>
      <c r="EY97" s="199"/>
      <c r="EZ97" s="199"/>
      <c r="FA97" s="97">
        <v>1</v>
      </c>
      <c r="FB97" s="98">
        <v>1</v>
      </c>
      <c r="FC97" s="47">
        <f>EXP(IF(FA70="Signalized",-0.0185,-0.0141)*((1/FA97)+(1/FB97)-0.333))</f>
        <v>0.96963118639313928</v>
      </c>
      <c r="FD97" s="48">
        <f>EXP(IF(FA70="Signalized",-0.0186,0)*((1/FA97)+(1/FB97)-0.33))</f>
        <v>0.96941546745378881</v>
      </c>
      <c r="FE97" s="45">
        <v>14</v>
      </c>
      <c r="FF97" s="199" t="s">
        <v>177</v>
      </c>
      <c r="FG97" s="199"/>
      <c r="FH97" s="199"/>
      <c r="FI97" s="97">
        <v>1</v>
      </c>
      <c r="FJ97" s="98">
        <v>1</v>
      </c>
      <c r="FK97" s="47">
        <f>EXP(IF(FI70="Signalized",-0.0185,-0.0141)*((1/FI97)+(1/FJ97)-0.333))</f>
        <v>0.96963118639313928</v>
      </c>
      <c r="FL97" s="48">
        <f>EXP(IF(FI70="Signalized",-0.0186,0)*((1/FI97)+(1/FJ97)-0.33))</f>
        <v>0.96941546745378881</v>
      </c>
      <c r="FM97" s="45">
        <v>14</v>
      </c>
      <c r="FN97" s="199" t="s">
        <v>177</v>
      </c>
      <c r="FO97" s="199"/>
      <c r="FP97" s="199"/>
      <c r="FQ97" s="97">
        <f>500/5280</f>
        <v>9.4696969696969696E-2</v>
      </c>
      <c r="FR97" s="98">
        <f>4800/5280</f>
        <v>0.90909090909090906</v>
      </c>
      <c r="FS97" s="47">
        <f>EXP(IF(FQ70="Signalized",-0.0185,-0.0141)*((1/FQ97)+(1/FR97)-0.333))</f>
        <v>0.81094949643948755</v>
      </c>
      <c r="FT97" s="48">
        <f>EXP(IF(FQ70="Signalized",-0.0186,0)*((1/FQ97)+(1/FR97)-0.33))</f>
        <v>0.80998625548229219</v>
      </c>
      <c r="FU97" s="45">
        <v>14</v>
      </c>
      <c r="FV97" s="199" t="s">
        <v>177</v>
      </c>
      <c r="FW97" s="199"/>
      <c r="FX97" s="199"/>
      <c r="FY97" s="97">
        <f>500/5280</f>
        <v>9.4696969696969696E-2</v>
      </c>
      <c r="FZ97" s="98">
        <f>1300/5280</f>
        <v>0.24621212121212122</v>
      </c>
      <c r="GA97" s="47">
        <f>EXP(IF(FY70="Signalized",-0.0185,-0.0141)*((1/FY97)+(1/FZ97)-0.333))</f>
        <v>0.76771403799100713</v>
      </c>
      <c r="GB97" s="48">
        <f>EXP(IF(FY70="Signalized",-0.0186,0)*((1/FY97)+(1/FZ97)-0.33))</f>
        <v>0.76657509406969881</v>
      </c>
      <c r="GC97" s="31"/>
      <c r="GD97" s="204" t="s">
        <v>45</v>
      </c>
      <c r="GE97" s="204"/>
      <c r="GF97" s="204"/>
      <c r="GG97" s="204"/>
      <c r="GH97" s="204"/>
      <c r="GI97" s="106" t="s">
        <v>19</v>
      </c>
      <c r="GJ97" s="32" t="s">
        <v>20</v>
      </c>
      <c r="GK97" s="31"/>
      <c r="GL97" s="204" t="s">
        <v>45</v>
      </c>
      <c r="GM97" s="204"/>
      <c r="GN97" s="204"/>
      <c r="GO97" s="204"/>
      <c r="GP97" s="204"/>
      <c r="GQ97" s="106" t="s">
        <v>19</v>
      </c>
      <c r="GR97" s="32" t="s">
        <v>20</v>
      </c>
      <c r="GS97" s="31"/>
      <c r="GT97" s="204" t="s">
        <v>45</v>
      </c>
      <c r="GU97" s="204"/>
      <c r="GV97" s="204"/>
      <c r="GW97" s="204"/>
      <c r="GX97" s="204"/>
      <c r="GY97" s="112" t="s">
        <v>19</v>
      </c>
      <c r="GZ97" s="32" t="s">
        <v>20</v>
      </c>
      <c r="HA97" s="31"/>
      <c r="HB97" s="204" t="s">
        <v>45</v>
      </c>
      <c r="HC97" s="204"/>
      <c r="HD97" s="204"/>
      <c r="HE97" s="204"/>
      <c r="HF97" s="204"/>
      <c r="HG97" s="112" t="s">
        <v>19</v>
      </c>
      <c r="HH97" s="32" t="s">
        <v>20</v>
      </c>
      <c r="HI97" s="31"/>
      <c r="HJ97" s="204" t="s">
        <v>45</v>
      </c>
      <c r="HK97" s="204"/>
      <c r="HL97" s="204"/>
      <c r="HM97" s="204"/>
      <c r="HN97" s="204"/>
      <c r="HO97" s="112" t="s">
        <v>19</v>
      </c>
      <c r="HP97" s="32" t="s">
        <v>20</v>
      </c>
    </row>
    <row r="98" spans="1:224" x14ac:dyDescent="0.25">
      <c r="A98" s="106" t="s">
        <v>208</v>
      </c>
      <c r="B98" s="225"/>
      <c r="C98" s="230"/>
      <c r="D98" s="230"/>
      <c r="E98" s="230"/>
      <c r="F98" s="231"/>
      <c r="G98" s="109"/>
      <c r="H98" s="110"/>
      <c r="I98" s="106" t="s">
        <v>208</v>
      </c>
      <c r="J98" s="225"/>
      <c r="K98" s="230"/>
      <c r="L98" s="230"/>
      <c r="M98" s="230"/>
      <c r="N98" s="231"/>
      <c r="O98" s="109"/>
      <c r="P98" s="110"/>
      <c r="Q98" s="106" t="s">
        <v>208</v>
      </c>
      <c r="R98" s="225"/>
      <c r="S98" s="230"/>
      <c r="T98" s="230"/>
      <c r="U98" s="230"/>
      <c r="V98" s="231"/>
      <c r="W98" s="109"/>
      <c r="X98" s="110"/>
      <c r="Y98" s="107" t="s">
        <v>208</v>
      </c>
      <c r="Z98" s="225"/>
      <c r="AA98" s="230"/>
      <c r="AB98" s="230"/>
      <c r="AC98" s="230"/>
      <c r="AD98" s="231"/>
      <c r="AE98" s="109"/>
      <c r="AF98" s="110"/>
      <c r="AG98" s="107" t="s">
        <v>208</v>
      </c>
      <c r="AH98" s="225"/>
      <c r="AI98" s="230"/>
      <c r="AJ98" s="230"/>
      <c r="AK98" s="230"/>
      <c r="AL98" s="231"/>
      <c r="AM98" s="109"/>
      <c r="AN98" s="110"/>
      <c r="AO98" s="116">
        <v>8</v>
      </c>
      <c r="AP98" s="199"/>
      <c r="AQ98" s="199"/>
      <c r="AR98" s="199"/>
      <c r="AS98" s="199"/>
      <c r="AT98" s="199"/>
      <c r="AU98" s="118"/>
      <c r="AV98" s="121"/>
      <c r="AW98" s="116">
        <v>8</v>
      </c>
      <c r="AX98" s="199"/>
      <c r="AY98" s="199"/>
      <c r="AZ98" s="199"/>
      <c r="BA98" s="199"/>
      <c r="BB98" s="199"/>
      <c r="BC98" s="118"/>
      <c r="BD98" s="121"/>
      <c r="BE98" s="116">
        <v>8</v>
      </c>
      <c r="BF98" s="199"/>
      <c r="BG98" s="199"/>
      <c r="BH98" s="199"/>
      <c r="BI98" s="199"/>
      <c r="BJ98" s="199"/>
      <c r="BK98" s="118"/>
      <c r="BL98" s="121"/>
      <c r="BM98" s="116">
        <v>8</v>
      </c>
      <c r="BN98" s="199"/>
      <c r="BO98" s="199"/>
      <c r="BP98" s="199"/>
      <c r="BQ98" s="199"/>
      <c r="BR98" s="199"/>
      <c r="BS98" s="118"/>
      <c r="BT98" s="121"/>
      <c r="BU98" s="116">
        <v>8</v>
      </c>
      <c r="BV98" s="199"/>
      <c r="BW98" s="199"/>
      <c r="BX98" s="199"/>
      <c r="BY98" s="199"/>
      <c r="BZ98" s="199"/>
      <c r="CA98" s="118"/>
      <c r="CB98" s="121"/>
      <c r="CC98" s="116">
        <v>8</v>
      </c>
      <c r="CD98" s="199"/>
      <c r="CE98" s="199"/>
      <c r="CF98" s="199"/>
      <c r="CG98" s="199"/>
      <c r="CH98" s="199"/>
      <c r="CI98" s="118"/>
      <c r="CJ98" s="121"/>
      <c r="CK98" s="116">
        <v>8</v>
      </c>
      <c r="CL98" s="199"/>
      <c r="CM98" s="199"/>
      <c r="CN98" s="199"/>
      <c r="CO98" s="199"/>
      <c r="CP98" s="199"/>
      <c r="CQ98" s="118"/>
      <c r="CR98" s="121"/>
      <c r="CS98" s="116">
        <v>8</v>
      </c>
      <c r="CT98" s="199"/>
      <c r="CU98" s="199"/>
      <c r="CV98" s="199"/>
      <c r="CW98" s="199"/>
      <c r="CX98" s="199"/>
      <c r="CY98" s="118"/>
      <c r="CZ98" s="121"/>
      <c r="DA98" s="116">
        <v>8</v>
      </c>
      <c r="DB98" s="199"/>
      <c r="DC98" s="199"/>
      <c r="DD98" s="199"/>
      <c r="DE98" s="199"/>
      <c r="DF98" s="199"/>
      <c r="DG98" s="118"/>
      <c r="DH98" s="121"/>
      <c r="DI98" s="116">
        <v>8</v>
      </c>
      <c r="DJ98" s="199"/>
      <c r="DK98" s="199"/>
      <c r="DL98" s="199"/>
      <c r="DM98" s="199"/>
      <c r="DN98" s="199"/>
      <c r="DO98" s="118"/>
      <c r="DP98" s="121"/>
      <c r="DQ98" s="116">
        <v>8</v>
      </c>
      <c r="DR98" s="199"/>
      <c r="DS98" s="199"/>
      <c r="DT98" s="199"/>
      <c r="DU98" s="199"/>
      <c r="DV98" s="199"/>
      <c r="DW98" s="118"/>
      <c r="DX98" s="121"/>
      <c r="DY98" s="116">
        <v>8</v>
      </c>
      <c r="DZ98" s="199"/>
      <c r="EA98" s="199"/>
      <c r="EB98" s="199"/>
      <c r="EC98" s="199"/>
      <c r="ED98" s="199"/>
      <c r="EE98" s="118"/>
      <c r="EF98" s="121"/>
      <c r="EG98" s="229">
        <v>15</v>
      </c>
      <c r="EH98" s="199" t="s">
        <v>179</v>
      </c>
      <c r="EI98" s="199"/>
      <c r="EJ98" s="199"/>
      <c r="EK98" s="63">
        <v>0</v>
      </c>
      <c r="EL98" s="93">
        <v>12</v>
      </c>
      <c r="EM98" s="47">
        <f>(1-(EH69/SUM(EH67:EH70)))+(EH69/SUM(EH67:EH70))*EXP(IF(EK70="Signalized",0.0287+(-0.00074)*0.001*EH69,-0.00322+(0.00354)*0.001*EH69)*MAX(0,EK98-MAX(12,EL98)))</f>
        <v>1</v>
      </c>
      <c r="EN98" s="48">
        <f>IF(EK70="Signalized",(1-(EH69/SUM(EH67:EH70)))+(EH69/SUM(EH67:EH70))*EXP((0.061+(-0.00246)*0.001*EH69)*MAX(0,EK98-MAX(12,EL98))),1)</f>
        <v>1</v>
      </c>
      <c r="EO98" s="229">
        <v>15</v>
      </c>
      <c r="EP98" s="199" t="s">
        <v>179</v>
      </c>
      <c r="EQ98" s="199"/>
      <c r="ER98" s="199"/>
      <c r="ES98" s="63">
        <v>0</v>
      </c>
      <c r="ET98" s="93">
        <v>12</v>
      </c>
      <c r="EU98" s="47">
        <f>(1-(EP69/SUM(EP67:EP70)))+(EP69/SUM(EP67:EP70))*EXP(IF(ES70="Signalized",0.0287+(-0.00074)*0.001*EP69,-0.00322+(0.00354)*0.001*EP69)*MAX(0,ES98-MAX(12,ET98)))</f>
        <v>1</v>
      </c>
      <c r="EV98" s="48">
        <f>IF(ES70="Signalized",(1-(EP69/SUM(EP67:EP70)))+(EP69/SUM(EP67:EP70))*EXP((0.061+(-0.00246)*0.001*EP69)*MAX(0,ES98-MAX(12,ET98))),1)</f>
        <v>1</v>
      </c>
      <c r="EW98" s="229">
        <v>15</v>
      </c>
      <c r="EX98" s="199" t="s">
        <v>179</v>
      </c>
      <c r="EY98" s="199"/>
      <c r="EZ98" s="199"/>
      <c r="FA98" s="63">
        <v>4</v>
      </c>
      <c r="FB98" s="93">
        <v>12</v>
      </c>
      <c r="FC98" s="47">
        <f>(1-(EX69/SUM(EX67:EX70)))+(EX69/SUM(EX67:EX70))*EXP(IF(FA70="Signalized",0.0287+(-0.00074)*0.001*EX69,-0.00322+(0.00354)*0.001*EX69)*MAX(0,FA98-MAX(12,FB98)))</f>
        <v>1</v>
      </c>
      <c r="FD98" s="48">
        <f>IF(FA70="Signalized",(1-(EX69/SUM(EX67:EX70)))+(EX69/SUM(EX67:EX70))*EXP((0.061+(-0.00246)*0.001*EX69)*MAX(0,FA98-MAX(12,FB98))),1)</f>
        <v>1</v>
      </c>
      <c r="FE98" s="229">
        <v>15</v>
      </c>
      <c r="FF98" s="199" t="s">
        <v>179</v>
      </c>
      <c r="FG98" s="199"/>
      <c r="FH98" s="199"/>
      <c r="FI98" s="63">
        <v>4</v>
      </c>
      <c r="FJ98" s="93">
        <v>12</v>
      </c>
      <c r="FK98" s="47">
        <f>(1-(FF69/SUM(FF67:FF70)))+(FF69/SUM(FF67:FF70))*EXP(IF(FI70="Signalized",0.0287+(-0.00074)*0.001*FF69,-0.00322+(0.00354)*0.001*FF69)*MAX(0,FI98-MAX(12,FJ98)))</f>
        <v>1</v>
      </c>
      <c r="FL98" s="48">
        <f>IF(FI70="Signalized",(1-(FF69/SUM(FF67:FF70)))+(FF69/SUM(FF67:FF70))*EXP((0.061+(-0.00246)*0.001*FF69)*MAX(0,FI98-MAX(12,FJ98))),1)</f>
        <v>1</v>
      </c>
      <c r="FM98" s="229">
        <v>15</v>
      </c>
      <c r="FN98" s="199" t="s">
        <v>179</v>
      </c>
      <c r="FO98" s="199"/>
      <c r="FP98" s="199"/>
      <c r="FQ98" s="63">
        <v>30</v>
      </c>
      <c r="FR98" s="93">
        <v>12</v>
      </c>
      <c r="FS98" s="47">
        <f>(1-(FN69/SUM(FN67:FN70)))+(FN69/SUM(FN67:FN70))*EXP(IF(FQ70="Signalized",0.0287+(-0.00074)*0.001*FN69,-0.00322+(0.00354)*0.001*FN69)*MAX(0,FQ98-MAX(12,FR98)))</f>
        <v>1.0640927481060694</v>
      </c>
      <c r="FT98" s="48">
        <f>IF(FQ70="Signalized",(1-(FN69/SUM(FN67:FN70)))+(FN69/SUM(FN67:FN70))*EXP((0.061+(-0.00246)*0.001*FN69)*MAX(0,FQ98-MAX(12,FR98))),1)</f>
        <v>0.97380787443285888</v>
      </c>
      <c r="FU98" s="229">
        <v>15</v>
      </c>
      <c r="FV98" s="199" t="s">
        <v>179</v>
      </c>
      <c r="FW98" s="199"/>
      <c r="FX98" s="199"/>
      <c r="FY98" s="63">
        <v>30</v>
      </c>
      <c r="FZ98" s="93">
        <v>12</v>
      </c>
      <c r="GA98" s="47">
        <f>(1-(FV69/SUM(FV67:FV70)))+(FV69/SUM(FV67:FV70))*EXP(IF(FY70="Signalized",0.0287+(-0.00074)*0.001*FV69,-0.00322+(0.00354)*0.001*FV69)*MAX(0,FY98-MAX(12,FZ98)))</f>
        <v>1.0753730717727374</v>
      </c>
      <c r="GB98" s="48">
        <f>IF(FY70="Signalized",(1-(FV69/SUM(FV67:FV70)))+(FV69/SUM(FV67:FV70))*EXP((0.061+(-0.00246)*0.001*FV69)*MAX(0,FY98-MAX(12,FZ98))),1)</f>
        <v>0.9691980603330419</v>
      </c>
      <c r="GC98" s="111">
        <v>1</v>
      </c>
      <c r="GD98" s="203" t="s">
        <v>255</v>
      </c>
      <c r="GE98" s="203"/>
      <c r="GF98" s="84">
        <v>0</v>
      </c>
      <c r="GG98" s="83" t="s">
        <v>261</v>
      </c>
      <c r="GH98" s="83" t="s">
        <v>262</v>
      </c>
      <c r="GI98" s="85">
        <f>1+GF98*((IF(GG98="none",1,IF(GG98="Parallel",LOOKUP(GI66,Reference!$A$117:$A$121,IF(GH98="Commercial/Industrial/Institutional",Reference!$C$117:$C$121,Reference!$B$117:$B$121)),LOOKUP(GI66,Reference!$A$117:$A$121,IF(GH98="Commercial/Industrial/Institutional",Reference!$E$117:$E$121,Reference!$D$117:$D$121)))))-1)</f>
        <v>1</v>
      </c>
      <c r="GJ98" s="85">
        <f>1+GF98*((IF(GG98="none",1,IF(GG98="Parallel",LOOKUP(GI66,Reference!$A$117:$A$121,IF(GH98="Commercial/Industrial/Institutional",Reference!$C$117:$C$121,Reference!$B$117:$B$121)),LOOKUP(GI66,Reference!$A$117:$A$121,IF(GH98="Commercial/Industrial/Institutional",Reference!$E$117:$E$121,Reference!$D$117:$D$121)))))-1)</f>
        <v>1</v>
      </c>
      <c r="GK98" s="111">
        <v>1</v>
      </c>
      <c r="GL98" s="203" t="s">
        <v>255</v>
      </c>
      <c r="GM98" s="203"/>
      <c r="GN98" s="84">
        <v>0</v>
      </c>
      <c r="GO98" s="83" t="s">
        <v>261</v>
      </c>
      <c r="GP98" s="83" t="s">
        <v>262</v>
      </c>
      <c r="GQ98" s="85">
        <f>1+GN98*((IF(GO98="none",1,IF(GO98="Parallel",LOOKUP(GQ66,Reference!$A$117:$A$121,IF(GP98="Commercial/Industrial/Institutional",Reference!$C$117:$C$121,Reference!$B$117:$B$121)),LOOKUP(GQ66,Reference!$A$117:$A$121,IF(GP98="Commercial/Industrial/Institutional",Reference!$E$117:$E$121,Reference!$D$117:$D$121)))))-1)</f>
        <v>1</v>
      </c>
      <c r="GR98" s="85">
        <f>1+GN98*((IF(GO98="none",1,IF(GO98="Parallel",LOOKUP(GQ66,Reference!$A$117:$A$121,IF(GP98="Commercial/Industrial/Institutional",Reference!$C$117:$C$121,Reference!$B$117:$B$121)),LOOKUP(GQ66,Reference!$A$117:$A$121,IF(GP98="Commercial/Industrial/Institutional",Reference!$E$117:$E$121,Reference!$D$117:$D$121)))))-1)</f>
        <v>1</v>
      </c>
      <c r="GS98" s="114">
        <v>1</v>
      </c>
      <c r="GT98" s="203" t="s">
        <v>255</v>
      </c>
      <c r="GU98" s="203"/>
      <c r="GV98" s="84">
        <v>0</v>
      </c>
      <c r="GW98" s="83" t="s">
        <v>261</v>
      </c>
      <c r="GX98" s="83" t="s">
        <v>262</v>
      </c>
      <c r="GY98" s="85">
        <f>1+GV98*((IF(GW98="none",1,IF(GW98="Parallel",LOOKUP(GY66,Reference!$A$117:$A$121,IF(GX98="Commercial/Industrial/Institutional",Reference!$C$117:$C$121,Reference!$B$117:$B$121)),LOOKUP(GY66,Reference!$A$117:$A$121,IF(GX98="Commercial/Industrial/Institutional",Reference!$E$117:$E$121,Reference!$D$117:$D$121)))))-1)</f>
        <v>1</v>
      </c>
      <c r="GZ98" s="85">
        <f>1+GV98*((IF(GW98="none",1,IF(GW98="Parallel",LOOKUP(GY66,Reference!$A$117:$A$121,IF(GX98="Commercial/Industrial/Institutional",Reference!$C$117:$C$121,Reference!$B$117:$B$121)),LOOKUP(GY66,Reference!$A$117:$A$121,IF(GX98="Commercial/Industrial/Institutional",Reference!$E$117:$E$121,Reference!$D$117:$D$121)))))-1)</f>
        <v>1</v>
      </c>
      <c r="HA98" s="114">
        <v>1</v>
      </c>
      <c r="HB98" s="203" t="s">
        <v>255</v>
      </c>
      <c r="HC98" s="203"/>
      <c r="HD98" s="84">
        <v>0</v>
      </c>
      <c r="HE98" s="83" t="s">
        <v>261</v>
      </c>
      <c r="HF98" s="83" t="s">
        <v>262</v>
      </c>
      <c r="HG98" s="85">
        <f>1+HD98*((IF(HE98="none",1,IF(HE98="Parallel",LOOKUP(HG66,Reference!$A$117:$A$121,IF(HF98="Commercial/Industrial/Institutional",Reference!$C$117:$C$121,Reference!$B$117:$B$121)),LOOKUP(HG66,Reference!$A$117:$A$121,IF(HF98="Commercial/Industrial/Institutional",Reference!$E$117:$E$121,Reference!$D$117:$D$121)))))-1)</f>
        <v>1</v>
      </c>
      <c r="HH98" s="85">
        <f>1+HD98*((IF(HE98="none",1,IF(HE98="Parallel",LOOKUP(HG66,Reference!$A$117:$A$121,IF(HF98="Commercial/Industrial/Institutional",Reference!$C$117:$C$121,Reference!$B$117:$B$121)),LOOKUP(HG66,Reference!$A$117:$A$121,IF(HF98="Commercial/Industrial/Institutional",Reference!$E$117:$E$121,Reference!$D$117:$D$121)))))-1)</f>
        <v>1</v>
      </c>
      <c r="HI98" s="114">
        <v>1</v>
      </c>
      <c r="HJ98" s="203" t="s">
        <v>255</v>
      </c>
      <c r="HK98" s="203"/>
      <c r="HL98" s="84">
        <v>0</v>
      </c>
      <c r="HM98" s="83" t="s">
        <v>261</v>
      </c>
      <c r="HN98" s="83" t="s">
        <v>262</v>
      </c>
      <c r="HO98" s="85">
        <f>1+HL98*((IF(HM98="none",1,IF(HM98="Parallel",LOOKUP(HO66,Reference!$A$117:$A$121,IF(HN98="Commercial/Industrial/Institutional",Reference!$C$117:$C$121,Reference!$B$117:$B$121)),LOOKUP(HO66,Reference!$A$117:$A$121,IF(HN98="Commercial/Industrial/Institutional",Reference!$E$117:$E$121,Reference!$D$117:$D$121)))))-1)</f>
        <v>1</v>
      </c>
      <c r="HP98" s="85">
        <f>1+HL98*((IF(HM98="none",1,IF(HM98="Parallel",LOOKUP(HO66,Reference!$A$117:$A$121,IF(HN98="Commercial/Industrial/Institutional",Reference!$C$117:$C$121,Reference!$B$117:$B$121)),LOOKUP(HO66,Reference!$A$117:$A$121,IF(HN98="Commercial/Industrial/Institutional",Reference!$E$117:$E$121,Reference!$D$117:$D$121)))))-1)</f>
        <v>1</v>
      </c>
    </row>
    <row r="99" spans="1:224" x14ac:dyDescent="0.25">
      <c r="A99" s="106"/>
      <c r="B99" s="232"/>
      <c r="C99" s="232"/>
      <c r="D99" s="232"/>
      <c r="E99" s="232"/>
      <c r="F99" s="232"/>
      <c r="G99" s="18">
        <f>IF(G98=0,1,G98)*IF(G95=0,1,G95)*IF(G97=0,1,G97)*IF(G96=0,1,G96)</f>
        <v>1.1067635105890863</v>
      </c>
      <c r="H99" s="33">
        <f>IF(H98=0,1,H98)*IF(H95=0,1,H95)*IF(H97=0,1,H97)*IF(H96=0,1,H96)</f>
        <v>1.0967157149637496</v>
      </c>
      <c r="I99" s="106"/>
      <c r="J99" s="232"/>
      <c r="K99" s="232"/>
      <c r="L99" s="232"/>
      <c r="M99" s="232"/>
      <c r="N99" s="232"/>
      <c r="O99" s="18">
        <f>IF(O98=0,1,O98)*IF(O95=0,1,O95)*IF(O97=0,1,O97)*IF(O96=0,1,O96)</f>
        <v>1.1067635105890863</v>
      </c>
      <c r="P99" s="33">
        <f>IF(P98=0,1,P98)*IF(P95=0,1,P95)*IF(P97=0,1,P97)*IF(P96=0,1,P96)</f>
        <v>1.0967157149637496</v>
      </c>
      <c r="Q99" s="106"/>
      <c r="R99" s="232"/>
      <c r="S99" s="232"/>
      <c r="T99" s="232"/>
      <c r="U99" s="232"/>
      <c r="V99" s="232"/>
      <c r="W99" s="18">
        <f>IF(W98=0,1,W98)*IF(W95=0,1,W95)*IF(W97=0,1,W97)*IF(W96=0,1,W96)</f>
        <v>1.1067635105890863</v>
      </c>
      <c r="X99" s="33">
        <f>IF(X98=0,1,X98)*IF(X95=0,1,X95)*IF(X97=0,1,X97)*IF(X96=0,1,X96)</f>
        <v>1.0967157149637496</v>
      </c>
      <c r="Y99" s="107"/>
      <c r="Z99" s="232"/>
      <c r="AA99" s="232"/>
      <c r="AB99" s="232"/>
      <c r="AC99" s="232"/>
      <c r="AD99" s="232"/>
      <c r="AE99" s="18">
        <f>IF(AE98=0,1,AE98)*IF(AE95=0,1,AE95)*IF(AE97=0,1,AE97)*IF(AE96=0,1,AE96)</f>
        <v>1.1067635105890863</v>
      </c>
      <c r="AF99" s="33">
        <f>IF(AF98=0,1,AF98)*IF(AF95=0,1,AF95)*IF(AF97=0,1,AF97)*IF(AF96=0,1,AF96)</f>
        <v>1.0967157149637496</v>
      </c>
      <c r="AG99" s="107"/>
      <c r="AH99" s="232"/>
      <c r="AI99" s="232"/>
      <c r="AJ99" s="232"/>
      <c r="AK99" s="232"/>
      <c r="AL99" s="232"/>
      <c r="AM99" s="18">
        <f>IF(AM98=0,1,AM98)*IF(AM95=0,1,AM95)*IF(AM97=0,1,AM97)*IF(AM96=0,1,AM96)</f>
        <v>1.1271858837286282</v>
      </c>
      <c r="AN99" s="33">
        <f>IF(AN98=0,1,AN98)*IF(AN95=0,1,AN95)*IF(AN97=0,1,AN97)*IF(AN96=0,1,AN96)</f>
        <v>1.116202632766065</v>
      </c>
      <c r="AO99" s="116">
        <v>9</v>
      </c>
      <c r="AP99" s="199"/>
      <c r="AQ99" s="199"/>
      <c r="AR99" s="199"/>
      <c r="AS99" s="199"/>
      <c r="AT99" s="199"/>
      <c r="AU99" s="118"/>
      <c r="AV99" s="121"/>
      <c r="AW99" s="116">
        <v>9</v>
      </c>
      <c r="AX99" s="199"/>
      <c r="AY99" s="199"/>
      <c r="AZ99" s="199"/>
      <c r="BA99" s="199"/>
      <c r="BB99" s="199"/>
      <c r="BC99" s="118"/>
      <c r="BD99" s="121"/>
      <c r="BE99" s="116">
        <v>9</v>
      </c>
      <c r="BF99" s="199"/>
      <c r="BG99" s="199"/>
      <c r="BH99" s="199"/>
      <c r="BI99" s="199"/>
      <c r="BJ99" s="199"/>
      <c r="BK99" s="118"/>
      <c r="BL99" s="121"/>
      <c r="BM99" s="116">
        <v>9</v>
      </c>
      <c r="BN99" s="199"/>
      <c r="BO99" s="199"/>
      <c r="BP99" s="199"/>
      <c r="BQ99" s="199"/>
      <c r="BR99" s="199"/>
      <c r="BS99" s="118"/>
      <c r="BT99" s="121"/>
      <c r="BU99" s="116">
        <v>9</v>
      </c>
      <c r="BV99" s="199"/>
      <c r="BW99" s="199"/>
      <c r="BX99" s="199"/>
      <c r="BY99" s="199"/>
      <c r="BZ99" s="199"/>
      <c r="CA99" s="118"/>
      <c r="CB99" s="121"/>
      <c r="CC99" s="116">
        <v>9</v>
      </c>
      <c r="CD99" s="199"/>
      <c r="CE99" s="199"/>
      <c r="CF99" s="199"/>
      <c r="CG99" s="199"/>
      <c r="CH99" s="199"/>
      <c r="CI99" s="118"/>
      <c r="CJ99" s="121"/>
      <c r="CK99" s="116">
        <v>9</v>
      </c>
      <c r="CL99" s="199"/>
      <c r="CM99" s="199"/>
      <c r="CN99" s="199"/>
      <c r="CO99" s="199"/>
      <c r="CP99" s="199"/>
      <c r="CQ99" s="118"/>
      <c r="CR99" s="121"/>
      <c r="CS99" s="116">
        <v>9</v>
      </c>
      <c r="CT99" s="199"/>
      <c r="CU99" s="199"/>
      <c r="CV99" s="199"/>
      <c r="CW99" s="199"/>
      <c r="CX99" s="199"/>
      <c r="CY99" s="118"/>
      <c r="CZ99" s="121"/>
      <c r="DA99" s="116">
        <v>9</v>
      </c>
      <c r="DB99" s="199"/>
      <c r="DC99" s="199"/>
      <c r="DD99" s="199"/>
      <c r="DE99" s="199"/>
      <c r="DF99" s="199"/>
      <c r="DG99" s="118"/>
      <c r="DH99" s="121"/>
      <c r="DI99" s="116">
        <v>9</v>
      </c>
      <c r="DJ99" s="199"/>
      <c r="DK99" s="199"/>
      <c r="DL99" s="199"/>
      <c r="DM99" s="199"/>
      <c r="DN99" s="199"/>
      <c r="DO99" s="118"/>
      <c r="DP99" s="121"/>
      <c r="DQ99" s="116">
        <v>9</v>
      </c>
      <c r="DR99" s="199"/>
      <c r="DS99" s="199"/>
      <c r="DT99" s="199"/>
      <c r="DU99" s="199"/>
      <c r="DV99" s="199"/>
      <c r="DW99" s="118"/>
      <c r="DX99" s="121"/>
      <c r="DY99" s="116">
        <v>9</v>
      </c>
      <c r="DZ99" s="199"/>
      <c r="EA99" s="199"/>
      <c r="EB99" s="199"/>
      <c r="EC99" s="199"/>
      <c r="ED99" s="199"/>
      <c r="EE99" s="118"/>
      <c r="EF99" s="121"/>
      <c r="EG99" s="229"/>
      <c r="EH99" s="199" t="s">
        <v>178</v>
      </c>
      <c r="EI99" s="199"/>
      <c r="EJ99" s="199"/>
      <c r="EK99" s="63">
        <v>0</v>
      </c>
      <c r="EL99" s="93">
        <v>12</v>
      </c>
      <c r="EM99" s="47">
        <f>(1-(EH70/SUM(EH67:EH70)))+(EH70/SUM(EH67:EH70))*EXP(IF(EK70="Signalized",0.0287+(-0.00074)*0.001*EH70,-0.00322+(0.00354)*0.001*EH70)*MAX(0,EK99-MAX(12,EL99)))</f>
        <v>1</v>
      </c>
      <c r="EN99" s="48">
        <f>IF(EK70="Signalized",(1-(EH70/SUM(EH67:EH70)))+(EH70/SUM(EH67:EH70))*EXP((0.061+(-0.00246)*0.001*EH70)*MAX(0,EK99-MAX(12,EL99))),1)</f>
        <v>1</v>
      </c>
      <c r="EO99" s="229"/>
      <c r="EP99" s="199" t="s">
        <v>178</v>
      </c>
      <c r="EQ99" s="199"/>
      <c r="ER99" s="199"/>
      <c r="ES99" s="63">
        <v>0</v>
      </c>
      <c r="ET99" s="93">
        <v>12</v>
      </c>
      <c r="EU99" s="47">
        <f>(1-(EP70/SUM(EP67:EP70)))+(EP70/SUM(EP67:EP70))*EXP(IF(ES70="Signalized",0.0287+(-0.00074)*0.001*EP70,-0.00322+(0.00354)*0.001*EP70)*MAX(0,ES99-MAX(12,ET99)))</f>
        <v>1</v>
      </c>
      <c r="EV99" s="48">
        <f>IF(ES70="Signalized",(1-(EP70/SUM(EP67:EP70)))+(EP70/SUM(EP67:EP70))*EXP((0.061+(-0.00246)*0.001*EP70)*MAX(0,ES99-MAX(12,ET99))),1)</f>
        <v>1</v>
      </c>
      <c r="EW99" s="229"/>
      <c r="EX99" s="199" t="s">
        <v>178</v>
      </c>
      <c r="EY99" s="199"/>
      <c r="EZ99" s="199"/>
      <c r="FA99" s="63">
        <v>4</v>
      </c>
      <c r="FB99" s="93">
        <v>12</v>
      </c>
      <c r="FC99" s="47">
        <f>(1-(EX70/SUM(EX67:EX70)))+(EX70/SUM(EX67:EX70))*EXP(IF(FA70="Signalized",0.0287+(-0.00074)*0.001*EX70,-0.00322+(0.00354)*0.001*EX70)*MAX(0,FA99-MAX(12,FB99)))</f>
        <v>1</v>
      </c>
      <c r="FD99" s="48">
        <f>IF(FA70="Signalized",(1-(EX70/SUM(EX67:EX70)))+(EX70/SUM(EX67:EX70))*EXP((0.061+(-0.00246)*0.001*EX70)*MAX(0,FA99-MAX(12,FB99))),1)</f>
        <v>1</v>
      </c>
      <c r="FE99" s="229"/>
      <c r="FF99" s="199" t="s">
        <v>178</v>
      </c>
      <c r="FG99" s="199"/>
      <c r="FH99" s="199"/>
      <c r="FI99" s="63">
        <v>4</v>
      </c>
      <c r="FJ99" s="93">
        <v>12</v>
      </c>
      <c r="FK99" s="47">
        <f>(1-(FF70/SUM(FF67:FF70)))+(FF70/SUM(FF67:FF70))*EXP(IF(FI70="Signalized",0.0287+(-0.00074)*0.001*FF70,-0.00322+(0.00354)*0.001*FF70)*MAX(0,FI99-MAX(12,FJ99)))</f>
        <v>1</v>
      </c>
      <c r="FL99" s="48">
        <f>IF(FI70="Signalized",(1-(FF70/SUM(FF67:FF70)))+(FF70/SUM(FF67:FF70))*EXP((0.061+(-0.00246)*0.001*FF70)*MAX(0,FI99-MAX(12,FJ99))),1)</f>
        <v>1</v>
      </c>
      <c r="FM99" s="229"/>
      <c r="FN99" s="199" t="s">
        <v>178</v>
      </c>
      <c r="FO99" s="199"/>
      <c r="FP99" s="199"/>
      <c r="FQ99" s="63">
        <v>30</v>
      </c>
      <c r="FR99" s="93">
        <v>12</v>
      </c>
      <c r="FS99" s="47">
        <f>(1-(FN70/SUM(FN67:FN70)))+(FN70/SUM(FN67:FN70))*EXP(IF(FQ70="Signalized",0.0287+(-0.00074)*0.001*FN70,-0.00322+(0.00354)*0.001*FN70)*MAX(0,FQ99-MAX(12,FR99)))</f>
        <v>1.0411725746322054</v>
      </c>
      <c r="FT99" s="48">
        <f>IF(FQ70="Signalized",(1-(FN70/SUM(FN67:FN70)))+(FN70/SUM(FN67:FN70))*EXP((0.061+(-0.00246)*0.001*FN70)*MAX(0,FQ99-MAX(12,FR99))),1)</f>
        <v>0.88110133329407059</v>
      </c>
      <c r="FU99" s="229"/>
      <c r="FV99" s="199" t="s">
        <v>178</v>
      </c>
      <c r="FW99" s="199"/>
      <c r="FX99" s="199"/>
      <c r="FY99" s="63">
        <v>30</v>
      </c>
      <c r="FZ99" s="93">
        <v>12</v>
      </c>
      <c r="GA99" s="47">
        <f>(1-(FV70/SUM(FV67:FV70)))+(FV70/SUM(FV67:FV70))*EXP(IF(FY70="Signalized",0.0287+(-0.00074)*0.001*FV70,-0.00322+(0.00354)*0.001*FV70)*MAX(0,FY99-MAX(12,FZ99)))</f>
        <v>1.0898091154126974</v>
      </c>
      <c r="GB99" s="48">
        <f>IF(FY70="Signalized",(1-(FV70/SUM(FV67:FV70)))+(FV70/SUM(FV67:FV70))*EXP((0.061+(-0.00246)*0.001*FV70)*MAX(0,FY99-MAX(12,FZ99))),1)</f>
        <v>1.0615144000436805</v>
      </c>
      <c r="GC99" s="111">
        <v>2</v>
      </c>
      <c r="GD99" s="218" t="s">
        <v>256</v>
      </c>
      <c r="GE99" s="219"/>
      <c r="GF99" s="220"/>
      <c r="GG99" s="86">
        <v>30</v>
      </c>
      <c r="GH99" s="87">
        <v>30</v>
      </c>
      <c r="GI99" s="85">
        <f>MAX((LOOKUP(GH99,Reference!$A$125:$A$131,Reference!$B$125:$B$131)*GG99*LOOKUP(GI66,Reference!$A$135:$A$139,Reference!$B$135:$B$139)+(1-LOOKUP(GI66,Reference!$A$135:$A$139,Reference!$B$135:$B$139))),1)</f>
        <v>1.01888</v>
      </c>
      <c r="GJ99" s="85">
        <f>MAX((LOOKUP(GH99,Reference!$A$125:$A$131,Reference!$B$125:$B$131)*GG99*LOOKUP(GI66,Reference!$A$135:$A$139,Reference!$B$135:$B$139)+(1-LOOKUP(GI66,Reference!$A$135:$A$139,Reference!$B$135:$B$139))),1)</f>
        <v>1.01888</v>
      </c>
      <c r="GK99" s="111">
        <v>2</v>
      </c>
      <c r="GL99" s="218" t="s">
        <v>256</v>
      </c>
      <c r="GM99" s="219"/>
      <c r="GN99" s="220"/>
      <c r="GO99" s="86">
        <v>30</v>
      </c>
      <c r="GP99" s="87">
        <v>30</v>
      </c>
      <c r="GQ99" s="85">
        <f>MAX((LOOKUP(GP99,Reference!$A$125:$A$131,Reference!$B$125:$B$131)*GO99*LOOKUP(GQ66,Reference!$A$135:$A$139,Reference!$B$135:$B$139)+(1-LOOKUP(GQ66,Reference!$A$135:$A$139,Reference!$B$135:$B$139))),1)</f>
        <v>1.0118399999999999</v>
      </c>
      <c r="GR99" s="85">
        <f>MAX((LOOKUP(GP99,Reference!$A$125:$A$131,Reference!$B$125:$B$131)*GO99*LOOKUP(GQ66,Reference!$A$135:$A$139,Reference!$B$135:$B$139)+(1-LOOKUP(GQ66,Reference!$A$135:$A$139,Reference!$B$135:$B$139))),1)</f>
        <v>1.0118399999999999</v>
      </c>
      <c r="GS99" s="114">
        <v>2</v>
      </c>
      <c r="GT99" s="218" t="s">
        <v>256</v>
      </c>
      <c r="GU99" s="219"/>
      <c r="GV99" s="220"/>
      <c r="GW99" s="86">
        <v>30</v>
      </c>
      <c r="GX99" s="87">
        <v>30</v>
      </c>
      <c r="GY99" s="85">
        <f>MAX((LOOKUP(GX99,Reference!$A$125:$A$131,Reference!$B$125:$B$131)*GW99*LOOKUP(GY66,Reference!$A$135:$A$139,Reference!$B$135:$B$139)+(1-LOOKUP(GY66,Reference!$A$135:$A$139,Reference!$B$135:$B$139))),1)</f>
        <v>1.01888</v>
      </c>
      <c r="GZ99" s="85">
        <f>MAX((LOOKUP(GX99,Reference!$A$125:$A$131,Reference!$B$125:$B$131)*GW99*LOOKUP(GY66,Reference!$A$135:$A$139,Reference!$B$135:$B$139)+(1-LOOKUP(GY66,Reference!$A$135:$A$139,Reference!$B$135:$B$139))),1)</f>
        <v>1.01888</v>
      </c>
      <c r="HA99" s="114">
        <v>2</v>
      </c>
      <c r="HB99" s="218" t="s">
        <v>256</v>
      </c>
      <c r="HC99" s="219"/>
      <c r="HD99" s="220"/>
      <c r="HE99" s="86">
        <v>30</v>
      </c>
      <c r="HF99" s="87">
        <v>30</v>
      </c>
      <c r="HG99" s="85">
        <f>MAX((LOOKUP(HF99,Reference!$A$125:$A$131,Reference!$B$125:$B$131)*HE99*LOOKUP(HG66,Reference!$A$135:$A$139,Reference!$B$135:$B$139)+(1-LOOKUP(HG66,Reference!$A$135:$A$139,Reference!$B$135:$B$139))),1)</f>
        <v>1.00512</v>
      </c>
      <c r="HH99" s="85">
        <f>MAX((LOOKUP(HF99,Reference!$A$125:$A$131,Reference!$B$125:$B$131)*HE99*LOOKUP(HG66,Reference!$A$135:$A$139,Reference!$B$135:$B$139)+(1-LOOKUP(HG66,Reference!$A$135:$A$139,Reference!$B$135:$B$139))),1)</f>
        <v>1.00512</v>
      </c>
      <c r="HI99" s="114">
        <v>2</v>
      </c>
      <c r="HJ99" s="218" t="s">
        <v>256</v>
      </c>
      <c r="HK99" s="219"/>
      <c r="HL99" s="220"/>
      <c r="HM99" s="86">
        <v>30</v>
      </c>
      <c r="HN99" s="87">
        <v>30</v>
      </c>
      <c r="HO99" s="85">
        <f>MAX((LOOKUP(HN99,Reference!$A$125:$A$131,Reference!$B$125:$B$131)*HM99*LOOKUP(HO66,Reference!$A$135:$A$139,Reference!$B$135:$B$139)+(1-LOOKUP(HO66,Reference!$A$135:$A$139,Reference!$B$135:$B$139))),1)</f>
        <v>1.00512</v>
      </c>
      <c r="HP99" s="85">
        <f>MAX((LOOKUP(HN99,Reference!$A$125:$A$131,Reference!$B$125:$B$131)*HM99*LOOKUP(HO66,Reference!$A$135:$A$139,Reference!$B$135:$B$139)+(1-LOOKUP(HO66,Reference!$A$135:$A$139,Reference!$B$135:$B$139))),1)</f>
        <v>1.00512</v>
      </c>
    </row>
    <row r="100" spans="1:224" x14ac:dyDescent="0.25">
      <c r="A100" s="106"/>
      <c r="B100" s="204" t="s">
        <v>209</v>
      </c>
      <c r="C100" s="204"/>
      <c r="D100" s="204"/>
      <c r="E100" s="204"/>
      <c r="F100" s="204"/>
      <c r="G100" s="106" t="s">
        <v>19</v>
      </c>
      <c r="H100" s="32" t="s">
        <v>20</v>
      </c>
      <c r="I100" s="106"/>
      <c r="J100" s="204" t="s">
        <v>209</v>
      </c>
      <c r="K100" s="204"/>
      <c r="L100" s="204"/>
      <c r="M100" s="204"/>
      <c r="N100" s="204"/>
      <c r="O100" s="106" t="s">
        <v>19</v>
      </c>
      <c r="P100" s="32" t="s">
        <v>20</v>
      </c>
      <c r="Q100" s="106"/>
      <c r="R100" s="204" t="s">
        <v>209</v>
      </c>
      <c r="S100" s="204"/>
      <c r="T100" s="204"/>
      <c r="U100" s="204"/>
      <c r="V100" s="204"/>
      <c r="W100" s="106" t="s">
        <v>19</v>
      </c>
      <c r="X100" s="32" t="s">
        <v>20</v>
      </c>
      <c r="Y100" s="107"/>
      <c r="Z100" s="204" t="s">
        <v>209</v>
      </c>
      <c r="AA100" s="204"/>
      <c r="AB100" s="204"/>
      <c r="AC100" s="204"/>
      <c r="AD100" s="204"/>
      <c r="AE100" s="106" t="s">
        <v>19</v>
      </c>
      <c r="AF100" s="32" t="s">
        <v>20</v>
      </c>
      <c r="AG100" s="107"/>
      <c r="AH100" s="204" t="s">
        <v>209</v>
      </c>
      <c r="AI100" s="204"/>
      <c r="AJ100" s="204"/>
      <c r="AK100" s="204"/>
      <c r="AL100" s="204"/>
      <c r="AM100" s="106" t="s">
        <v>19</v>
      </c>
      <c r="AN100" s="32" t="s">
        <v>20</v>
      </c>
      <c r="AO100" s="116">
        <v>10</v>
      </c>
      <c r="AP100" s="199"/>
      <c r="AQ100" s="199"/>
      <c r="AR100" s="199"/>
      <c r="AS100" s="199"/>
      <c r="AT100" s="199"/>
      <c r="AU100" s="118"/>
      <c r="AV100" s="121"/>
      <c r="AW100" s="116">
        <v>10</v>
      </c>
      <c r="AX100" s="199"/>
      <c r="AY100" s="199"/>
      <c r="AZ100" s="199"/>
      <c r="BA100" s="199"/>
      <c r="BB100" s="199"/>
      <c r="BC100" s="118"/>
      <c r="BD100" s="121"/>
      <c r="BE100" s="116">
        <v>10</v>
      </c>
      <c r="BF100" s="199"/>
      <c r="BG100" s="199"/>
      <c r="BH100" s="199"/>
      <c r="BI100" s="199"/>
      <c r="BJ100" s="199"/>
      <c r="BK100" s="118"/>
      <c r="BL100" s="121"/>
      <c r="BM100" s="116">
        <v>10</v>
      </c>
      <c r="BN100" s="199"/>
      <c r="BO100" s="199"/>
      <c r="BP100" s="199"/>
      <c r="BQ100" s="199"/>
      <c r="BR100" s="199"/>
      <c r="BS100" s="118"/>
      <c r="BT100" s="121"/>
      <c r="BU100" s="116">
        <v>10</v>
      </c>
      <c r="BV100" s="199"/>
      <c r="BW100" s="199"/>
      <c r="BX100" s="199"/>
      <c r="BY100" s="199"/>
      <c r="BZ100" s="199"/>
      <c r="CA100" s="118"/>
      <c r="CB100" s="121"/>
      <c r="CC100" s="116">
        <v>10</v>
      </c>
      <c r="CD100" s="199"/>
      <c r="CE100" s="199"/>
      <c r="CF100" s="199"/>
      <c r="CG100" s="199"/>
      <c r="CH100" s="199"/>
      <c r="CI100" s="118"/>
      <c r="CJ100" s="121"/>
      <c r="CK100" s="116">
        <v>10</v>
      </c>
      <c r="CL100" s="199"/>
      <c r="CM100" s="199"/>
      <c r="CN100" s="199"/>
      <c r="CO100" s="199"/>
      <c r="CP100" s="199"/>
      <c r="CQ100" s="118"/>
      <c r="CR100" s="121"/>
      <c r="CS100" s="116">
        <v>10</v>
      </c>
      <c r="CT100" s="199"/>
      <c r="CU100" s="199"/>
      <c r="CV100" s="199"/>
      <c r="CW100" s="199"/>
      <c r="CX100" s="199"/>
      <c r="CY100" s="118"/>
      <c r="CZ100" s="121"/>
      <c r="DA100" s="116">
        <v>10</v>
      </c>
      <c r="DB100" s="199"/>
      <c r="DC100" s="199"/>
      <c r="DD100" s="199"/>
      <c r="DE100" s="199"/>
      <c r="DF100" s="199"/>
      <c r="DG100" s="118"/>
      <c r="DH100" s="121"/>
      <c r="DI100" s="116">
        <v>10</v>
      </c>
      <c r="DJ100" s="199"/>
      <c r="DK100" s="199"/>
      <c r="DL100" s="199"/>
      <c r="DM100" s="199"/>
      <c r="DN100" s="199"/>
      <c r="DO100" s="118"/>
      <c r="DP100" s="121"/>
      <c r="DQ100" s="116">
        <v>10</v>
      </c>
      <c r="DR100" s="199"/>
      <c r="DS100" s="199"/>
      <c r="DT100" s="199"/>
      <c r="DU100" s="199"/>
      <c r="DV100" s="199"/>
      <c r="DW100" s="118"/>
      <c r="DX100" s="121"/>
      <c r="DY100" s="116">
        <v>10</v>
      </c>
      <c r="DZ100" s="199"/>
      <c r="EA100" s="199"/>
      <c r="EB100" s="199"/>
      <c r="EC100" s="199"/>
      <c r="ED100" s="199"/>
      <c r="EE100" s="118"/>
      <c r="EF100" s="121"/>
      <c r="EG100" s="229">
        <v>16</v>
      </c>
      <c r="EH100" s="113" t="s">
        <v>180</v>
      </c>
      <c r="EI100" s="113"/>
      <c r="EJ100" s="113"/>
      <c r="EK100" s="94">
        <v>2</v>
      </c>
      <c r="EL100" s="93" t="s">
        <v>182</v>
      </c>
      <c r="EM100" s="47">
        <f>IF(EK70="Signalized",IF(EL100="Protected Only",(1-(SUM(EH69:EH70)/SUM(EH67:EH70)))+(SUM(EH69:EH70)/SUM(EH67:EH70))*EXP(-0.363*EK100),1),1)</f>
        <v>0.61789162226392536</v>
      </c>
      <c r="EN100" s="48">
        <f>IF(EK70="Signalized",IF(EL100="Protected Only",(1-(SUM(EH69:EH70)/SUM(EH67:EH70)))+(SUM(EH69:EH70)/SUM(EH67:EH70))*EXP(-0.223*EK100),1),1)</f>
        <v>0.73363119048253</v>
      </c>
      <c r="EO100" s="229">
        <v>16</v>
      </c>
      <c r="EP100" s="113" t="s">
        <v>180</v>
      </c>
      <c r="EQ100" s="113"/>
      <c r="ER100" s="113"/>
      <c r="ES100" s="94">
        <v>2</v>
      </c>
      <c r="ET100" s="93" t="s">
        <v>125</v>
      </c>
      <c r="EU100" s="47">
        <f>IF(ES70="Signalized",IF(ET100="Protected Only",(1-(SUM(EP69:EP70)/SUM(EP67:EP70)))+(SUM(EP69:EP70)/SUM(EP67:EP70))*EXP(-0.363*ES100),1),1)</f>
        <v>1</v>
      </c>
      <c r="EV100" s="48">
        <f>IF(ES70="Signalized",IF(ET100="Protected Only",(1-(SUM(EP69:EP70)/SUM(EP67:EP70)))+(SUM(EP69:EP70)/SUM(EP67:EP70))*EXP(-0.223*ES100),1),1)</f>
        <v>1</v>
      </c>
      <c r="EW100" s="229">
        <v>16</v>
      </c>
      <c r="EX100" s="113" t="s">
        <v>180</v>
      </c>
      <c r="EY100" s="113"/>
      <c r="EZ100" s="113"/>
      <c r="FA100" s="94">
        <v>2</v>
      </c>
      <c r="FB100" s="93" t="s">
        <v>125</v>
      </c>
      <c r="FC100" s="47">
        <f>IF(FA70="Signalized",IF(FB100="Protected Only",(1-(SUM(EX69:EX70)/SUM(EX67:EX70)))+(SUM(EX69:EX70)/SUM(EX67:EX70))*EXP(-0.363*FA100),1),1)</f>
        <v>1</v>
      </c>
      <c r="FD100" s="48">
        <f>IF(FA70="Signalized",IF(FB100="Protected Only",(1-(SUM(EX69:EX70)/SUM(EX67:EX70)))+(SUM(EX69:EX70)/SUM(EX67:EX70))*EXP(-0.223*FA100),1),1)</f>
        <v>1</v>
      </c>
      <c r="FE100" s="229">
        <v>16</v>
      </c>
      <c r="FF100" s="113" t="s">
        <v>180</v>
      </c>
      <c r="FG100" s="113"/>
      <c r="FH100" s="113"/>
      <c r="FI100" s="94">
        <v>2</v>
      </c>
      <c r="FJ100" s="93" t="s">
        <v>125</v>
      </c>
      <c r="FK100" s="47">
        <f>IF(FI70="Signalized",IF(FJ100="Protected Only",(1-(SUM(FF69:FF70)/SUM(FF67:FF70)))+(SUM(FF69:FF70)/SUM(FF67:FF70))*EXP(-0.363*FI100),1),1)</f>
        <v>1</v>
      </c>
      <c r="FL100" s="48">
        <f>IF(FI70="Signalized",IF(FJ100="Protected Only",(1-(SUM(FF69:FF70)/SUM(FF67:FF70)))+(SUM(FF69:FF70)/SUM(FF67:FF70))*EXP(-0.223*FI100),1),1)</f>
        <v>1</v>
      </c>
      <c r="FM100" s="229">
        <v>16</v>
      </c>
      <c r="FN100" s="113" t="s">
        <v>180</v>
      </c>
      <c r="FO100" s="113"/>
      <c r="FP100" s="113"/>
      <c r="FQ100" s="94">
        <v>2</v>
      </c>
      <c r="FR100" s="93" t="s">
        <v>182</v>
      </c>
      <c r="FS100" s="47">
        <f>IF(FQ70="Signalized",IF(FR100="Protected Only",(1-(SUM(FN69:FN70)/SUM(FN67:FN70)))+(SUM(FN69:FN70)/SUM(FN67:FN70))*EXP(-0.363*FQ100),1),1)</f>
        <v>0.58917916269901327</v>
      </c>
      <c r="FT100" s="48">
        <f>IF(FQ70="Signalized",IF(FR100="Protected Only",(1-(SUM(FN69:FN70)/SUM(FN67:FN70)))+(SUM(FN69:FN70)/SUM(FN67:FN70))*EXP(-0.223*FQ100),1),1)</f>
        <v>0.71361565531437221</v>
      </c>
      <c r="FU100" s="229">
        <v>16</v>
      </c>
      <c r="FV100" s="113" t="s">
        <v>180</v>
      </c>
      <c r="FW100" s="113"/>
      <c r="FX100" s="113"/>
      <c r="FY100" s="94">
        <v>2</v>
      </c>
      <c r="FZ100" s="93" t="s">
        <v>182</v>
      </c>
      <c r="GA100" s="47">
        <f>IF(FY70="Signalized",IF(FZ100="Protected Only",(1-(SUM(FV69:FV70)/SUM(FV67:FV70)))+(SUM(FV69:FV70)/SUM(FV67:FV70))*EXP(-0.363*FY100),1),1)</f>
        <v>0.60771876971567318</v>
      </c>
      <c r="GB100" s="48">
        <f>IF(FY70="Signalized",IF(FZ100="Protected Only",(1-(SUM(FV69:FV70)/SUM(FV67:FV70)))+(SUM(FV69:FV70)/SUM(FV67:FV70))*EXP(-0.223*FY100),1),1)</f>
        <v>0.72653966676685178</v>
      </c>
      <c r="GC100" s="111">
        <v>3</v>
      </c>
      <c r="GD100" s="203" t="s">
        <v>203</v>
      </c>
      <c r="GE100" s="203"/>
      <c r="GF100" s="203"/>
      <c r="GG100" s="203"/>
      <c r="GH100" s="88" t="s">
        <v>264</v>
      </c>
      <c r="GI100" s="85">
        <f>LOOKUP(GH100,Reference!$A$142:$A$154,Reference!$B$142:$B$154)</f>
        <v>1</v>
      </c>
      <c r="GJ100" s="85">
        <f>LOOKUP(GH100,Reference!$A$142:$A$154,Reference!$B$142:$B$154)</f>
        <v>1</v>
      </c>
      <c r="GK100" s="111">
        <v>3</v>
      </c>
      <c r="GL100" s="203" t="s">
        <v>203</v>
      </c>
      <c r="GM100" s="203"/>
      <c r="GN100" s="203"/>
      <c r="GO100" s="203"/>
      <c r="GP100" s="88" t="s">
        <v>264</v>
      </c>
      <c r="GQ100" s="85">
        <f>LOOKUP(GP100,Reference!$A$142:$A$154,Reference!$B$142:$B$154)</f>
        <v>1</v>
      </c>
      <c r="GR100" s="85">
        <f>LOOKUP(GP100,Reference!$A$142:$A$154,Reference!$B$142:$B$154)</f>
        <v>1</v>
      </c>
      <c r="GS100" s="114">
        <v>3</v>
      </c>
      <c r="GT100" s="203" t="s">
        <v>203</v>
      </c>
      <c r="GU100" s="203"/>
      <c r="GV100" s="203"/>
      <c r="GW100" s="203"/>
      <c r="GX100" s="88" t="s">
        <v>264</v>
      </c>
      <c r="GY100" s="85">
        <f>LOOKUP(GX100,Reference!$A$142:$A$154,Reference!$B$142:$B$154)</f>
        <v>1</v>
      </c>
      <c r="GZ100" s="85">
        <f>LOOKUP(GX100,Reference!$A$142:$A$154,Reference!$B$142:$B$154)</f>
        <v>1</v>
      </c>
      <c r="HA100" s="114">
        <v>3</v>
      </c>
      <c r="HB100" s="203" t="s">
        <v>203</v>
      </c>
      <c r="HC100" s="203"/>
      <c r="HD100" s="203"/>
      <c r="HE100" s="203"/>
      <c r="HF100" s="88" t="s">
        <v>264</v>
      </c>
      <c r="HG100" s="85">
        <f>LOOKUP(HF100,Reference!$A$142:$A$154,Reference!$B$142:$B$154)</f>
        <v>1</v>
      </c>
      <c r="HH100" s="85">
        <f>LOOKUP(HF100,Reference!$A$142:$A$154,Reference!$B$142:$B$154)</f>
        <v>1</v>
      </c>
      <c r="HI100" s="114">
        <v>3</v>
      </c>
      <c r="HJ100" s="203" t="s">
        <v>203</v>
      </c>
      <c r="HK100" s="203"/>
      <c r="HL100" s="203"/>
      <c r="HM100" s="203"/>
      <c r="HN100" s="88" t="s">
        <v>264</v>
      </c>
      <c r="HO100" s="85">
        <f>LOOKUP(HN100,Reference!$A$142:$A$154,Reference!$B$142:$B$154)</f>
        <v>1</v>
      </c>
      <c r="HP100" s="85">
        <f>LOOKUP(HN100,Reference!$A$142:$A$154,Reference!$B$142:$B$154)</f>
        <v>1</v>
      </c>
    </row>
    <row r="101" spans="1:224" x14ac:dyDescent="0.25">
      <c r="A101" s="106"/>
      <c r="B101" s="215" t="s">
        <v>203</v>
      </c>
      <c r="C101" s="217"/>
      <c r="D101" s="63">
        <v>40</v>
      </c>
      <c r="E101" s="59">
        <v>1</v>
      </c>
      <c r="F101" s="61">
        <v>13</v>
      </c>
      <c r="G101" s="47">
        <f>(1-E101)*EXP(0.00102*(D101-2*F101-48))+E101*EXP(0.00102*(2*F101-48))</f>
        <v>0.97780990402755541</v>
      </c>
      <c r="H101" s="48">
        <f>(1-E101)*EXP(-0.00289*(D101-2*F101-48))+E101*EXP(-0.00289*(2*F101-48))</f>
        <v>1.0656447339702122</v>
      </c>
      <c r="I101" s="106"/>
      <c r="J101" s="215" t="s">
        <v>203</v>
      </c>
      <c r="K101" s="217"/>
      <c r="L101" s="63">
        <v>40</v>
      </c>
      <c r="M101" s="59">
        <v>1</v>
      </c>
      <c r="N101" s="61">
        <v>13</v>
      </c>
      <c r="O101" s="47">
        <f>(1-M101)*EXP(0.00102*(L101-2*N101-48))+M101*EXP(0.00102*(2*N101-48))</f>
        <v>0.97780990402755541</v>
      </c>
      <c r="P101" s="48">
        <f>(1-M101)*EXP(-0.00289*(L101-2*N101-48))+M101*EXP(-0.00289*(2*N101-48))</f>
        <v>1.0656447339702122</v>
      </c>
      <c r="Q101" s="106"/>
      <c r="R101" s="215" t="s">
        <v>203</v>
      </c>
      <c r="S101" s="217"/>
      <c r="T101" s="63">
        <v>40</v>
      </c>
      <c r="U101" s="59">
        <v>1</v>
      </c>
      <c r="V101" s="61">
        <v>13</v>
      </c>
      <c r="W101" s="47">
        <f>(1-U101)*EXP(0.00102*(T101-2*V101-48))+U101*EXP(0.00102*(2*V101-48))</f>
        <v>0.97780990402755541</v>
      </c>
      <c r="X101" s="48">
        <f>(1-U101)*EXP(-0.00289*(T101-2*V101-48))+U101*EXP(-0.00289*(2*V101-48))</f>
        <v>1.0656447339702122</v>
      </c>
      <c r="Y101" s="107"/>
      <c r="Z101" s="215" t="s">
        <v>203</v>
      </c>
      <c r="AA101" s="217"/>
      <c r="AB101" s="63">
        <v>40</v>
      </c>
      <c r="AC101" s="59">
        <v>1</v>
      </c>
      <c r="AD101" s="61">
        <v>13</v>
      </c>
      <c r="AE101" s="47">
        <f>(1-AC101)*EXP(0.00102*(AB101-2*AD101-48))+AC101*EXP(0.00102*(2*AD101-48))</f>
        <v>0.97780990402755541</v>
      </c>
      <c r="AF101" s="48">
        <f>(1-AC101)*EXP(-0.00289*(AB101-2*AD101-48))+AC101*EXP(-0.00289*(2*AD101-48))</f>
        <v>1.0656447339702122</v>
      </c>
      <c r="AG101" s="107"/>
      <c r="AH101" s="215" t="s">
        <v>203</v>
      </c>
      <c r="AI101" s="217"/>
      <c r="AJ101" s="63">
        <v>40</v>
      </c>
      <c r="AK101" s="59">
        <v>1</v>
      </c>
      <c r="AL101" s="61">
        <v>13</v>
      </c>
      <c r="AM101" s="47">
        <f>(1-AK101)*EXP(0.00102*(AJ101-2*AL101-48))+AK101*EXP(0.00102*(2*AL101-48))</f>
        <v>0.97780990402755541</v>
      </c>
      <c r="AN101" s="48">
        <f>(1-AK101)*EXP(-0.00289*(AJ101-2*AL101-48))+AK101*EXP(-0.00289*(2*AL101-48))</f>
        <v>1.0656447339702122</v>
      </c>
      <c r="AO101" s="24"/>
      <c r="AP101" s="117"/>
      <c r="AQ101" s="117"/>
      <c r="AR101" s="117"/>
      <c r="AS101" s="117"/>
      <c r="AT101" s="14"/>
      <c r="AU101" s="18">
        <f>IF(AU91=0,1,AU91)*IF(AU92=0,1,AU92)*IF(AU93=0,1,AU93)*IF(AU94=0,1,AU94)*IF(AU95=0,1,AU95)*IF(AU96=0,1,AU96)*IF(AU97=0,1,AU97)*IF(AU98=0,1,AU98)*IF(AU99=0,1,AU99)*IF(AU100=0,1,AU100)</f>
        <v>1.0474933244984428</v>
      </c>
      <c r="AV101" s="33">
        <f>IF(AV91=0,1,AV91)*IF(AV92=0,1,AV92)*IF(AV93=0,1,AV93)*IF(AV94=0,1,AV94)*IF(AV95=0,1,AV95)*IF(AV96=0,1,AV96)*IF(AV97=0,1,AV97)*IF(AV98=0,1,AV98)*IF(AV99=0,1,AV99)*IF(AV100=0,1,AV100)</f>
        <v>1</v>
      </c>
      <c r="AW101" s="24"/>
      <c r="AX101" s="117"/>
      <c r="AY101" s="117"/>
      <c r="AZ101" s="117"/>
      <c r="BA101" s="117"/>
      <c r="BB101" s="14"/>
      <c r="BC101" s="18">
        <f>IF(BC91=0,1,BC91)*IF(BC92=0,1,BC92)*IF(BC93=0,1,BC93)*IF(BC94=0,1,BC94)*IF(BC95=0,1,BC95)*IF(BC96=0,1,BC96)*IF(BC97=0,1,BC97)*IF(BC98=0,1,BC98)*IF(BC99=0,1,BC99)*IF(BC100=0,1,BC100)</f>
        <v>1.579970143704057</v>
      </c>
      <c r="BD101" s="33">
        <f>IF(BD91=0,1,BD91)*IF(BD92=0,1,BD92)*IF(BD93=0,1,BD93)*IF(BD94=0,1,BD94)*IF(BD95=0,1,BD95)*IF(BD96=0,1,BD96)*IF(BD97=0,1,BD97)*IF(BD98=0,1,BD98)*IF(BD99=0,1,BD99)*IF(BD100=0,1,BD100)</f>
        <v>1.1060554085591288</v>
      </c>
      <c r="BE101" s="24"/>
      <c r="BF101" s="117"/>
      <c r="BG101" s="117"/>
      <c r="BH101" s="117"/>
      <c r="BI101" s="117"/>
      <c r="BJ101" s="14"/>
      <c r="BK101" s="18">
        <f>IF(BK91=0,1,BK91)*IF(BK92=0,1,BK92)*IF(BK93=0,1,BK93)*IF(BK94=0,1,BK94)*IF(BK95=0,1,BK95)*IF(BK96=0,1,BK96)*IF(BK97=0,1,BK97)*IF(BK98=0,1,BK98)*IF(BK99=0,1,BK99)*IF(BK100=0,1,BK100)</f>
        <v>1.0474933244984428</v>
      </c>
      <c r="BL101" s="33">
        <f>IF(BL91=0,1,BL91)*IF(BL92=0,1,BL92)*IF(BL93=0,1,BL93)*IF(BL94=0,1,BL94)*IF(BL95=0,1,BL95)*IF(BL96=0,1,BL96)*IF(BL97=0,1,BL97)*IF(BL98=0,1,BL98)*IF(BL99=0,1,BL99)*IF(BL100=0,1,BL100)</f>
        <v>1</v>
      </c>
      <c r="BM101" s="24"/>
      <c r="BN101" s="117"/>
      <c r="BO101" s="117"/>
      <c r="BP101" s="117"/>
      <c r="BQ101" s="117"/>
      <c r="BR101" s="14"/>
      <c r="BS101" s="18">
        <f>IF(BS91=0,1,BS91)*IF(BS92=0,1,BS92)*IF(BS93=0,1,BS93)*IF(BS94=0,1,BS94)*IF(BS95=0,1,BS95)*IF(BS96=0,1,BS96)*IF(BS97=0,1,BS97)*IF(BS98=0,1,BS98)*IF(BS99=0,1,BS99)*IF(BS100=0,1,BS100)</f>
        <v>1.857462885752909</v>
      </c>
      <c r="BT101" s="33">
        <f>IF(BT91=0,1,BT91)*IF(BT92=0,1,BT92)*IF(BT93=0,1,BT93)*IF(BT94=0,1,BT94)*IF(BT95=0,1,BT95)*IF(BT96=0,1,BT96)*IF(BT97=0,1,BT97)*IF(BT98=0,1,BT98)*IF(BT99=0,1,BT99)*IF(BT100=0,1,BT100)</f>
        <v>1.1060554085591288</v>
      </c>
      <c r="BU101" s="24"/>
      <c r="BV101" s="117"/>
      <c r="BW101" s="117"/>
      <c r="BX101" s="117"/>
      <c r="BY101" s="117"/>
      <c r="BZ101" s="14"/>
      <c r="CA101" s="18">
        <f>IF(CA91=0,1,CA91)*IF(CA92=0,1,CA92)*IF(CA93=0,1,CA93)*IF(CA94=0,1,CA94)*IF(CA95=0,1,CA95)*IF(CA96=0,1,CA96)*IF(CA97=0,1,CA97)*IF(CA98=0,1,CA98)*IF(CA99=0,1,CA99)*IF(CA100=0,1,CA100)</f>
        <v>1.0474933244984428</v>
      </c>
      <c r="CB101" s="33">
        <f>IF(CB91=0,1,CB91)*IF(CB92=0,1,CB92)*IF(CB93=0,1,CB93)*IF(CB94=0,1,CB94)*IF(CB95=0,1,CB95)*IF(CB96=0,1,CB96)*IF(CB97=0,1,CB97)*IF(CB98=0,1,CB98)*IF(CB99=0,1,CB99)*IF(CB100=0,1,CB100)</f>
        <v>1</v>
      </c>
      <c r="CC101" s="24"/>
      <c r="CD101" s="117"/>
      <c r="CE101" s="117"/>
      <c r="CF101" s="117"/>
      <c r="CG101" s="117"/>
      <c r="CH101" s="14"/>
      <c r="CI101" s="18">
        <f>IF(CI91=0,1,CI91)*IF(CI92=0,1,CI92)*IF(CI93=0,1,CI93)*IF(CI94=0,1,CI94)*IF(CI95=0,1,CI95)*IF(CI96=0,1,CI96)*IF(CI97=0,1,CI97)*IF(CI98=0,1,CI98)*IF(CI99=0,1,CI99)*IF(CI100=0,1,CI100)</f>
        <v>1.5158946223704615</v>
      </c>
      <c r="CJ101" s="33">
        <f>IF(CJ91=0,1,CJ91)*IF(CJ92=0,1,CJ92)*IF(CJ93=0,1,CJ93)*IF(CJ94=0,1,CJ94)*IF(CJ95=0,1,CJ95)*IF(CJ96=0,1,CJ96)*IF(CJ97=0,1,CJ97)*IF(CJ98=0,1,CJ98)*IF(CJ99=0,1,CJ99)*IF(CJ100=0,1,CJ100)</f>
        <v>1.1060554085591288</v>
      </c>
      <c r="CK101" s="24"/>
      <c r="CL101" s="117"/>
      <c r="CM101" s="117"/>
      <c r="CN101" s="117"/>
      <c r="CO101" s="117"/>
      <c r="CP101" s="14"/>
      <c r="CQ101" s="18">
        <f>IF(CQ91=0,1,CQ91)*IF(CQ92=0,1,CQ92)*IF(CQ93=0,1,CQ93)*IF(CQ94=0,1,CQ94)*IF(CQ95=0,1,CQ95)*IF(CQ96=0,1,CQ96)*IF(CQ97=0,1,CQ97)*IF(CQ98=0,1,CQ98)*IF(CQ99=0,1,CQ99)*IF(CQ100=0,1,CQ100)</f>
        <v>1.0474933244984428</v>
      </c>
      <c r="CR101" s="33">
        <f>IF(CR91=0,1,CR91)*IF(CR92=0,1,CR92)*IF(CR93=0,1,CR93)*IF(CR94=0,1,CR94)*IF(CR95=0,1,CR95)*IF(CR96=0,1,CR96)*IF(CR97=0,1,CR97)*IF(CR98=0,1,CR98)*IF(CR99=0,1,CR99)*IF(CR100=0,1,CR100)</f>
        <v>1</v>
      </c>
      <c r="CS101" s="24"/>
      <c r="CT101" s="117"/>
      <c r="CU101" s="117"/>
      <c r="CV101" s="117"/>
      <c r="CW101" s="117"/>
      <c r="CX101" s="14"/>
      <c r="CY101" s="18">
        <f>IF(CY91=0,1,CY91)*IF(CY92=0,1,CY92)*IF(CY93=0,1,CY93)*IF(CY94=0,1,CY94)*IF(CY95=0,1,CY95)*IF(CY96=0,1,CY96)*IF(CY97=0,1,CY97)*IF(CY98=0,1,CY98)*IF(CY99=0,1,CY99)*IF(CY100=0,1,CY100)</f>
        <v>1.857462885752909</v>
      </c>
      <c r="CZ101" s="33">
        <f>IF(CZ91=0,1,CZ91)*IF(CZ92=0,1,CZ92)*IF(CZ93=0,1,CZ93)*IF(CZ94=0,1,CZ94)*IF(CZ95=0,1,CZ95)*IF(CZ96=0,1,CZ96)*IF(CZ97=0,1,CZ97)*IF(CZ98=0,1,CZ98)*IF(CZ99=0,1,CZ99)*IF(CZ100=0,1,CZ100)</f>
        <v>1.1060554085591288</v>
      </c>
      <c r="DA101" s="24"/>
      <c r="DB101" s="117"/>
      <c r="DC101" s="117"/>
      <c r="DD101" s="117"/>
      <c r="DE101" s="117"/>
      <c r="DF101" s="14"/>
      <c r="DG101" s="18">
        <f>IF(DG91=0,1,DG91)*IF(DG92=0,1,DG92)*IF(DG93=0,1,DG93)*IF(DG94=0,1,DG94)*IF(DG95=0,1,DG95)*IF(DG96=0,1,DG96)*IF(DG97=0,1,DG97)*IF(DG98=0,1,DG98)*IF(DG99=0,1,DG99)*IF(DG100=0,1,DG100)</f>
        <v>1.0474933244984428</v>
      </c>
      <c r="DH101" s="33">
        <f>IF(DH91=0,1,DH91)*IF(DH92=0,1,DH92)*IF(DH93=0,1,DH93)*IF(DH94=0,1,DH94)*IF(DH95=0,1,DH95)*IF(DH96=0,1,DH96)*IF(DH97=0,1,DH97)*IF(DH98=0,1,DH98)*IF(DH99=0,1,DH99)*IF(DH100=0,1,DH100)</f>
        <v>1</v>
      </c>
      <c r="DI101" s="24"/>
      <c r="DJ101" s="117"/>
      <c r="DK101" s="117"/>
      <c r="DL101" s="117"/>
      <c r="DM101" s="117"/>
      <c r="DN101" s="14"/>
      <c r="DO101" s="18">
        <f>IF(DO91=0,1,DO91)*IF(DO92=0,1,DO92)*IF(DO93=0,1,DO93)*IF(DO94=0,1,DO94)*IF(DO95=0,1,DO95)*IF(DO96=0,1,DO96)*IF(DO97=0,1,DO97)*IF(DO98=0,1,DO98)*IF(DO99=0,1,DO99)*IF(DO100=0,1,DO100)</f>
        <v>1.6787811818907585</v>
      </c>
      <c r="DP101" s="33">
        <f>IF(DP91=0,1,DP91)*IF(DP92=0,1,DP92)*IF(DP93=0,1,DP93)*IF(DP94=0,1,DP94)*IF(DP95=0,1,DP95)*IF(DP96=0,1,DP96)*IF(DP97=0,1,DP97)*IF(DP98=0,1,DP98)*IF(DP99=0,1,DP99)*IF(DP100=0,1,DP100)</f>
        <v>1.1060554085591288</v>
      </c>
      <c r="DQ101" s="24"/>
      <c r="DR101" s="117"/>
      <c r="DS101" s="117"/>
      <c r="DT101" s="117"/>
      <c r="DU101" s="117"/>
      <c r="DV101" s="14"/>
      <c r="DW101" s="18">
        <f>IF(DW91=0,1,DW91)*IF(DW92=0,1,DW92)*IF(DW93=0,1,DW93)*IF(DW94=0,1,DW94)*IF(DW95=0,1,DW95)*IF(DW96=0,1,DW96)*IF(DW97=0,1,DW97)*IF(DW98=0,1,DW98)*IF(DW99=0,1,DW99)*IF(DW100=0,1,DW100)</f>
        <v>1.0474933244984428</v>
      </c>
      <c r="DX101" s="33">
        <f>IF(DX91=0,1,DX91)*IF(DX92=0,1,DX92)*IF(DX93=0,1,DX93)*IF(DX94=0,1,DX94)*IF(DX95=0,1,DX95)*IF(DX96=0,1,DX96)*IF(DX97=0,1,DX97)*IF(DX98=0,1,DX98)*IF(DX99=0,1,DX99)*IF(DX100=0,1,DX100)</f>
        <v>1</v>
      </c>
      <c r="DY101" s="24"/>
      <c r="DZ101" s="117"/>
      <c r="EA101" s="117"/>
      <c r="EB101" s="117"/>
      <c r="EC101" s="117"/>
      <c r="ED101" s="14"/>
      <c r="EE101" s="18">
        <f>IF(EE91=0,1,EE91)*IF(EE92=0,1,EE92)*IF(EE93=0,1,EE93)*IF(EE94=0,1,EE94)*IF(EE95=0,1,EE95)*IF(EE96=0,1,EE96)*IF(EE97=0,1,EE97)*IF(EE98=0,1,EE98)*IF(EE99=0,1,EE99)*IF(EE100=0,1,EE100)</f>
        <v>1.7055992227281187</v>
      </c>
      <c r="EF101" s="33">
        <f>IF(EF91=0,1,EF91)*IF(EF92=0,1,EF92)*IF(EF93=0,1,EF93)*IF(EF94=0,1,EF94)*IF(EF95=0,1,EF95)*IF(EF96=0,1,EF96)*IF(EF97=0,1,EF97)*IF(EF98=0,1,EF98)*IF(EF99=0,1,EF99)*IF(EF100=0,1,EF100)</f>
        <v>1.1060554085591288</v>
      </c>
      <c r="EG101" s="229"/>
      <c r="EH101" s="113" t="s">
        <v>181</v>
      </c>
      <c r="EI101" s="113"/>
      <c r="EJ101" s="113"/>
      <c r="EK101" s="94">
        <v>2</v>
      </c>
      <c r="EL101" s="93" t="s">
        <v>125</v>
      </c>
      <c r="EM101" s="47">
        <f>IF(EK70="Signalized",IF(EL101="Protected Only",(1-(SUM(EH69:EH70)/SUM(EH67:EH70)))+(SUM(EH69:EH70)/SUM(EH67:EH70))*EXP(-0.363*EK101),1),1)</f>
        <v>1</v>
      </c>
      <c r="EN101" s="48">
        <f>IF(EK70="Signalized",IF(EL101="Protected Only",(1-(SUM(EH69:EH70)/SUM(EH67:EH70)))+(SUM(EH69:EH70)/SUM(EH67:EH70))*EXP(-0.223*EK101),1),1)</f>
        <v>1</v>
      </c>
      <c r="EO101" s="229"/>
      <c r="EP101" s="113" t="s">
        <v>181</v>
      </c>
      <c r="EQ101" s="113"/>
      <c r="ER101" s="113"/>
      <c r="ES101" s="94">
        <v>2</v>
      </c>
      <c r="ET101" s="93" t="s">
        <v>125</v>
      </c>
      <c r="EU101" s="47">
        <f>IF(ES70="Signalized",IF(ET101="Protected Only",(1-(SUM(EP69:EP70)/SUM(EP67:EP70)))+(SUM(EP69:EP70)/SUM(EP67:EP70))*EXP(-0.363*ES101),1),1)</f>
        <v>1</v>
      </c>
      <c r="EV101" s="48">
        <f>IF(ES70="Signalized",IF(ET101="Protected Only",(1-(SUM(EP69:EP70)/SUM(EP67:EP70)))+(SUM(EP69:EP70)/SUM(EP67:EP70))*EXP(-0.223*ES101),1),1)</f>
        <v>1</v>
      </c>
      <c r="EW101" s="229"/>
      <c r="EX101" s="113" t="s">
        <v>181</v>
      </c>
      <c r="EY101" s="113"/>
      <c r="EZ101" s="113"/>
      <c r="FA101" s="94">
        <v>2</v>
      </c>
      <c r="FB101" s="93" t="s">
        <v>182</v>
      </c>
      <c r="FC101" s="47">
        <f>IF(FA70="Signalized",IF(FB101="Protected Only",(1-(SUM(EX69:EX70)/SUM(EX67:EX70)))+(SUM(EX69:EX70)/SUM(EX67:EX70))*EXP(-0.363*FA101),1),1)</f>
        <v>0.8893055501100029</v>
      </c>
      <c r="FD101" s="48">
        <f>IF(FA70="Signalized",IF(FB101="Protected Only",(1-(SUM(EX69:EX70)/SUM(EX67:EX70)))+(SUM(EX69:EX70)/SUM(EX67:EX70))*EXP(-0.223*FA101),1),1)</f>
        <v>0.92283459208069063</v>
      </c>
      <c r="FE101" s="229"/>
      <c r="FF101" s="113" t="s">
        <v>181</v>
      </c>
      <c r="FG101" s="113"/>
      <c r="FH101" s="113"/>
      <c r="FI101" s="94">
        <v>2</v>
      </c>
      <c r="FJ101" s="93" t="s">
        <v>182</v>
      </c>
      <c r="FK101" s="47">
        <f>IF(FI70="Signalized",IF(FJ101="Protected Only",(1-(SUM(FF69:FF70)/SUM(FF67:FF70)))+(SUM(FF69:FF70)/SUM(FF67:FF70))*EXP(-0.363*FI101),1),1)</f>
        <v>0.8118482864902814</v>
      </c>
      <c r="FL101" s="48">
        <f>IF(FI70="Signalized",IF(FJ101="Protected Only",(1-(SUM(FF69:FF70)/SUM(FF67:FF70)))+(SUM(FF69:FF70)/SUM(FF67:FF70))*EXP(-0.223*FI101),1),1)</f>
        <v>0.86883891886067843</v>
      </c>
      <c r="FM101" s="229"/>
      <c r="FN101" s="113" t="s">
        <v>181</v>
      </c>
      <c r="FO101" s="113"/>
      <c r="FP101" s="113"/>
      <c r="FQ101" s="94">
        <v>2</v>
      </c>
      <c r="FR101" s="93" t="s">
        <v>125</v>
      </c>
      <c r="FS101" s="47">
        <f>IF(FQ70="Signalized",IF(FR101="Protected Only",(1-(SUM(FN69:FN70)/SUM(FN67:FN70)))+(SUM(FN69:FN70)/SUM(FN67:FN70))*EXP(-0.363*FQ101),1),1)</f>
        <v>1</v>
      </c>
      <c r="FT101" s="48">
        <f>IF(FQ70="Signalized",IF(FR101="Protected Only",(1-(SUM(FN69:FN70)/SUM(FN67:FN70)))+(SUM(FN69:FN70)/SUM(FN67:FN70))*EXP(-0.223*FQ101),1),1)</f>
        <v>1</v>
      </c>
      <c r="FU101" s="229"/>
      <c r="FV101" s="113" t="s">
        <v>181</v>
      </c>
      <c r="FW101" s="113"/>
      <c r="FX101" s="113"/>
      <c r="FY101" s="94">
        <v>2</v>
      </c>
      <c r="FZ101" s="93" t="s">
        <v>125</v>
      </c>
      <c r="GA101" s="47">
        <f>IF(FY70="Signalized",IF(FZ101="Protected Only",(1-(SUM(FV69:FV70)/SUM(FV67:FV70)))+(SUM(FV69:FV70)/SUM(FV67:FV70))*EXP(-0.363*FY101),1),1)</f>
        <v>1</v>
      </c>
      <c r="GB101" s="48">
        <f>IF(FY70="Signalized",IF(FZ101="Protected Only",(1-(SUM(FV69:FV70)/SUM(FV67:FV70)))+(SUM(FV69:FV70)/SUM(FV67:FV70))*EXP(-0.223*FY101),1),1)</f>
        <v>1</v>
      </c>
      <c r="GC101" s="111">
        <v>4</v>
      </c>
      <c r="GD101" s="203" t="s">
        <v>257</v>
      </c>
      <c r="GE101" s="203"/>
      <c r="GF101" s="203"/>
      <c r="GG101" s="203"/>
      <c r="GH101" s="83" t="s">
        <v>128</v>
      </c>
      <c r="GI101" s="85">
        <f>IF(GH101="Present",LOOKUP(GI66,Reference!$A$158:$A$162,Reference!$E$158:$E$162),1)</f>
        <v>0.93154176</v>
      </c>
      <c r="GJ101" s="85">
        <f>IF(GH101="Present",LOOKUP(GI66,Reference!$A$158:$A$162,Reference!$E$158:$E$162),1)</f>
        <v>0.93154176</v>
      </c>
      <c r="GK101" s="111">
        <v>4</v>
      </c>
      <c r="GL101" s="203" t="s">
        <v>257</v>
      </c>
      <c r="GM101" s="203"/>
      <c r="GN101" s="203"/>
      <c r="GO101" s="203"/>
      <c r="GP101" s="83" t="s">
        <v>128</v>
      </c>
      <c r="GQ101" s="85">
        <f>IF(GP101="Present",LOOKUP(GQ66,Reference!$A$158:$A$162,Reference!$E$158:$E$162),1)</f>
        <v>0.91719244999999994</v>
      </c>
      <c r="GR101" s="85">
        <f>IF(GP101="Present",LOOKUP(GQ66,Reference!$A$158:$A$162,Reference!$E$158:$E$162),1)</f>
        <v>0.91719244999999994</v>
      </c>
      <c r="GS101" s="114">
        <v>4</v>
      </c>
      <c r="GT101" s="203" t="s">
        <v>257</v>
      </c>
      <c r="GU101" s="203"/>
      <c r="GV101" s="203"/>
      <c r="GW101" s="203"/>
      <c r="GX101" s="83" t="s">
        <v>128</v>
      </c>
      <c r="GY101" s="85">
        <f>IF(GX101="Present",LOOKUP(GY66,Reference!$A$158:$A$162,Reference!$E$158:$E$162),1)</f>
        <v>0.93154176</v>
      </c>
      <c r="GZ101" s="85">
        <f>IF(GX101="Present",LOOKUP(GY66,Reference!$A$158:$A$162,Reference!$E$158:$E$162),1)</f>
        <v>0.93154176</v>
      </c>
      <c r="HA101" s="114">
        <v>4</v>
      </c>
      <c r="HB101" s="203" t="s">
        <v>257</v>
      </c>
      <c r="HC101" s="203"/>
      <c r="HD101" s="203"/>
      <c r="HE101" s="203"/>
      <c r="HF101" s="83" t="s">
        <v>128</v>
      </c>
      <c r="HG101" s="85">
        <f>IF(HF101="Present",LOOKUP(HG66,Reference!$A$158:$A$162,Reference!$E$158:$E$162),1)</f>
        <v>0.94039951999999993</v>
      </c>
      <c r="HH101" s="85">
        <f>IF(HF101="Present",LOOKUP(HG66,Reference!$A$158:$A$162,Reference!$E$158:$E$162),1)</f>
        <v>0.94039951999999993</v>
      </c>
      <c r="HI101" s="114">
        <v>4</v>
      </c>
      <c r="HJ101" s="203" t="s">
        <v>257</v>
      </c>
      <c r="HK101" s="203"/>
      <c r="HL101" s="203"/>
      <c r="HM101" s="203"/>
      <c r="HN101" s="83" t="s">
        <v>128</v>
      </c>
      <c r="HO101" s="85">
        <f>IF(HN101="Present",LOOKUP(HO66,Reference!$A$158:$A$162,Reference!$E$158:$E$162),1)</f>
        <v>0.94039951999999993</v>
      </c>
      <c r="HP101" s="85">
        <f>IF(HN101="Present",LOOKUP(HO66,Reference!$A$158:$A$162,Reference!$E$158:$E$162),1)</f>
        <v>0.94039951999999993</v>
      </c>
    </row>
    <row r="102" spans="1:224" x14ac:dyDescent="0.25">
      <c r="A102" s="106">
        <v>6</v>
      </c>
      <c r="B102" s="215" t="s">
        <v>205</v>
      </c>
      <c r="C102" s="217"/>
      <c r="D102" s="233">
        <v>0.1</v>
      </c>
      <c r="E102" s="234"/>
      <c r="F102" s="235"/>
      <c r="G102" s="47">
        <f>EXP(-0.0675*D102)</f>
        <v>0.99327273007856842</v>
      </c>
      <c r="H102" s="48">
        <f>EXP(-0.611*D102)</f>
        <v>0.94072916215599156</v>
      </c>
      <c r="I102" s="106">
        <v>6</v>
      </c>
      <c r="J102" s="215" t="s">
        <v>205</v>
      </c>
      <c r="K102" s="217"/>
      <c r="L102" s="233">
        <v>0.1</v>
      </c>
      <c r="M102" s="234"/>
      <c r="N102" s="235"/>
      <c r="O102" s="47">
        <f>EXP(-0.0675*L102)</f>
        <v>0.99327273007856842</v>
      </c>
      <c r="P102" s="48">
        <f>EXP(-0.611*L102)</f>
        <v>0.94072916215599156</v>
      </c>
      <c r="Q102" s="106">
        <v>6</v>
      </c>
      <c r="R102" s="215" t="s">
        <v>205</v>
      </c>
      <c r="S102" s="217"/>
      <c r="T102" s="233">
        <v>0.1</v>
      </c>
      <c r="U102" s="234"/>
      <c r="V102" s="235"/>
      <c r="W102" s="47">
        <f>EXP(-0.0675*T102)</f>
        <v>0.99327273007856842</v>
      </c>
      <c r="X102" s="48">
        <f>EXP(-0.611*T102)</f>
        <v>0.94072916215599156</v>
      </c>
      <c r="Y102" s="107">
        <v>6</v>
      </c>
      <c r="Z102" s="215" t="s">
        <v>205</v>
      </c>
      <c r="AA102" s="217"/>
      <c r="AB102" s="233">
        <v>0.1</v>
      </c>
      <c r="AC102" s="234"/>
      <c r="AD102" s="235"/>
      <c r="AE102" s="47">
        <f>EXP(-0.0675*AB102)</f>
        <v>0.99327273007856842</v>
      </c>
      <c r="AF102" s="48">
        <f>EXP(-0.611*AB102)</f>
        <v>0.94072916215599156</v>
      </c>
      <c r="AG102" s="107">
        <v>6</v>
      </c>
      <c r="AH102" s="215" t="s">
        <v>205</v>
      </c>
      <c r="AI102" s="217"/>
      <c r="AJ102" s="233">
        <v>0.1</v>
      </c>
      <c r="AK102" s="234"/>
      <c r="AL102" s="235"/>
      <c r="AM102" s="47">
        <f>EXP(-0.0675*AJ102)</f>
        <v>0.99327273007856842</v>
      </c>
      <c r="AN102" s="48">
        <f>EXP(-0.611*AJ102)</f>
        <v>0.94072916215599156</v>
      </c>
      <c r="AO102" s="24"/>
      <c r="AP102" s="14"/>
      <c r="AQ102" s="14"/>
      <c r="AR102" s="14"/>
      <c r="AS102" s="14"/>
      <c r="AT102" s="19"/>
      <c r="AU102" s="19"/>
      <c r="AV102" s="25"/>
      <c r="AW102" s="24"/>
      <c r="AX102" s="14"/>
      <c r="AY102" s="14"/>
      <c r="AZ102" s="14"/>
      <c r="BA102" s="14"/>
      <c r="BB102" s="19"/>
      <c r="BC102" s="19"/>
      <c r="BD102" s="25"/>
      <c r="BE102" s="24"/>
      <c r="BF102" s="14"/>
      <c r="BG102" s="14"/>
      <c r="BH102" s="14"/>
      <c r="BI102" s="14"/>
      <c r="BJ102" s="19"/>
      <c r="BK102" s="19"/>
      <c r="BL102" s="25"/>
      <c r="BM102" s="24"/>
      <c r="BN102" s="14"/>
      <c r="BO102" s="14"/>
      <c r="BP102" s="14"/>
      <c r="BQ102" s="14"/>
      <c r="BR102" s="19"/>
      <c r="BS102" s="19"/>
      <c r="BT102" s="25"/>
      <c r="BU102" s="24"/>
      <c r="BV102" s="14"/>
      <c r="BW102" s="14"/>
      <c r="BX102" s="14"/>
      <c r="BY102" s="14"/>
      <c r="BZ102" s="19"/>
      <c r="CA102" s="19"/>
      <c r="CB102" s="25"/>
      <c r="CC102" s="24"/>
      <c r="CD102" s="14"/>
      <c r="CE102" s="14"/>
      <c r="CF102" s="14"/>
      <c r="CG102" s="14"/>
      <c r="CH102" s="19"/>
      <c r="CI102" s="19"/>
      <c r="CJ102" s="25"/>
      <c r="CK102" s="24"/>
      <c r="CL102" s="14"/>
      <c r="CM102" s="14"/>
      <c r="CN102" s="14"/>
      <c r="CO102" s="14"/>
      <c r="CP102" s="19"/>
      <c r="CQ102" s="19"/>
      <c r="CR102" s="25"/>
      <c r="CS102" s="24"/>
      <c r="CT102" s="14"/>
      <c r="CU102" s="14"/>
      <c r="CV102" s="14"/>
      <c r="CW102" s="14"/>
      <c r="CX102" s="19"/>
      <c r="CY102" s="19"/>
      <c r="CZ102" s="25"/>
      <c r="DA102" s="24"/>
      <c r="DB102" s="14"/>
      <c r="DC102" s="14"/>
      <c r="DD102" s="14"/>
      <c r="DE102" s="14"/>
      <c r="DF102" s="19"/>
      <c r="DG102" s="19"/>
      <c r="DH102" s="25"/>
      <c r="DI102" s="24"/>
      <c r="DJ102" s="14"/>
      <c r="DK102" s="14"/>
      <c r="DL102" s="14"/>
      <c r="DM102" s="14"/>
      <c r="DN102" s="19"/>
      <c r="DO102" s="19"/>
      <c r="DP102" s="25"/>
      <c r="DQ102" s="24"/>
      <c r="DR102" s="14"/>
      <c r="DS102" s="14"/>
      <c r="DT102" s="14"/>
      <c r="DU102" s="14"/>
      <c r="DV102" s="19"/>
      <c r="DW102" s="19"/>
      <c r="DX102" s="25"/>
      <c r="DY102" s="24"/>
      <c r="DZ102" s="14"/>
      <c r="EA102" s="14"/>
      <c r="EB102" s="14"/>
      <c r="EC102" s="14"/>
      <c r="ED102" s="19"/>
      <c r="EE102" s="19"/>
      <c r="EF102" s="25"/>
      <c r="EG102" s="229">
        <v>17</v>
      </c>
      <c r="EH102" s="199" t="s">
        <v>183</v>
      </c>
      <c r="EI102" s="199"/>
      <c r="EJ102" s="199"/>
      <c r="EK102" s="199"/>
      <c r="EL102" s="93" t="s">
        <v>184</v>
      </c>
      <c r="EM102" s="47">
        <f>IF(EK70="Signalized",IF(EL102="Channelized",(1-EH69/SUM(EH67:EH70))+EH69/SUM(EH67:EH70)*EXP(0.466),1),1)</f>
        <v>1.2665468322317226</v>
      </c>
      <c r="EN102" s="48">
        <f>IF(EK70="Signalized",IF(EL102="Channelized",(1-EH69/SUM(EH67:EH70))+EH69/SUM(EH67:EH70)*EXP(0.465),1),1)</f>
        <v>1.2658316139420236</v>
      </c>
      <c r="EO102" s="229">
        <v>17</v>
      </c>
      <c r="EP102" s="199" t="s">
        <v>183</v>
      </c>
      <c r="EQ102" s="199"/>
      <c r="ER102" s="199"/>
      <c r="ES102" s="199"/>
      <c r="ET102" s="93" t="s">
        <v>184</v>
      </c>
      <c r="EU102" s="47">
        <f>IF(ES70="Signalized",IF(ET102="Channelized",(1-EP69/SUM(EP67:EP70))+EP69/SUM(EP67:EP70)*EXP(0.466),1),1)</f>
        <v>1.1364189998502729</v>
      </c>
      <c r="EV102" s="48">
        <f>IF(ES70="Signalized",IF(ET102="Channelized",(1-EP69/SUM(EP67:EP70))+EP69/SUM(EP67:EP70)*EXP(0.465),1),1)</f>
        <v>1.136052950241135</v>
      </c>
      <c r="EW102" s="229">
        <v>17</v>
      </c>
      <c r="EX102" s="199" t="s">
        <v>183</v>
      </c>
      <c r="EY102" s="199"/>
      <c r="EZ102" s="199"/>
      <c r="FA102" s="199"/>
      <c r="FB102" s="93" t="s">
        <v>184</v>
      </c>
      <c r="FC102" s="47">
        <f>IF(FA70="Signalized",IF(FB102="Channelized",(1-EX69/SUM(EX67:EX70))+EX69/SUM(EX67:EX70)*EXP(0.466),1),1)</f>
        <v>1.0986961035061336</v>
      </c>
      <c r="FD102" s="48">
        <f>IF(FA70="Signalized",IF(FB102="Channelized",(1-EX69/SUM(EX67:EX70))+EX69/SUM(EX67:EX70)*EXP(0.465),1),1)</f>
        <v>1.0984312747788192</v>
      </c>
      <c r="FE102" s="229">
        <v>17</v>
      </c>
      <c r="FF102" s="199" t="s">
        <v>183</v>
      </c>
      <c r="FG102" s="199"/>
      <c r="FH102" s="199"/>
      <c r="FI102" s="199"/>
      <c r="FJ102" s="93" t="s">
        <v>184</v>
      </c>
      <c r="FK102" s="47">
        <f>IF(FI70="Signalized",IF(FJ102="Channelized",(1-FF69/SUM(FF67:FF70))+FF69/SUM(FF67:FF70)*EXP(0.466),1),1)</f>
        <v>1.0798418771053517</v>
      </c>
      <c r="FL102" s="48">
        <f>IF(FI70="Signalized",IF(FJ102="Channelized",(1-FF69/SUM(FF67:FF70))+FF69/SUM(FF67:FF70)*EXP(0.465),1),1)</f>
        <v>1.079627639440955</v>
      </c>
      <c r="FM102" s="229">
        <v>17</v>
      </c>
      <c r="FN102" s="199" t="s">
        <v>183</v>
      </c>
      <c r="FO102" s="199"/>
      <c r="FP102" s="199"/>
      <c r="FQ102" s="199"/>
      <c r="FR102" s="93" t="s">
        <v>297</v>
      </c>
      <c r="FS102" s="47">
        <f>IF(FQ70="Signalized",IF(FR102="Channelized",(1-FN69/SUM(FN67:FN70))+FN69/SUM(FN67:FN70)*EXP(0.466),1),1)</f>
        <v>1</v>
      </c>
      <c r="FT102" s="48">
        <f>IF(FQ70="Signalized",IF(FR102="Channelized",(1-FN69/SUM(FN67:FN70))+FN69/SUM(FN67:FN70)*EXP(0.465),1),1)</f>
        <v>1</v>
      </c>
      <c r="FU102" s="229">
        <v>17</v>
      </c>
      <c r="FV102" s="199" t="s">
        <v>183</v>
      </c>
      <c r="FW102" s="199"/>
      <c r="FX102" s="199"/>
      <c r="FY102" s="199"/>
      <c r="FZ102" s="93" t="s">
        <v>297</v>
      </c>
      <c r="GA102" s="47">
        <f>IF(FY70="Signalized",IF(FZ102="Channelized",(1-FV69/SUM(FV67:FV70))+FV69/SUM(FV67:FV70)*EXP(0.466),1),1)</f>
        <v>1</v>
      </c>
      <c r="GB102" s="48">
        <f>IF(FY70="Signalized",IF(FZ102="Channelized",(1-FV69/SUM(FV67:FV70))+FV69/SUM(FV67:FV70)*EXP(0.465),1),1)</f>
        <v>1</v>
      </c>
      <c r="GC102" s="111">
        <v>5</v>
      </c>
      <c r="GD102" s="203" t="s">
        <v>258</v>
      </c>
      <c r="GE102" s="203"/>
      <c r="GF102" s="203"/>
      <c r="GG102" s="203"/>
      <c r="GH102" s="83" t="s">
        <v>129</v>
      </c>
      <c r="GI102" s="85">
        <f>IF(GH102="Present",0.83,1)</f>
        <v>1</v>
      </c>
      <c r="GJ102" s="85">
        <v>1</v>
      </c>
      <c r="GK102" s="111">
        <v>5</v>
      </c>
      <c r="GL102" s="203" t="s">
        <v>258</v>
      </c>
      <c r="GM102" s="203"/>
      <c r="GN102" s="203"/>
      <c r="GO102" s="203"/>
      <c r="GP102" s="83" t="s">
        <v>129</v>
      </c>
      <c r="GQ102" s="85">
        <f>IF(GP102="Present",0.83,1)</f>
        <v>1</v>
      </c>
      <c r="GR102" s="85">
        <v>1</v>
      </c>
      <c r="GS102" s="114">
        <v>5</v>
      </c>
      <c r="GT102" s="203" t="s">
        <v>258</v>
      </c>
      <c r="GU102" s="203"/>
      <c r="GV102" s="203"/>
      <c r="GW102" s="203"/>
      <c r="GX102" s="83" t="s">
        <v>129</v>
      </c>
      <c r="GY102" s="85">
        <f>IF(GX102="Present",0.83,1)</f>
        <v>1</v>
      </c>
      <c r="GZ102" s="85">
        <v>1</v>
      </c>
      <c r="HA102" s="114">
        <v>5</v>
      </c>
      <c r="HB102" s="203" t="s">
        <v>258</v>
      </c>
      <c r="HC102" s="203"/>
      <c r="HD102" s="203"/>
      <c r="HE102" s="203"/>
      <c r="HF102" s="83" t="s">
        <v>129</v>
      </c>
      <c r="HG102" s="85">
        <f>IF(HF102="Present",0.83,1)</f>
        <v>1</v>
      </c>
      <c r="HH102" s="85">
        <v>1</v>
      </c>
      <c r="HI102" s="114">
        <v>5</v>
      </c>
      <c r="HJ102" s="203" t="s">
        <v>258</v>
      </c>
      <c r="HK102" s="203"/>
      <c r="HL102" s="203"/>
      <c r="HM102" s="203"/>
      <c r="HN102" s="83" t="s">
        <v>129</v>
      </c>
      <c r="HO102" s="85">
        <f>IF(HN102="Present",0.83,1)</f>
        <v>1</v>
      </c>
      <c r="HP102" s="85">
        <v>1</v>
      </c>
    </row>
    <row r="103" spans="1:224" x14ac:dyDescent="0.25">
      <c r="A103" s="106">
        <v>8</v>
      </c>
      <c r="B103" s="223" t="s">
        <v>355</v>
      </c>
      <c r="C103" s="223"/>
      <c r="D103" s="223"/>
      <c r="E103" s="223"/>
      <c r="F103" s="60">
        <v>14</v>
      </c>
      <c r="G103" s="47">
        <f>EXP(-0.0647*(F103-10))</f>
        <v>0.77197740308580187</v>
      </c>
      <c r="H103" s="48">
        <f>EXP(0*(F103-10))</f>
        <v>1</v>
      </c>
      <c r="I103" s="106">
        <v>8</v>
      </c>
      <c r="J103" s="223" t="s">
        <v>355</v>
      </c>
      <c r="K103" s="223"/>
      <c r="L103" s="223"/>
      <c r="M103" s="223"/>
      <c r="N103" s="60">
        <v>14</v>
      </c>
      <c r="O103" s="47">
        <f>EXP(-0.0647*(N103-10))</f>
        <v>0.77197740308580187</v>
      </c>
      <c r="P103" s="48">
        <f>EXP(0*(N103-10))</f>
        <v>1</v>
      </c>
      <c r="Q103" s="106">
        <v>8</v>
      </c>
      <c r="R103" s="223" t="s">
        <v>355</v>
      </c>
      <c r="S103" s="223"/>
      <c r="T103" s="223"/>
      <c r="U103" s="223"/>
      <c r="V103" s="60">
        <v>14</v>
      </c>
      <c r="W103" s="47">
        <f>EXP(-0.0647*(V103-10))</f>
        <v>0.77197740308580187</v>
      </c>
      <c r="X103" s="48">
        <f>EXP(0*(V103-10))</f>
        <v>1</v>
      </c>
      <c r="Y103" s="107">
        <v>8</v>
      </c>
      <c r="Z103" s="223" t="s">
        <v>355</v>
      </c>
      <c r="AA103" s="223"/>
      <c r="AB103" s="223"/>
      <c r="AC103" s="223"/>
      <c r="AD103" s="60">
        <v>14</v>
      </c>
      <c r="AE103" s="47">
        <f>EXP(-0.0647*(AD103-10))</f>
        <v>0.77197740308580187</v>
      </c>
      <c r="AF103" s="48">
        <f>EXP(0*(AD103-10))</f>
        <v>1</v>
      </c>
      <c r="AG103" s="107">
        <v>8</v>
      </c>
      <c r="AH103" s="223" t="s">
        <v>355</v>
      </c>
      <c r="AI103" s="223"/>
      <c r="AJ103" s="223"/>
      <c r="AK103" s="223"/>
      <c r="AL103" s="60">
        <v>14</v>
      </c>
      <c r="AM103" s="47">
        <f>EXP(-0.0647*(AL103-10))</f>
        <v>0.77197740308580187</v>
      </c>
      <c r="AN103" s="48">
        <f>EXP(0*(AL103-10))</f>
        <v>1</v>
      </c>
      <c r="AO103" s="222"/>
      <c r="AP103" s="190"/>
      <c r="AQ103" s="190"/>
      <c r="AR103" s="14"/>
      <c r="AS103" s="14"/>
      <c r="AT103" s="19"/>
      <c r="AU103" s="19"/>
      <c r="AV103" s="25"/>
      <c r="AW103" s="222"/>
      <c r="AX103" s="190"/>
      <c r="AY103" s="190"/>
      <c r="AZ103" s="14"/>
      <c r="BA103" s="14"/>
      <c r="BB103" s="19"/>
      <c r="BC103" s="19"/>
      <c r="BD103" s="25"/>
      <c r="BE103" s="222"/>
      <c r="BF103" s="190"/>
      <c r="BG103" s="190"/>
      <c r="BH103" s="14"/>
      <c r="BI103" s="14"/>
      <c r="BJ103" s="19"/>
      <c r="BK103" s="19"/>
      <c r="BL103" s="25"/>
      <c r="BM103" s="222"/>
      <c r="BN103" s="190"/>
      <c r="BO103" s="190"/>
      <c r="BP103" s="14"/>
      <c r="BQ103" s="14"/>
      <c r="BR103" s="19"/>
      <c r="BS103" s="19"/>
      <c r="BT103" s="25"/>
      <c r="BU103" s="222"/>
      <c r="BV103" s="190"/>
      <c r="BW103" s="190"/>
      <c r="BX103" s="14"/>
      <c r="BY103" s="14"/>
      <c r="BZ103" s="19"/>
      <c r="CA103" s="19"/>
      <c r="CB103" s="25"/>
      <c r="CC103" s="222"/>
      <c r="CD103" s="190"/>
      <c r="CE103" s="190"/>
      <c r="CF103" s="14"/>
      <c r="CG103" s="14"/>
      <c r="CH103" s="19"/>
      <c r="CI103" s="19"/>
      <c r="CJ103" s="25"/>
      <c r="CK103" s="222"/>
      <c r="CL103" s="190"/>
      <c r="CM103" s="190"/>
      <c r="CN103" s="14"/>
      <c r="CO103" s="14"/>
      <c r="CP103" s="19"/>
      <c r="CQ103" s="19"/>
      <c r="CR103" s="25"/>
      <c r="CS103" s="222"/>
      <c r="CT103" s="190"/>
      <c r="CU103" s="190"/>
      <c r="CV103" s="14"/>
      <c r="CW103" s="14"/>
      <c r="CX103" s="19"/>
      <c r="CY103" s="19"/>
      <c r="CZ103" s="25"/>
      <c r="DA103" s="222"/>
      <c r="DB103" s="190"/>
      <c r="DC103" s="190"/>
      <c r="DD103" s="14"/>
      <c r="DE103" s="14"/>
      <c r="DF103" s="19"/>
      <c r="DG103" s="19"/>
      <c r="DH103" s="25"/>
      <c r="DI103" s="222"/>
      <c r="DJ103" s="190"/>
      <c r="DK103" s="190"/>
      <c r="DL103" s="14"/>
      <c r="DM103" s="14"/>
      <c r="DN103" s="19"/>
      <c r="DO103" s="19"/>
      <c r="DP103" s="25"/>
      <c r="DQ103" s="222"/>
      <c r="DR103" s="190"/>
      <c r="DS103" s="190"/>
      <c r="DT103" s="14"/>
      <c r="DU103" s="14"/>
      <c r="DV103" s="19"/>
      <c r="DW103" s="19"/>
      <c r="DX103" s="25"/>
      <c r="DY103" s="222"/>
      <c r="DZ103" s="190"/>
      <c r="EA103" s="190"/>
      <c r="EB103" s="14"/>
      <c r="EC103" s="14"/>
      <c r="ED103" s="19"/>
      <c r="EE103" s="19"/>
      <c r="EF103" s="25"/>
      <c r="EG103" s="229"/>
      <c r="EH103" s="199" t="s">
        <v>185</v>
      </c>
      <c r="EI103" s="199"/>
      <c r="EJ103" s="199"/>
      <c r="EK103" s="199"/>
      <c r="EL103" s="93" t="s">
        <v>184</v>
      </c>
      <c r="EM103" s="47">
        <f>IF(EK70="Signalized",IF(EL103="Channelized",(1-EH70/SUM(EH67:EH70))+EH70/SUM(EH67:EH70)*EXP(0.466),1),1)</f>
        <v>1.1728952425286849</v>
      </c>
      <c r="EN103" s="48">
        <f>IF(EK70="Signalized",IF(EL103="Channelized",(1-EH70/SUM(EH67:EH70))+EH70/SUM(EH67:EH70)*EXP(0.465),1),1)</f>
        <v>1.1724313171515828</v>
      </c>
      <c r="EO103" s="229"/>
      <c r="EP103" s="199" t="s">
        <v>185</v>
      </c>
      <c r="EQ103" s="199"/>
      <c r="ER103" s="199"/>
      <c r="ES103" s="199"/>
      <c r="ET103" s="93" t="s">
        <v>184</v>
      </c>
      <c r="EU103" s="47">
        <f>IF(ES70="Signalized",IF(ET103="Channelized",(1-EP70/SUM(EP67:EP70))+EP70/SUM(EP67:EP70)*EXP(0.466),1),1)</f>
        <v>1.3392039996277054</v>
      </c>
      <c r="EV103" s="48">
        <f>IF(ES70="Signalized",IF(ET103="Channelized",(1-EP70/SUM(EP67:EP70))+EP70/SUM(EP67:EP70)*EXP(0.465),1),1)</f>
        <v>1.3382938222212006</v>
      </c>
      <c r="EW103" s="229"/>
      <c r="EX103" s="199" t="s">
        <v>185</v>
      </c>
      <c r="EY103" s="199"/>
      <c r="EZ103" s="199"/>
      <c r="FA103" s="199"/>
      <c r="FB103" s="93" t="s">
        <v>184</v>
      </c>
      <c r="FC103" s="47">
        <f>IF(FA70="Signalized",IF(FB103="Channelized",(1-EX70/SUM(EX67:EX70))+EX70/SUM(EX67:EX70)*EXP(0.466),1),1)</f>
        <v>1.0286075662336618</v>
      </c>
      <c r="FD103" s="48">
        <f>IF(FA70="Signalized",IF(FB103="Channelized",(1-EX70/SUM(EX67:EX70))+EX70/SUM(EX67:EX70)*EXP(0.465),1),1)</f>
        <v>1.0285308042837156</v>
      </c>
      <c r="FE103" s="229"/>
      <c r="FF103" s="199" t="s">
        <v>185</v>
      </c>
      <c r="FG103" s="199"/>
      <c r="FH103" s="199"/>
      <c r="FI103" s="199"/>
      <c r="FJ103" s="93" t="s">
        <v>184</v>
      </c>
      <c r="FK103" s="47">
        <f>IF(FI70="Signalized",IF(FJ103="Channelized",(1-FF70/SUM(FF67:FF70))+FF70/SUM(FF67:FF70)*EXP(0.466),1),1)</f>
        <v>1.1365411811366886</v>
      </c>
      <c r="FL103" s="48">
        <f>IF(FI70="Signalized",IF(FJ103="Channelized",(1-FF70/SUM(FF67:FF70))+FF70/SUM(FF67:FF70)*EXP(0.465),1),1)</f>
        <v>1.1361748036816333</v>
      </c>
      <c r="FM103" s="229"/>
      <c r="FN103" s="199" t="s">
        <v>185</v>
      </c>
      <c r="FO103" s="199"/>
      <c r="FP103" s="199"/>
      <c r="FQ103" s="199"/>
      <c r="FR103" s="93" t="s">
        <v>184</v>
      </c>
      <c r="FS103" s="47">
        <f>IF(FQ70="Signalized",IF(FR103="Channelized",(1-FN70/SUM(FN67:FN70))+FN70/SUM(FN67:FN70)*EXP(0.466),1),1)</f>
        <v>1.2584411425734898</v>
      </c>
      <c r="FT103" s="48">
        <f>IF(FQ70="Signalized",IF(FR103="Channelized",(1-FN70/SUM(FN67:FN70))+FN70/SUM(FN67:FN70)*EXP(0.465),1),1)</f>
        <v>1.2577476740732956</v>
      </c>
      <c r="FU103" s="229"/>
      <c r="FV103" s="199" t="s">
        <v>185</v>
      </c>
      <c r="FW103" s="199"/>
      <c r="FX103" s="199"/>
      <c r="FY103" s="199"/>
      <c r="FZ103" s="93" t="s">
        <v>184</v>
      </c>
      <c r="GA103" s="47">
        <f>IF(FY70="Signalized",IF(FZ103="Channelized",(1-FV70/SUM(FV67:FV70))+FV70/SUM(FV67:FV70)*EXP(0.466),1),1)</f>
        <v>1.1994519517810907</v>
      </c>
      <c r="GB103" s="48">
        <f>IF(FY70="Signalized",IF(FZ103="Channelized",(1-FV70/SUM(FV67:FV70))+FV70/SUM(FV67:FV70)*EXP(0.465),1),1)</f>
        <v>1.1989167674660659</v>
      </c>
      <c r="GC103" s="111" t="s">
        <v>208</v>
      </c>
      <c r="GD103" s="203"/>
      <c r="GE103" s="203"/>
      <c r="GF103" s="203"/>
      <c r="GG103" s="203"/>
      <c r="GH103" s="83"/>
      <c r="GI103" s="85"/>
      <c r="GJ103" s="85"/>
      <c r="GK103" s="111" t="s">
        <v>208</v>
      </c>
      <c r="GL103" s="203"/>
      <c r="GM103" s="203"/>
      <c r="GN103" s="203"/>
      <c r="GO103" s="203"/>
      <c r="GP103" s="83"/>
      <c r="GQ103" s="85"/>
      <c r="GR103" s="85"/>
      <c r="GS103" s="114" t="s">
        <v>208</v>
      </c>
      <c r="GT103" s="203"/>
      <c r="GU103" s="203"/>
      <c r="GV103" s="203"/>
      <c r="GW103" s="203"/>
      <c r="GX103" s="83"/>
      <c r="GY103" s="85"/>
      <c r="GZ103" s="85"/>
      <c r="HA103" s="114" t="s">
        <v>208</v>
      </c>
      <c r="HB103" s="203"/>
      <c r="HC103" s="203"/>
      <c r="HD103" s="203"/>
      <c r="HE103" s="203"/>
      <c r="HF103" s="83"/>
      <c r="HG103" s="85"/>
      <c r="HH103" s="85"/>
      <c r="HI103" s="114" t="s">
        <v>208</v>
      </c>
      <c r="HJ103" s="203"/>
      <c r="HK103" s="203"/>
      <c r="HL103" s="203"/>
      <c r="HM103" s="203"/>
      <c r="HN103" s="83"/>
      <c r="HO103" s="85"/>
      <c r="HP103" s="85"/>
    </row>
    <row r="104" spans="1:224" x14ac:dyDescent="0.25">
      <c r="A104" s="106">
        <v>9</v>
      </c>
      <c r="B104" s="215" t="s">
        <v>210</v>
      </c>
      <c r="C104" s="216"/>
      <c r="D104" s="217"/>
      <c r="E104" s="65">
        <v>0</v>
      </c>
      <c r="F104" s="64">
        <v>0</v>
      </c>
      <c r="G104" s="47">
        <f>0.5*((1-E104)+E104*0.811)+0.5*((1-F104)+F104*0.811)</f>
        <v>1</v>
      </c>
      <c r="H104" s="48">
        <v>1</v>
      </c>
      <c r="I104" s="106">
        <v>9</v>
      </c>
      <c r="J104" s="215" t="s">
        <v>210</v>
      </c>
      <c r="K104" s="216"/>
      <c r="L104" s="217"/>
      <c r="M104" s="65">
        <v>0</v>
      </c>
      <c r="N104" s="64">
        <v>0</v>
      </c>
      <c r="O104" s="47">
        <f>0.5*((1-M104)+M104*0.811)+0.5*((1-N104)+N104*0.811)</f>
        <v>1</v>
      </c>
      <c r="P104" s="48">
        <v>1</v>
      </c>
      <c r="Q104" s="106">
        <v>9</v>
      </c>
      <c r="R104" s="215" t="s">
        <v>210</v>
      </c>
      <c r="S104" s="216"/>
      <c r="T104" s="217"/>
      <c r="U104" s="65">
        <v>0</v>
      </c>
      <c r="V104" s="64">
        <v>0</v>
      </c>
      <c r="W104" s="47">
        <f>0.5*((1-U104)+U104*0.811)+0.5*((1-V104)+V104*0.811)</f>
        <v>1</v>
      </c>
      <c r="X104" s="48">
        <v>1</v>
      </c>
      <c r="Y104" s="107">
        <v>9</v>
      </c>
      <c r="Z104" s="215" t="s">
        <v>210</v>
      </c>
      <c r="AA104" s="216"/>
      <c r="AB104" s="217"/>
      <c r="AC104" s="65">
        <v>0</v>
      </c>
      <c r="AD104" s="64">
        <v>0</v>
      </c>
      <c r="AE104" s="47">
        <f>0.5*((1-AC104)+AC104*0.811)+0.5*((1-AD104)+AD104*0.811)</f>
        <v>1</v>
      </c>
      <c r="AF104" s="48">
        <v>1</v>
      </c>
      <c r="AG104" s="107">
        <v>9</v>
      </c>
      <c r="AH104" s="215" t="s">
        <v>210</v>
      </c>
      <c r="AI104" s="216"/>
      <c r="AJ104" s="217"/>
      <c r="AK104" s="65">
        <v>0</v>
      </c>
      <c r="AL104" s="64">
        <v>0</v>
      </c>
      <c r="AM104" s="47">
        <f>0.5*((1-AK104)+AK104*0.811)+0.5*((1-AL104)+AL104*0.811)</f>
        <v>1</v>
      </c>
      <c r="AN104" s="48">
        <v>1</v>
      </c>
      <c r="AO104" s="24"/>
      <c r="AP104" s="14"/>
      <c r="AQ104" s="14"/>
      <c r="AR104" s="14"/>
      <c r="AS104" s="14"/>
      <c r="AT104" s="19"/>
      <c r="AU104" s="19"/>
      <c r="AV104" s="25"/>
      <c r="AW104" s="24"/>
      <c r="AX104" s="14"/>
      <c r="AY104" s="14"/>
      <c r="AZ104" s="14"/>
      <c r="BA104" s="14"/>
      <c r="BB104" s="19"/>
      <c r="BC104" s="19"/>
      <c r="BD104" s="25"/>
      <c r="BE104" s="24"/>
      <c r="BF104" s="14"/>
      <c r="BG104" s="14"/>
      <c r="BH104" s="14"/>
      <c r="BI104" s="14"/>
      <c r="BJ104" s="19"/>
      <c r="BK104" s="19"/>
      <c r="BL104" s="25"/>
      <c r="BM104" s="24"/>
      <c r="BN104" s="14"/>
      <c r="BO104" s="14"/>
      <c r="BP104" s="14"/>
      <c r="BQ104" s="14"/>
      <c r="BR104" s="19"/>
      <c r="BS104" s="19"/>
      <c r="BT104" s="25"/>
      <c r="BU104" s="24"/>
      <c r="BV104" s="14"/>
      <c r="BW104" s="14"/>
      <c r="BX104" s="14"/>
      <c r="BY104" s="14"/>
      <c r="BZ104" s="19"/>
      <c r="CA104" s="19"/>
      <c r="CB104" s="25"/>
      <c r="CC104" s="24"/>
      <c r="CD104" s="14"/>
      <c r="CE104" s="14"/>
      <c r="CF104" s="14"/>
      <c r="CG104" s="14"/>
      <c r="CH104" s="19"/>
      <c r="CI104" s="19"/>
      <c r="CJ104" s="25"/>
      <c r="CK104" s="24"/>
      <c r="CL104" s="14"/>
      <c r="CM104" s="14"/>
      <c r="CN104" s="14"/>
      <c r="CO104" s="14"/>
      <c r="CP104" s="19"/>
      <c r="CQ104" s="19"/>
      <c r="CR104" s="25"/>
      <c r="CS104" s="24"/>
      <c r="CT104" s="14"/>
      <c r="CU104" s="14"/>
      <c r="CV104" s="14"/>
      <c r="CW104" s="14"/>
      <c r="CX104" s="19"/>
      <c r="CY104" s="19"/>
      <c r="CZ104" s="25"/>
      <c r="DA104" s="24"/>
      <c r="DB104" s="14"/>
      <c r="DC104" s="14"/>
      <c r="DD104" s="14"/>
      <c r="DE104" s="14"/>
      <c r="DF104" s="19"/>
      <c r="DG104" s="19"/>
      <c r="DH104" s="25"/>
      <c r="DI104" s="24"/>
      <c r="DJ104" s="14"/>
      <c r="DK104" s="14"/>
      <c r="DL104" s="14"/>
      <c r="DM104" s="14"/>
      <c r="DN104" s="19"/>
      <c r="DO104" s="19"/>
      <c r="DP104" s="25"/>
      <c r="DQ104" s="24"/>
      <c r="DR104" s="14"/>
      <c r="DS104" s="14"/>
      <c r="DT104" s="14"/>
      <c r="DU104" s="14"/>
      <c r="DV104" s="19"/>
      <c r="DW104" s="19"/>
      <c r="DX104" s="25"/>
      <c r="DY104" s="24"/>
      <c r="DZ104" s="14"/>
      <c r="EA104" s="14"/>
      <c r="EB104" s="14"/>
      <c r="EC104" s="14"/>
      <c r="ED104" s="19"/>
      <c r="EE104" s="19"/>
      <c r="EF104" s="25"/>
      <c r="EG104" s="45">
        <v>18</v>
      </c>
      <c r="EH104" s="199" t="s">
        <v>186</v>
      </c>
      <c r="EI104" s="199"/>
      <c r="EJ104" s="199"/>
      <c r="EK104" s="199"/>
      <c r="EL104" s="93" t="s">
        <v>184</v>
      </c>
      <c r="EM104" s="47">
        <f>IF(EK70="Signalized",IF(EL104="Channelized",(1-EH67/SUM(EH67:EH70))+EH67/SUM(EH67:EH70)*EXP(0.992),1),1)</f>
        <v>1.218254813955606</v>
      </c>
      <c r="EN104" s="48">
        <f>IF(EK70="Signalized",IF(EL104="Channelized",(1-EH67/SUM(EH67:EH70))+EH67/SUM(EH67:EH70)*EXP(1.429),1),1)</f>
        <v>1.4083730505179273</v>
      </c>
      <c r="EO104" s="45">
        <v>18</v>
      </c>
      <c r="EP104" s="199" t="s">
        <v>186</v>
      </c>
      <c r="EQ104" s="199"/>
      <c r="ER104" s="199"/>
      <c r="ES104" s="199"/>
      <c r="ET104" s="93" t="s">
        <v>184</v>
      </c>
      <c r="EU104" s="47">
        <f>IF(ES70="Signalized",IF(ET104="Channelized",(1-EP67/SUM(EP67:EP70))+EP67/SUM(EP67:EP70)*EXP(0.992),1),1)</f>
        <v>1.2255137751885372</v>
      </c>
      <c r="EV104" s="48">
        <f>IF(ES70="Signalized",IF(ET104="Channelized",(1-EP67/SUM(EP67:EP70))+EP67/SUM(EP67:EP70)*EXP(1.429),1),1)</f>
        <v>1.4219551754138595</v>
      </c>
      <c r="EW104" s="45">
        <v>18</v>
      </c>
      <c r="EX104" s="199" t="s">
        <v>186</v>
      </c>
      <c r="EY104" s="199"/>
      <c r="EZ104" s="199"/>
      <c r="FA104" s="199"/>
      <c r="FB104" s="93" t="s">
        <v>297</v>
      </c>
      <c r="FC104" s="47">
        <f>IF(FA70="Signalized",IF(FB104="Channelized",(1-EX67/SUM(EX67:EX70))+EX67/SUM(EX67:EX70)*EXP(0.992),1),1)</f>
        <v>1</v>
      </c>
      <c r="FD104" s="48">
        <f>IF(FA70="Signalized",IF(FB104="Channelized",(1-EX67/SUM(EX67:EX70))+EX67/SUM(EX67:EX70)*EXP(1.429),1),1)</f>
        <v>1</v>
      </c>
      <c r="FE104" s="45">
        <v>18</v>
      </c>
      <c r="FF104" s="199" t="s">
        <v>186</v>
      </c>
      <c r="FG104" s="199"/>
      <c r="FH104" s="199"/>
      <c r="FI104" s="199"/>
      <c r="FJ104" s="93" t="s">
        <v>297</v>
      </c>
      <c r="FK104" s="47">
        <f>IF(FI70="Signalized",IF(FJ104="Channelized",(1-FF67/SUM(FF67:FF70))+FF67/SUM(FF67:FF70)*EXP(0.992),1),1)</f>
        <v>1</v>
      </c>
      <c r="FL104" s="48">
        <f>IF(FI70="Signalized",IF(FJ104="Channelized",(1-FF67/SUM(FF67:FF70))+FF67/SUM(FF67:FF70)*EXP(1.429),1),1)</f>
        <v>1</v>
      </c>
      <c r="FM104" s="45">
        <v>18</v>
      </c>
      <c r="FN104" s="199" t="s">
        <v>186</v>
      </c>
      <c r="FO104" s="199"/>
      <c r="FP104" s="199"/>
      <c r="FQ104" s="199"/>
      <c r="FR104" s="93" t="s">
        <v>184</v>
      </c>
      <c r="FS104" s="47">
        <f>IF(FQ70="Signalized",IF(FR104="Channelized",(1-FN67/SUM(FN67:FN70))+FN67/SUM(FN67:FN70)*EXP(0.992),1),1)</f>
        <v>1.1661997381896829</v>
      </c>
      <c r="FT104" s="48">
        <f>IF(FQ70="Signalized",IF(FR104="Channelized",(1-FN67/SUM(FN67:FN70))+FN67/SUM(FN67:FN70)*EXP(1.429),1),1)</f>
        <v>1.3109736406254344</v>
      </c>
      <c r="FU104" s="45">
        <v>18</v>
      </c>
      <c r="FV104" s="199" t="s">
        <v>186</v>
      </c>
      <c r="FW104" s="199"/>
      <c r="FX104" s="199"/>
      <c r="FY104" s="199"/>
      <c r="FZ104" s="93" t="s">
        <v>184</v>
      </c>
      <c r="GA104" s="47">
        <f>IF(FY70="Signalized",IF(FZ104="Channelized",(1-FV67/SUM(FV67:FV70))+FV67/SUM(FV67:FV70)*EXP(0.992),1),1)</f>
        <v>1.2117384664536561</v>
      </c>
      <c r="GB104" s="48">
        <f>IF(FY70="Signalized",IF(FZ104="Channelized",(1-FV67/SUM(FV67:FV70))+FV67/SUM(FV67:FV70)*EXP(1.429),1),1)</f>
        <v>1.3961804181568034</v>
      </c>
      <c r="GC104" s="45"/>
      <c r="GD104" s="14"/>
      <c r="GE104" s="14"/>
      <c r="GF104" s="14"/>
      <c r="GG104" s="14"/>
      <c r="GH104" s="19"/>
      <c r="GI104" s="18">
        <f>IF(GI98=0,1,GI98)*IF(GI99=0,1,GI99)*IF(GI100=0,1,GI100)*IF(GI101=0,1,GI101)*IF(GI102=0,1,GI102)*IF(GI103=0,1,GI103)</f>
        <v>0.94912926842879997</v>
      </c>
      <c r="GJ104" s="33">
        <f>IF(GJ98=0,1,GJ98)*IF(GJ99=0,1,GJ99)*IF(GJ100=0,1,GJ100)*IF(GJ101=0,1,GJ101)*IF(GJ102=0,1,GJ102)*IF(GJ103=0,1,GJ103)</f>
        <v>0.94912926842879997</v>
      </c>
      <c r="GK104" s="45"/>
      <c r="GL104" s="14"/>
      <c r="GM104" s="14"/>
      <c r="GN104" s="14"/>
      <c r="GO104" s="14"/>
      <c r="GP104" s="19"/>
      <c r="GQ104" s="18">
        <f>IF(GQ98=0,1,GQ98)*IF(GQ99=0,1,GQ99)*IF(GQ100=0,1,GQ100)*IF(GQ101=0,1,GQ101)*IF(GQ102=0,1,GQ102)*IF(GQ103=0,1,GQ103)</f>
        <v>0.92805200860799975</v>
      </c>
      <c r="GR104" s="33">
        <f>IF(GR98=0,1,GR98)*IF(GR99=0,1,GR99)*IF(GR100=0,1,GR100)*IF(GR101=0,1,GR101)*IF(GR102=0,1,GR102)*IF(GR103=0,1,GR103)</f>
        <v>0.92805200860799975</v>
      </c>
      <c r="GS104" s="45"/>
      <c r="GT104" s="14"/>
      <c r="GU104" s="14"/>
      <c r="GV104" s="14"/>
      <c r="GW104" s="14"/>
      <c r="GX104" s="19"/>
      <c r="GY104" s="18">
        <f>IF(GY98=0,1,GY98)*IF(GY99=0,1,GY99)*IF(GY100=0,1,GY100)*IF(GY101=0,1,GY101)*IF(GY102=0,1,GY102)*IF(GY103=0,1,GY103)</f>
        <v>0.94912926842879997</v>
      </c>
      <c r="GZ104" s="33">
        <f>IF(GZ98=0,1,GZ98)*IF(GZ99=0,1,GZ99)*IF(GZ100=0,1,GZ100)*IF(GZ101=0,1,GZ101)*IF(GZ102=0,1,GZ102)*IF(GZ103=0,1,GZ103)</f>
        <v>0.94912926842879997</v>
      </c>
      <c r="HA104" s="45"/>
      <c r="HB104" s="14"/>
      <c r="HC104" s="14"/>
      <c r="HD104" s="14"/>
      <c r="HE104" s="14"/>
      <c r="HF104" s="19"/>
      <c r="HG104" s="18">
        <f>IF(HG98=0,1,HG98)*IF(HG99=0,1,HG99)*IF(HG100=0,1,HG100)*IF(HG101=0,1,HG101)*IF(HG102=0,1,HG102)*IF(HG103=0,1,HG103)</f>
        <v>0.9452143655423999</v>
      </c>
      <c r="HH104" s="33">
        <f>IF(HH98=0,1,HH98)*IF(HH99=0,1,HH99)*IF(HH100=0,1,HH100)*IF(HH101=0,1,HH101)*IF(HH102=0,1,HH102)*IF(HH103=0,1,HH103)</f>
        <v>0.9452143655423999</v>
      </c>
      <c r="HI104" s="45"/>
      <c r="HJ104" s="14"/>
      <c r="HK104" s="14"/>
      <c r="HL104" s="14"/>
      <c r="HM104" s="14"/>
      <c r="HN104" s="19"/>
      <c r="HO104" s="18">
        <f>IF(HO98=0,1,HO98)*IF(HO99=0,1,HO99)*IF(HO100=0,1,HO100)*IF(HO101=0,1,HO101)*IF(HO102=0,1,HO102)*IF(HO103=0,1,HO103)</f>
        <v>0.9452143655423999</v>
      </c>
      <c r="HP104" s="33">
        <f>IF(HP98=0,1,HP98)*IF(HP99=0,1,HP99)*IF(HP100=0,1,HP100)*IF(HP101=0,1,HP101)*IF(HP102=0,1,HP102)*IF(HP103=0,1,HP103)</f>
        <v>0.9452143655423999</v>
      </c>
    </row>
    <row r="105" spans="1:224" x14ac:dyDescent="0.25">
      <c r="A105" s="106">
        <v>10</v>
      </c>
      <c r="B105" s="215" t="s">
        <v>211</v>
      </c>
      <c r="C105" s="217"/>
      <c r="D105" s="59">
        <v>0.5</v>
      </c>
      <c r="E105" s="66">
        <v>76</v>
      </c>
      <c r="F105" s="67">
        <v>62</v>
      </c>
      <c r="G105" s="47">
        <f>(1-D105)*EXP(-0.00451*(E105-F105-20))+D105*EXP(-0.00451*(F105-20))</f>
        <v>0.9274341780217128</v>
      </c>
      <c r="H105" s="48">
        <v>1</v>
      </c>
      <c r="I105" s="106">
        <v>10</v>
      </c>
      <c r="J105" s="215" t="s">
        <v>211</v>
      </c>
      <c r="K105" s="217"/>
      <c r="L105" s="59">
        <v>0.5</v>
      </c>
      <c r="M105" s="66">
        <v>76</v>
      </c>
      <c r="N105" s="67">
        <v>62</v>
      </c>
      <c r="O105" s="47">
        <f>(1-L105)*EXP(-0.00451*(M105-N105-20))+L105*EXP(-0.00451*(N105-20))</f>
        <v>0.9274341780217128</v>
      </c>
      <c r="P105" s="48">
        <v>1</v>
      </c>
      <c r="Q105" s="106">
        <v>10</v>
      </c>
      <c r="R105" s="215" t="s">
        <v>211</v>
      </c>
      <c r="S105" s="217"/>
      <c r="T105" s="59">
        <v>0.5</v>
      </c>
      <c r="U105" s="66">
        <v>76</v>
      </c>
      <c r="V105" s="67">
        <v>62</v>
      </c>
      <c r="W105" s="47">
        <f>(1-T105)*EXP(-0.00451*(U105-V105-20))+T105*EXP(-0.00451*(V105-20))</f>
        <v>0.9274341780217128</v>
      </c>
      <c r="X105" s="48">
        <v>1</v>
      </c>
      <c r="Y105" s="107">
        <v>10</v>
      </c>
      <c r="Z105" s="215" t="s">
        <v>211</v>
      </c>
      <c r="AA105" s="217"/>
      <c r="AB105" s="59">
        <v>0.5</v>
      </c>
      <c r="AC105" s="66">
        <v>76</v>
      </c>
      <c r="AD105" s="67">
        <v>62</v>
      </c>
      <c r="AE105" s="47">
        <f>(1-AB105)*EXP(-0.00451*(AC105-AD105-20))+AB105*EXP(-0.00451*(AD105-20))</f>
        <v>0.9274341780217128</v>
      </c>
      <c r="AF105" s="48">
        <v>1</v>
      </c>
      <c r="AG105" s="107">
        <v>10</v>
      </c>
      <c r="AH105" s="215" t="s">
        <v>211</v>
      </c>
      <c r="AI105" s="217"/>
      <c r="AJ105" s="59">
        <v>0.5</v>
      </c>
      <c r="AK105" s="66">
        <v>76</v>
      </c>
      <c r="AL105" s="67">
        <v>62</v>
      </c>
      <c r="AM105" s="47">
        <f>(1-AJ105)*EXP(-0.00451*(AK105-AL105-20))+AJ105*EXP(-0.00451*(AL105-20))</f>
        <v>0.9274341780217128</v>
      </c>
      <c r="AN105" s="48">
        <v>1</v>
      </c>
      <c r="AO105" s="116"/>
      <c r="AP105" s="112"/>
      <c r="AQ105" s="14"/>
      <c r="AR105" s="14"/>
      <c r="AS105" s="14"/>
      <c r="AT105" s="14"/>
      <c r="AU105" s="14"/>
      <c r="AV105" s="25"/>
      <c r="AW105" s="116"/>
      <c r="AX105" s="112"/>
      <c r="AY105" s="14"/>
      <c r="AZ105" s="14"/>
      <c r="BA105" s="14"/>
      <c r="BB105" s="14"/>
      <c r="BC105" s="14"/>
      <c r="BD105" s="25"/>
      <c r="BE105" s="116"/>
      <c r="BF105" s="112"/>
      <c r="BG105" s="14"/>
      <c r="BH105" s="14"/>
      <c r="BI105" s="14"/>
      <c r="BJ105" s="14"/>
      <c r="BK105" s="14"/>
      <c r="BL105" s="25"/>
      <c r="BM105" s="116"/>
      <c r="BN105" s="112"/>
      <c r="BO105" s="14"/>
      <c r="BP105" s="14"/>
      <c r="BQ105" s="14"/>
      <c r="BR105" s="14"/>
      <c r="BS105" s="14"/>
      <c r="BT105" s="25"/>
      <c r="BU105" s="116"/>
      <c r="BV105" s="112"/>
      <c r="BW105" s="14"/>
      <c r="BX105" s="14"/>
      <c r="BY105" s="14"/>
      <c r="BZ105" s="14"/>
      <c r="CA105" s="14"/>
      <c r="CB105" s="25"/>
      <c r="CC105" s="116"/>
      <c r="CD105" s="112"/>
      <c r="CE105" s="14"/>
      <c r="CF105" s="14"/>
      <c r="CG105" s="14"/>
      <c r="CH105" s="14"/>
      <c r="CI105" s="14"/>
      <c r="CJ105" s="25"/>
      <c r="CK105" s="116"/>
      <c r="CL105" s="112"/>
      <c r="CM105" s="14"/>
      <c r="CN105" s="14"/>
      <c r="CO105" s="14"/>
      <c r="CP105" s="14"/>
      <c r="CQ105" s="14"/>
      <c r="CR105" s="25"/>
      <c r="CS105" s="116"/>
      <c r="CT105" s="112"/>
      <c r="CU105" s="14"/>
      <c r="CV105" s="14"/>
      <c r="CW105" s="14"/>
      <c r="CX105" s="14"/>
      <c r="CY105" s="14"/>
      <c r="CZ105" s="25"/>
      <c r="DA105" s="116"/>
      <c r="DB105" s="112"/>
      <c r="DC105" s="14"/>
      <c r="DD105" s="14"/>
      <c r="DE105" s="14"/>
      <c r="DF105" s="14"/>
      <c r="DG105" s="14"/>
      <c r="DH105" s="25"/>
      <c r="DI105" s="116"/>
      <c r="DJ105" s="112"/>
      <c r="DK105" s="14"/>
      <c r="DL105" s="14"/>
      <c r="DM105" s="14"/>
      <c r="DN105" s="14"/>
      <c r="DO105" s="14"/>
      <c r="DP105" s="25"/>
      <c r="DQ105" s="116"/>
      <c r="DR105" s="112"/>
      <c r="DS105" s="14"/>
      <c r="DT105" s="14"/>
      <c r="DU105" s="14"/>
      <c r="DV105" s="14"/>
      <c r="DW105" s="14"/>
      <c r="DX105" s="25"/>
      <c r="DY105" s="116"/>
      <c r="DZ105" s="112"/>
      <c r="EA105" s="14"/>
      <c r="EB105" s="14"/>
      <c r="EC105" s="14"/>
      <c r="ED105" s="14"/>
      <c r="EE105" s="14"/>
      <c r="EF105" s="25"/>
      <c r="EG105" s="45">
        <v>19</v>
      </c>
      <c r="EH105" s="199" t="s">
        <v>187</v>
      </c>
      <c r="EI105" s="199"/>
      <c r="EJ105" s="199"/>
      <c r="EK105" s="199"/>
      <c r="EL105" s="118" t="s">
        <v>128</v>
      </c>
      <c r="EM105" s="47">
        <f>IF(EK70="signalized",IF(EL105="Present",EXP(0.592),1),1)</f>
        <v>1.8076000026120045</v>
      </c>
      <c r="EN105" s="48">
        <f>IF(EK70="signalized",IF(EL105="Present",EXP(0.52),1),1)</f>
        <v>1.6820276496988864</v>
      </c>
      <c r="EO105" s="45">
        <v>19</v>
      </c>
      <c r="EP105" s="199" t="s">
        <v>187</v>
      </c>
      <c r="EQ105" s="199"/>
      <c r="ER105" s="199"/>
      <c r="ES105" s="199"/>
      <c r="ET105" s="118" t="s">
        <v>128</v>
      </c>
      <c r="EU105" s="47">
        <f>IF(ES70="signalized",IF(ET105="Present",EXP(0.592),1),1)</f>
        <v>1.8076000026120045</v>
      </c>
      <c r="EV105" s="48">
        <f>IF(ES70="signalized",IF(ET105="Present",EXP(0.52),1),1)</f>
        <v>1.6820276496988864</v>
      </c>
      <c r="EW105" s="45">
        <v>19</v>
      </c>
      <c r="EX105" s="199" t="s">
        <v>187</v>
      </c>
      <c r="EY105" s="199"/>
      <c r="EZ105" s="199"/>
      <c r="FA105" s="199"/>
      <c r="FB105" s="118" t="s">
        <v>128</v>
      </c>
      <c r="FC105" s="47">
        <f>IF(FA70="signalized",IF(FB105="Present",EXP(0.592),1),1)</f>
        <v>1.8076000026120045</v>
      </c>
      <c r="FD105" s="48">
        <f>IF(FA70="signalized",IF(FB105="Present",EXP(0.52),1),1)</f>
        <v>1.6820276496988864</v>
      </c>
      <c r="FE105" s="45">
        <v>19</v>
      </c>
      <c r="FF105" s="199" t="s">
        <v>187</v>
      </c>
      <c r="FG105" s="199"/>
      <c r="FH105" s="199"/>
      <c r="FI105" s="199"/>
      <c r="FJ105" s="118" t="s">
        <v>128</v>
      </c>
      <c r="FK105" s="47">
        <f>IF(FI70="signalized",IF(FJ105="Present",EXP(0.592),1),1)</f>
        <v>1.8076000026120045</v>
      </c>
      <c r="FL105" s="48">
        <f>IF(FI70="signalized",IF(FJ105="Present",EXP(0.52),1),1)</f>
        <v>1.6820276496988864</v>
      </c>
      <c r="FM105" s="45">
        <v>19</v>
      </c>
      <c r="FN105" s="199" t="s">
        <v>187</v>
      </c>
      <c r="FO105" s="199"/>
      <c r="FP105" s="199"/>
      <c r="FQ105" s="199"/>
      <c r="FR105" s="118" t="s">
        <v>129</v>
      </c>
      <c r="FS105" s="47">
        <f>IF(FQ70="signalized",IF(FR105="Present",EXP(0.592),1),1)</f>
        <v>1</v>
      </c>
      <c r="FT105" s="48">
        <f>IF(FQ70="signalized",IF(FR105="Present",EXP(0.52),1),1)</f>
        <v>1</v>
      </c>
      <c r="FU105" s="45">
        <v>19</v>
      </c>
      <c r="FV105" s="199" t="s">
        <v>187</v>
      </c>
      <c r="FW105" s="199"/>
      <c r="FX105" s="199"/>
      <c r="FY105" s="199"/>
      <c r="FZ105" s="118" t="s">
        <v>129</v>
      </c>
      <c r="GA105" s="47">
        <f>IF(FY70="signalized",IF(FZ105="Present",EXP(0.592),1),1)</f>
        <v>1</v>
      </c>
      <c r="GB105" s="48">
        <f>IF(FY70="signalized",IF(FZ105="Present",EXP(0.52),1),1)</f>
        <v>1</v>
      </c>
      <c r="GC105" s="24"/>
      <c r="GD105" s="14"/>
      <c r="GE105" s="14"/>
      <c r="GF105" s="14"/>
      <c r="GG105" s="14"/>
      <c r="GH105" s="19"/>
      <c r="GI105" s="19"/>
      <c r="GJ105" s="25"/>
      <c r="GK105" s="24"/>
      <c r="GL105" s="14"/>
      <c r="GM105" s="14"/>
      <c r="GN105" s="14"/>
      <c r="GO105" s="14"/>
      <c r="GP105" s="19"/>
      <c r="GQ105" s="19"/>
      <c r="GR105" s="25"/>
      <c r="GS105" s="24"/>
      <c r="GT105" s="14"/>
      <c r="GU105" s="14"/>
      <c r="GV105" s="14"/>
      <c r="GW105" s="14"/>
      <c r="GX105" s="19"/>
      <c r="GY105" s="19"/>
      <c r="GZ105" s="25"/>
      <c r="HA105" s="24"/>
      <c r="HB105" s="14"/>
      <c r="HC105" s="14"/>
      <c r="HD105" s="14"/>
      <c r="HE105" s="14"/>
      <c r="HF105" s="19"/>
      <c r="HG105" s="19"/>
      <c r="HH105" s="25"/>
      <c r="HI105" s="24"/>
      <c r="HJ105" s="14"/>
      <c r="HK105" s="14"/>
      <c r="HL105" s="14"/>
      <c r="HM105" s="14"/>
      <c r="HN105" s="19"/>
      <c r="HO105" s="19"/>
      <c r="HP105" s="25"/>
    </row>
    <row r="106" spans="1:224" x14ac:dyDescent="0.25">
      <c r="A106" s="106">
        <v>11</v>
      </c>
      <c r="B106" s="215" t="s">
        <v>212</v>
      </c>
      <c r="C106" s="216"/>
      <c r="D106" s="217"/>
      <c r="E106" s="59">
        <v>0</v>
      </c>
      <c r="F106" s="61">
        <v>13</v>
      </c>
      <c r="G106" s="47">
        <f>(1-E106)+E106*EXP(0.131/F106)</f>
        <v>1</v>
      </c>
      <c r="H106" s="48">
        <f>(1-E106)+E106*EXP(0.169/F106)</f>
        <v>1</v>
      </c>
      <c r="I106" s="106">
        <v>11</v>
      </c>
      <c r="J106" s="215" t="s">
        <v>212</v>
      </c>
      <c r="K106" s="216"/>
      <c r="L106" s="217"/>
      <c r="M106" s="59">
        <v>0</v>
      </c>
      <c r="N106" s="61">
        <v>13</v>
      </c>
      <c r="O106" s="47">
        <f>(1-M106)+M106*EXP(0.131/N106)</f>
        <v>1</v>
      </c>
      <c r="P106" s="48">
        <f>(1-M106)+M106*EXP(0.169/N106)</f>
        <v>1</v>
      </c>
      <c r="Q106" s="106">
        <v>11</v>
      </c>
      <c r="R106" s="215" t="s">
        <v>212</v>
      </c>
      <c r="S106" s="216"/>
      <c r="T106" s="217"/>
      <c r="U106" s="59">
        <v>0</v>
      </c>
      <c r="V106" s="61">
        <v>13</v>
      </c>
      <c r="W106" s="47">
        <f>(1-U106)+U106*EXP(0.131/V106)</f>
        <v>1</v>
      </c>
      <c r="X106" s="48">
        <f>(1-U106)+U106*EXP(0.169/V106)</f>
        <v>1</v>
      </c>
      <c r="Y106" s="107">
        <v>11</v>
      </c>
      <c r="Z106" s="215" t="s">
        <v>212</v>
      </c>
      <c r="AA106" s="216"/>
      <c r="AB106" s="217"/>
      <c r="AC106" s="59">
        <v>0</v>
      </c>
      <c r="AD106" s="61">
        <v>13</v>
      </c>
      <c r="AE106" s="47">
        <f>(1-AC106)+AC106*EXP(0.131/AD106)</f>
        <v>1</v>
      </c>
      <c r="AF106" s="48">
        <f>(1-AC106)+AC106*EXP(0.169/AD106)</f>
        <v>1</v>
      </c>
      <c r="AG106" s="107">
        <v>11</v>
      </c>
      <c r="AH106" s="215" t="s">
        <v>212</v>
      </c>
      <c r="AI106" s="216"/>
      <c r="AJ106" s="217"/>
      <c r="AK106" s="59">
        <v>0.5</v>
      </c>
      <c r="AL106" s="61">
        <v>13</v>
      </c>
      <c r="AM106" s="47">
        <f>(1-AK106)+AK106*EXP(0.131/AL106)</f>
        <v>1.0050639331196289</v>
      </c>
      <c r="AN106" s="48">
        <f>(1-AK106)+AK106*EXP(0.169/AL106)</f>
        <v>1.0065424336799045</v>
      </c>
      <c r="AO106" s="24"/>
      <c r="AP106" s="14"/>
      <c r="AQ106" s="14"/>
      <c r="AR106" s="14"/>
      <c r="AS106" s="14"/>
      <c r="AT106" s="14"/>
      <c r="AU106" s="14"/>
      <c r="AV106" s="25"/>
      <c r="AW106" s="24"/>
      <c r="AX106" s="14"/>
      <c r="AY106" s="14"/>
      <c r="AZ106" s="14"/>
      <c r="BA106" s="14"/>
      <c r="BB106" s="14"/>
      <c r="BC106" s="14"/>
      <c r="BD106" s="25"/>
      <c r="BE106" s="24"/>
      <c r="BF106" s="14"/>
      <c r="BG106" s="14"/>
      <c r="BH106" s="14"/>
      <c r="BI106" s="14"/>
      <c r="BJ106" s="14"/>
      <c r="BK106" s="14"/>
      <c r="BL106" s="25"/>
      <c r="BM106" s="24"/>
      <c r="BN106" s="14"/>
      <c r="BO106" s="14"/>
      <c r="BP106" s="14"/>
      <c r="BQ106" s="14"/>
      <c r="BR106" s="14"/>
      <c r="BS106" s="14"/>
      <c r="BT106" s="25"/>
      <c r="BU106" s="24"/>
      <c r="BV106" s="14"/>
      <c r="BW106" s="14"/>
      <c r="BX106" s="14"/>
      <c r="BY106" s="14"/>
      <c r="BZ106" s="14"/>
      <c r="CA106" s="14"/>
      <c r="CB106" s="25"/>
      <c r="CC106" s="24"/>
      <c r="CD106" s="14"/>
      <c r="CE106" s="14"/>
      <c r="CF106" s="14"/>
      <c r="CG106" s="14"/>
      <c r="CH106" s="14"/>
      <c r="CI106" s="14"/>
      <c r="CJ106" s="25"/>
      <c r="CK106" s="24"/>
      <c r="CL106" s="14"/>
      <c r="CM106" s="14"/>
      <c r="CN106" s="14"/>
      <c r="CO106" s="14"/>
      <c r="CP106" s="14"/>
      <c r="CQ106" s="14"/>
      <c r="CR106" s="25"/>
      <c r="CS106" s="24"/>
      <c r="CT106" s="14"/>
      <c r="CU106" s="14"/>
      <c r="CV106" s="14"/>
      <c r="CW106" s="14"/>
      <c r="CX106" s="14"/>
      <c r="CY106" s="14"/>
      <c r="CZ106" s="25"/>
      <c r="DA106" s="24"/>
      <c r="DB106" s="14"/>
      <c r="DC106" s="14"/>
      <c r="DD106" s="14"/>
      <c r="DE106" s="14"/>
      <c r="DF106" s="14"/>
      <c r="DG106" s="14"/>
      <c r="DH106" s="25"/>
      <c r="DI106" s="24"/>
      <c r="DJ106" s="14"/>
      <c r="DK106" s="14"/>
      <c r="DL106" s="14"/>
      <c r="DM106" s="14"/>
      <c r="DN106" s="14"/>
      <c r="DO106" s="14"/>
      <c r="DP106" s="25"/>
      <c r="DQ106" s="24"/>
      <c r="DR106" s="14"/>
      <c r="DS106" s="14"/>
      <c r="DT106" s="14"/>
      <c r="DU106" s="14"/>
      <c r="DV106" s="14"/>
      <c r="DW106" s="14"/>
      <c r="DX106" s="25"/>
      <c r="DY106" s="24"/>
      <c r="DZ106" s="14"/>
      <c r="EA106" s="14"/>
      <c r="EB106" s="14"/>
      <c r="EC106" s="14"/>
      <c r="ED106" s="14"/>
      <c r="EE106" s="14"/>
      <c r="EF106" s="25"/>
      <c r="EG106" s="45">
        <v>20</v>
      </c>
      <c r="EH106" s="199" t="s">
        <v>188</v>
      </c>
      <c r="EI106" s="199"/>
      <c r="EJ106" s="199"/>
      <c r="EK106" s="199"/>
      <c r="EL106" s="95">
        <v>20</v>
      </c>
      <c r="EM106" s="47">
        <f>IF(EK70="Signalized",1,(1-EH67/SUM(EH67:EH70)+EH67/SUM(EH67:EH70)*EXP(0.341*SIN(EL106)*0.001*EH67)))</f>
        <v>1</v>
      </c>
      <c r="EN106" s="48">
        <v>1</v>
      </c>
      <c r="EO106" s="45">
        <v>20</v>
      </c>
      <c r="EP106" s="199" t="s">
        <v>188</v>
      </c>
      <c r="EQ106" s="199"/>
      <c r="ER106" s="199"/>
      <c r="ES106" s="199"/>
      <c r="ET106" s="95">
        <v>20</v>
      </c>
      <c r="EU106" s="47">
        <f>IF(ES70="Signalized",1,(1-EP67/SUM(EP67:EP70)+EP67/SUM(EP67:EP70)*EXP(0.341*SIN(ET106)*0.001*EP67)))</f>
        <v>1</v>
      </c>
      <c r="EV106" s="48">
        <v>1</v>
      </c>
      <c r="EW106" s="45">
        <v>20</v>
      </c>
      <c r="EX106" s="199" t="s">
        <v>188</v>
      </c>
      <c r="EY106" s="199"/>
      <c r="EZ106" s="199"/>
      <c r="FA106" s="199"/>
      <c r="FB106" s="95">
        <v>70</v>
      </c>
      <c r="FC106" s="47">
        <f>IF(FA70="Signalized",1,(1-EX67/SUM(EX67:EX70)+EX67/SUM(EX67:EX70)*EXP(0.341*SIN(FB106)*0.001*EX67)))</f>
        <v>1</v>
      </c>
      <c r="FD106" s="48">
        <v>1</v>
      </c>
      <c r="FE106" s="45">
        <v>20</v>
      </c>
      <c r="FF106" s="199" t="s">
        <v>188</v>
      </c>
      <c r="FG106" s="199"/>
      <c r="FH106" s="199"/>
      <c r="FI106" s="199"/>
      <c r="FJ106" s="95">
        <v>70</v>
      </c>
      <c r="FK106" s="47">
        <f>IF(FI70="Signalized",1,(1-FF67/SUM(FF67:FF70)+FF67/SUM(FF67:FF70)*EXP(0.341*SIN(FJ106)*0.001*FF67)))</f>
        <v>1</v>
      </c>
      <c r="FL106" s="48">
        <v>1</v>
      </c>
      <c r="FM106" s="45">
        <v>20</v>
      </c>
      <c r="FN106" s="199" t="s">
        <v>188</v>
      </c>
      <c r="FO106" s="199"/>
      <c r="FP106" s="199"/>
      <c r="FQ106" s="199"/>
      <c r="FR106" s="95">
        <v>70</v>
      </c>
      <c r="FS106" s="47">
        <f>IF(FQ70="Signalized",1,(1-FN67/SUM(FN67:FN70)+FN67/SUM(FN67:FN70)*EXP(0.341*SIN(FR106)*0.001*FN67)))</f>
        <v>1</v>
      </c>
      <c r="FT106" s="48">
        <v>1</v>
      </c>
      <c r="FU106" s="45">
        <v>20</v>
      </c>
      <c r="FV106" s="199" t="s">
        <v>188</v>
      </c>
      <c r="FW106" s="199"/>
      <c r="FX106" s="199"/>
      <c r="FY106" s="199"/>
      <c r="FZ106" s="95">
        <v>70</v>
      </c>
      <c r="GA106" s="47">
        <f>IF(FY70="Signalized",1,(1-FV67/SUM(FV67:FV70)+FV67/SUM(FV67:FV70)*EXP(0.341*SIN(FZ106)*0.001*FV67)))</f>
        <v>1</v>
      </c>
      <c r="GB106" s="48">
        <v>1</v>
      </c>
      <c r="GC106" s="24"/>
      <c r="GD106" s="14"/>
      <c r="GE106" s="14"/>
      <c r="GF106" s="14"/>
      <c r="GG106" s="14"/>
      <c r="GH106" s="19"/>
      <c r="GI106" s="19"/>
      <c r="GJ106" s="25"/>
      <c r="GK106" s="24"/>
      <c r="GL106" s="14"/>
      <c r="GM106" s="14"/>
      <c r="GN106" s="14"/>
      <c r="GO106" s="14"/>
      <c r="GP106" s="19"/>
      <c r="GQ106" s="19"/>
      <c r="GR106" s="25"/>
      <c r="GS106" s="24"/>
      <c r="GT106" s="14"/>
      <c r="GU106" s="14"/>
      <c r="GV106" s="14"/>
      <c r="GW106" s="14"/>
      <c r="GX106" s="19"/>
      <c r="GY106" s="19"/>
      <c r="GZ106" s="25"/>
      <c r="HA106" s="24"/>
      <c r="HB106" s="14"/>
      <c r="HC106" s="14"/>
      <c r="HD106" s="14"/>
      <c r="HE106" s="14"/>
      <c r="HF106" s="19"/>
      <c r="HG106" s="19"/>
      <c r="HH106" s="25"/>
      <c r="HI106" s="24"/>
      <c r="HJ106" s="14"/>
      <c r="HK106" s="14"/>
      <c r="HL106" s="14"/>
      <c r="HM106" s="14"/>
      <c r="HN106" s="19"/>
      <c r="HO106" s="19"/>
      <c r="HP106" s="25"/>
    </row>
    <row r="107" spans="1:224" x14ac:dyDescent="0.25">
      <c r="A107" s="106" t="s">
        <v>208</v>
      </c>
      <c r="B107" s="199"/>
      <c r="C107" s="199"/>
      <c r="D107" s="199"/>
      <c r="E107" s="199"/>
      <c r="F107" s="199"/>
      <c r="G107" s="47"/>
      <c r="H107" s="48"/>
      <c r="I107" s="106" t="s">
        <v>208</v>
      </c>
      <c r="J107" s="199"/>
      <c r="K107" s="199"/>
      <c r="L107" s="199"/>
      <c r="M107" s="199"/>
      <c r="N107" s="199"/>
      <c r="O107" s="47"/>
      <c r="P107" s="48"/>
      <c r="Q107" s="106" t="s">
        <v>208</v>
      </c>
      <c r="R107" s="199"/>
      <c r="S107" s="199"/>
      <c r="T107" s="199"/>
      <c r="U107" s="199"/>
      <c r="V107" s="199"/>
      <c r="W107" s="47"/>
      <c r="X107" s="48"/>
      <c r="Y107" s="107" t="s">
        <v>208</v>
      </c>
      <c r="Z107" s="199"/>
      <c r="AA107" s="199"/>
      <c r="AB107" s="199"/>
      <c r="AC107" s="199"/>
      <c r="AD107" s="199"/>
      <c r="AE107" s="47"/>
      <c r="AF107" s="48"/>
      <c r="AG107" s="107" t="s">
        <v>208</v>
      </c>
      <c r="AH107" s="199"/>
      <c r="AI107" s="199"/>
      <c r="AJ107" s="199"/>
      <c r="AK107" s="199"/>
      <c r="AL107" s="199"/>
      <c r="AM107" s="47"/>
      <c r="AN107" s="48"/>
      <c r="AO107" s="24"/>
      <c r="AP107" s="14"/>
      <c r="AQ107" s="14"/>
      <c r="AR107" s="14"/>
      <c r="AS107" s="14"/>
      <c r="AT107" s="14"/>
      <c r="AU107" s="14"/>
      <c r="AV107" s="25"/>
      <c r="AW107" s="24"/>
      <c r="AX107" s="14"/>
      <c r="AY107" s="14"/>
      <c r="AZ107" s="14"/>
      <c r="BA107" s="14"/>
      <c r="BB107" s="14"/>
      <c r="BC107" s="14"/>
      <c r="BD107" s="25"/>
      <c r="BE107" s="24"/>
      <c r="BF107" s="14"/>
      <c r="BG107" s="14"/>
      <c r="BH107" s="14"/>
      <c r="BI107" s="14"/>
      <c r="BJ107" s="14"/>
      <c r="BK107" s="14"/>
      <c r="BL107" s="25"/>
      <c r="BM107" s="24"/>
      <c r="BN107" s="14"/>
      <c r="BO107" s="14"/>
      <c r="BP107" s="14"/>
      <c r="BQ107" s="14"/>
      <c r="BR107" s="14"/>
      <c r="BS107" s="14"/>
      <c r="BT107" s="25"/>
      <c r="BU107" s="24"/>
      <c r="BV107" s="14"/>
      <c r="BW107" s="14"/>
      <c r="BX107" s="14"/>
      <c r="BY107" s="14"/>
      <c r="BZ107" s="14"/>
      <c r="CA107" s="14"/>
      <c r="CB107" s="25"/>
      <c r="CC107" s="24"/>
      <c r="CD107" s="14"/>
      <c r="CE107" s="14"/>
      <c r="CF107" s="14"/>
      <c r="CG107" s="14"/>
      <c r="CH107" s="14"/>
      <c r="CI107" s="14"/>
      <c r="CJ107" s="25"/>
      <c r="CK107" s="24"/>
      <c r="CL107" s="14"/>
      <c r="CM107" s="14"/>
      <c r="CN107" s="14"/>
      <c r="CO107" s="14"/>
      <c r="CP107" s="14"/>
      <c r="CQ107" s="14"/>
      <c r="CR107" s="25"/>
      <c r="CS107" s="24"/>
      <c r="CT107" s="14"/>
      <c r="CU107" s="14"/>
      <c r="CV107" s="14"/>
      <c r="CW107" s="14"/>
      <c r="CX107" s="14"/>
      <c r="CY107" s="14"/>
      <c r="CZ107" s="25"/>
      <c r="DA107" s="24"/>
      <c r="DB107" s="14"/>
      <c r="DC107" s="14"/>
      <c r="DD107" s="14"/>
      <c r="DE107" s="14"/>
      <c r="DF107" s="14"/>
      <c r="DG107" s="14"/>
      <c r="DH107" s="25"/>
      <c r="DI107" s="24"/>
      <c r="DJ107" s="14"/>
      <c r="DK107" s="14"/>
      <c r="DL107" s="14"/>
      <c r="DM107" s="14"/>
      <c r="DN107" s="14"/>
      <c r="DO107" s="14"/>
      <c r="DP107" s="25"/>
      <c r="DQ107" s="24"/>
      <c r="DR107" s="14"/>
      <c r="DS107" s="14"/>
      <c r="DT107" s="14"/>
      <c r="DU107" s="14"/>
      <c r="DV107" s="14"/>
      <c r="DW107" s="14"/>
      <c r="DX107" s="25"/>
      <c r="DY107" s="24"/>
      <c r="DZ107" s="14"/>
      <c r="EA107" s="14"/>
      <c r="EB107" s="14"/>
      <c r="EC107" s="14"/>
      <c r="ED107" s="14"/>
      <c r="EE107" s="14"/>
      <c r="EF107" s="25"/>
      <c r="EG107" s="24"/>
      <c r="EH107" s="117"/>
      <c r="EI107" s="117"/>
      <c r="EJ107" s="117"/>
      <c r="EK107" s="117"/>
      <c r="EL107" s="14"/>
      <c r="EM107" s="18">
        <f>IF(EM91=0,1,EM91)*IF(EM92=0,1,EM92)*IF(EM93=0,1,EM93)*IF(EM94=0,1,EM94)*IF(EM95=0,1,EM95)*IF(EM96=0,1,EM96)*IF(EM97=0,1,EM97)*IF(EM98=0,1,EM98)*IF(EM99=0,1,EM99)*IF(EM100=0,1,EM100)*IF(EM101=0,1,EM101)*IF(EM102=0,1,EM102)*IF(EM103=0,1,EM103)*IF(EM104=0,1,EM104)*IF(EM105=0,1,EM105)*IF(EM106=0,1,EM106)</f>
        <v>1.2825259133713003</v>
      </c>
      <c r="EN107" s="33">
        <f>IF(EN91=0,1,EN91)*IF(EN92=0,1,EN92)*IF(EN93=0,1,EN93)*IF(EN94=0,1,EN94)*IF(EN95=0,1,EN95)*IF(EN96=0,1,EN96)*IF(EN97=0,1,EN97)*IF(EN98=0,1,EN98)*IF(EN99=0,1,EN99)*IF(EN100=0,1,EN100)*IF(EN101=0,1,EN101)*IF(EN102=0,1,EN102)*IF(EN103=0,1,EN103)*IF(EN104=0,1,EN104)*IF(EN105=0,1,EN105)*IF(EN106=0,1,EN106)</f>
        <v>1.7788777172598893</v>
      </c>
      <c r="EO107" s="24"/>
      <c r="EP107" s="117"/>
      <c r="EQ107" s="117"/>
      <c r="ER107" s="117"/>
      <c r="ES107" s="117"/>
      <c r="ET107" s="14"/>
      <c r="EU107" s="18">
        <f>IF(EU91=0,1,EU91)*IF(EU92=0,1,EU92)*IF(EU93=0,1,EU93)*IF(EU94=0,1,EU94)*IF(EU95=0,1,EU95)*IF(EU96=0,1,EU96)*IF(EU97=0,1,EU97)*IF(EU98=0,1,EU98)*IF(EU99=0,1,EU99)*IF(EU100=0,1,EU100)*IF(EU101=0,1,EU101)*IF(EU102=0,1,EU102)*IF(EU103=0,1,EU103)*IF(EU104=0,1,EU104)*IF(EU105=0,1,EU105)*IF(EU106=0,1,EU106)</f>
        <v>2.3168776953138037</v>
      </c>
      <c r="EV107" s="33">
        <f>IF(EV91=0,1,EV91)*IF(EV92=0,1,EV92)*IF(EV93=0,1,EV93)*IF(EV94=0,1,EV94)*IF(EV95=0,1,EV95)*IF(EV96=0,1,EV96)*IF(EV97=0,1,EV97)*IF(EV98=0,1,EV98)*IF(EV99=0,1,EV99)*IF(EV100=0,1,EV100)*IF(EV101=0,1,EV101)*IF(EV102=0,1,EV102)*IF(EV103=0,1,EV103)*IF(EV104=0,1,EV104)*IF(EV105=0,1,EV105)*IF(EV106=0,1,EV106)</f>
        <v>2.5828637591853894</v>
      </c>
      <c r="EW107" s="24"/>
      <c r="EX107" s="117"/>
      <c r="EY107" s="117"/>
      <c r="EZ107" s="117"/>
      <c r="FA107" s="117"/>
      <c r="FB107" s="14"/>
      <c r="FC107" s="18">
        <f>IF(FC91=0,1,FC91)*IF(FC92=0,1,FC92)*IF(FC93=0,1,FC93)*IF(FC94=0,1,FC94)*IF(FC95=0,1,FC95)*IF(FC96=0,1,FC96)*IF(FC97=0,1,FC97)*IF(FC98=0,1,FC98)*IF(FC99=0,1,FC99)*IF(FC100=0,1,FC100)*IF(FC101=0,1,FC101)*IF(FC102=0,1,FC102)*IF(FC103=0,1,FC103)*IF(FC104=0,1,FC104)*IF(FC105=0,1,FC105)*IF(FC106=0,1,FC106)</f>
        <v>1.9821492158925398</v>
      </c>
      <c r="FD107" s="33">
        <f>IF(FD91=0,1,FD91)*IF(FD92=0,1,FD92)*IF(FD93=0,1,FD93)*IF(FD94=0,1,FD94)*IF(FD95=0,1,FD95)*IF(FD96=0,1,FD96)*IF(FD97=0,1,FD97)*IF(FD98=0,1,FD98)*IF(FD99=0,1,FD99)*IF(FD100=0,1,FD100)*IF(FD101=0,1,FD101)*IF(FD102=0,1,FD102)*IF(FD103=0,1,FD103)*IF(FD104=0,1,FD104)*IF(FD105=0,1,FD105)*IF(FD106=0,1,FD106)</f>
        <v>1.9440006939979833</v>
      </c>
      <c r="FE107" s="24"/>
      <c r="FF107" s="117"/>
      <c r="FG107" s="117"/>
      <c r="FH107" s="117"/>
      <c r="FI107" s="117"/>
      <c r="FJ107" s="14"/>
      <c r="FK107" s="18">
        <f>IF(FK91=0,1,FK91)*IF(FK92=0,1,FK92)*IF(FK93=0,1,FK93)*IF(FK94=0,1,FK94)*IF(FK95=0,1,FK95)*IF(FK96=0,1,FK96)*IF(FK97=0,1,FK97)*IF(FK98=0,1,FK98)*IF(FK99=0,1,FK99)*IF(FK100=0,1,FK100)*IF(FK101=0,1,FK101)*IF(FK102=0,1,FK102)*IF(FK103=0,1,FK103)*IF(FK104=0,1,FK104)*IF(FK105=0,1,FK105)*IF(FK106=0,1,FK106)</f>
        <v>1.8962524688354263</v>
      </c>
      <c r="FL107" s="33">
        <f>IF(FL91=0,1,FL91)*IF(FL92=0,1,FL92)*IF(FL93=0,1,FL93)*IF(FL94=0,1,FL94)*IF(FL95=0,1,FL95)*IF(FL96=0,1,FL96)*IF(FL97=0,1,FL97)*IF(FL98=0,1,FL98)*IF(FL99=0,1,FL99)*IF(FL100=0,1,FL100)*IF(FL101=0,1,FL101)*IF(FL102=0,1,FL102)*IF(FL103=0,1,FL103)*IF(FL104=0,1,FL104)*IF(FL105=0,1,FL105)*IF(FL106=0,1,FL106)</f>
        <v>1.9837920785815071</v>
      </c>
      <c r="FM107" s="24"/>
      <c r="FN107" s="117"/>
      <c r="FO107" s="117"/>
      <c r="FP107" s="117"/>
      <c r="FQ107" s="117"/>
      <c r="FR107" s="14"/>
      <c r="FS107" s="18">
        <f>IF(FS91=0,1,FS91)*IF(FS92=0,1,FS92)*IF(FS93=0,1,FS93)*IF(FS94=0,1,FS94)*IF(FS95=0,1,FS95)*IF(FS96=0,1,FS96)*IF(FS97=0,1,FS97)*IF(FS98=0,1,FS98)*IF(FS99=0,1,FS99)*IF(FS100=0,1,FS100)*IF(FS101=0,1,FS101)*IF(FS102=0,1,FS102)*IF(FS103=0,1,FS103)*IF(FS104=0,1,FS104)*IF(FS105=0,1,FS105)*IF(FS106=0,1,FS106)</f>
        <v>0.99395330168177309</v>
      </c>
      <c r="FT107" s="33">
        <f>IF(FT91=0,1,FT91)*IF(FT92=0,1,FT92)*IF(FT93=0,1,FT93)*IF(FT94=0,1,FT94)*IF(FT95=0,1,FT95)*IF(FT96=0,1,FT96)*IF(FT97=0,1,FT97)*IF(FT98=0,1,FT98)*IF(FT99=0,1,FT99)*IF(FT100=0,1,FT100)*IF(FT101=0,1,FT101)*IF(FT102=0,1,FT102)*IF(FT103=0,1,FT103)*IF(FT104=0,1,FT104)*IF(FT105=0,1,FT105)*IF(FT106=0,1,FT106)</f>
        <v>1.1439347017482624</v>
      </c>
      <c r="FU107" s="24"/>
      <c r="FV107" s="117"/>
      <c r="FW107" s="117"/>
      <c r="FX107" s="117"/>
      <c r="FY107" s="117"/>
      <c r="FZ107" s="14"/>
      <c r="GA107" s="18">
        <f>IF(GA91=0,1,GA91)*IF(GA92=0,1,GA92)*IF(GA93=0,1,GA93)*IF(GA94=0,1,GA94)*IF(GA95=0,1,GA95)*IF(GA96=0,1,GA96)*IF(GA97=0,1,GA97)*IF(GA98=0,1,GA98)*IF(GA99=0,1,GA99)*IF(GA100=0,1,GA100)*IF(GA101=0,1,GA101)*IF(GA102=0,1,GA102)*IF(GA103=0,1,GA103)*IF(GA104=0,1,GA104)*IF(GA105=0,1,GA105)*IF(GA106=0,1,GA106)</f>
        <v>1.0012346901360067</v>
      </c>
      <c r="GB107" s="33">
        <f>IF(GB91=0,1,GB91)*IF(GB92=0,1,GB92)*IF(GB93=0,1,GB93)*IF(GB94=0,1,GB94)*IF(GB95=0,1,GB95)*IF(GB96=0,1,GB96)*IF(GB97=0,1,GB97)*IF(GB98=0,1,GB98)*IF(GB99=0,1,GB99)*IF(GB100=0,1,GB100)*IF(GB101=0,1,GB101)*IF(GB102=0,1,GB102)*IF(GB103=0,1,GB103)*IF(GB104=0,1,GB104)*IF(GB105=0,1,GB105)*IF(GB106=0,1,GB106)</f>
        <v>1.3059486870232204</v>
      </c>
      <c r="GC107" s="24"/>
      <c r="GD107" s="14"/>
      <c r="GE107" s="14"/>
      <c r="GF107" s="14"/>
      <c r="GG107" s="14"/>
      <c r="GH107" s="19"/>
      <c r="GI107" s="19"/>
      <c r="GJ107" s="25"/>
      <c r="GK107" s="24"/>
      <c r="GL107" s="14"/>
      <c r="GM107" s="14"/>
      <c r="GN107" s="14"/>
      <c r="GO107" s="14"/>
      <c r="GP107" s="19"/>
      <c r="GQ107" s="19"/>
      <c r="GR107" s="25"/>
      <c r="GS107" s="24"/>
      <c r="GT107" s="14"/>
      <c r="GU107" s="14"/>
      <c r="GV107" s="14"/>
      <c r="GW107" s="14"/>
      <c r="GX107" s="19"/>
      <c r="GY107" s="19"/>
      <c r="GZ107" s="25"/>
      <c r="HA107" s="24"/>
      <c r="HB107" s="14"/>
      <c r="HC107" s="14"/>
      <c r="HD107" s="14"/>
      <c r="HE107" s="14"/>
      <c r="HF107" s="19"/>
      <c r="HG107" s="19"/>
      <c r="HH107" s="25"/>
      <c r="HI107" s="24"/>
      <c r="HJ107" s="14"/>
      <c r="HK107" s="14"/>
      <c r="HL107" s="14"/>
      <c r="HM107" s="14"/>
      <c r="HN107" s="19"/>
      <c r="HO107" s="19"/>
      <c r="HP107" s="25"/>
    </row>
    <row r="108" spans="1:224" x14ac:dyDescent="0.25">
      <c r="A108" s="14"/>
      <c r="B108" s="108"/>
      <c r="C108" s="108"/>
      <c r="D108" s="108"/>
      <c r="E108" s="108"/>
      <c r="F108" s="14"/>
      <c r="G108" s="18">
        <f>IF(G104=0,1,G104)*IF(G103=0,1,G103)*IF(G106=0,1,G106)*IF(G105=0,1,G105)*IF(G102=0,1,G102)*IF(G101=0,1,G101)*IF(G107=0,1,G107)</f>
        <v>0.69536147959049388</v>
      </c>
      <c r="H108" s="33">
        <f>IF(H104=0,1,H104)*IF(H103=0,1,H103)*IF(H106=0,1,H106)*IF(H105=0,1,H105)*IF(H102=0,1,H102)*IF(H101=0,1,H101)*IF(H107=0,1,H107)</f>
        <v>1.0024830777437423</v>
      </c>
      <c r="I108" s="14"/>
      <c r="J108" s="108"/>
      <c r="K108" s="108"/>
      <c r="L108" s="108"/>
      <c r="M108" s="108"/>
      <c r="N108" s="14"/>
      <c r="O108" s="18">
        <f>IF(O104=0,1,O104)*IF(O103=0,1,O103)*IF(O106=0,1,O106)*IF(O105=0,1,O105)*IF(O102=0,1,O102)*IF(O101=0,1,O101)*IF(O107=0,1,O107)</f>
        <v>0.69536147959049388</v>
      </c>
      <c r="P108" s="33">
        <f>IF(P104=0,1,P104)*IF(P103=0,1,P103)*IF(P106=0,1,P106)*IF(P105=0,1,P105)*IF(P102=0,1,P102)*IF(P101=0,1,P101)*IF(P107=0,1,P107)</f>
        <v>1.0024830777437423</v>
      </c>
      <c r="Q108" s="14"/>
      <c r="R108" s="108"/>
      <c r="S108" s="108"/>
      <c r="T108" s="108"/>
      <c r="U108" s="108"/>
      <c r="V108" s="14"/>
      <c r="W108" s="18">
        <f>IF(W104=0,1,W104)*IF(W103=0,1,W103)*IF(W106=0,1,W106)*IF(W105=0,1,W105)*IF(W102=0,1,W102)*IF(W101=0,1,W101)*IF(W107=0,1,W107)</f>
        <v>0.69536147959049388</v>
      </c>
      <c r="X108" s="33">
        <f>IF(X104=0,1,X104)*IF(X103=0,1,X103)*IF(X106=0,1,X106)*IF(X105=0,1,X105)*IF(X102=0,1,X102)*IF(X101=0,1,X101)*IF(X107=0,1,X107)</f>
        <v>1.0024830777437423</v>
      </c>
      <c r="Y108" s="24"/>
      <c r="Z108" s="108"/>
      <c r="AA108" s="108"/>
      <c r="AB108" s="108"/>
      <c r="AC108" s="108"/>
      <c r="AD108" s="14"/>
      <c r="AE108" s="18">
        <f>IF(AE104=0,1,AE104)*IF(AE103=0,1,AE103)*IF(AE106=0,1,AE106)*IF(AE105=0,1,AE105)*IF(AE102=0,1,AE102)*IF(AE101=0,1,AE101)*IF(AE107=0,1,AE107)</f>
        <v>0.69536147959049388</v>
      </c>
      <c r="AF108" s="33">
        <f>IF(AF104=0,1,AF104)*IF(AF103=0,1,AF103)*IF(AF106=0,1,AF106)*IF(AF105=0,1,AF105)*IF(AF102=0,1,AF102)*IF(AF101=0,1,AF101)*IF(AF107=0,1,AF107)</f>
        <v>1.0024830777437423</v>
      </c>
      <c r="AG108" s="24"/>
      <c r="AH108" s="108"/>
      <c r="AI108" s="108"/>
      <c r="AJ108" s="108"/>
      <c r="AK108" s="108"/>
      <c r="AL108" s="14"/>
      <c r="AM108" s="18">
        <f>IF(AM104=0,1,AM104)*IF(AM103=0,1,AM103)*IF(AM106=0,1,AM106)*IF(AM105=0,1,AM105)*IF(AM102=0,1,AM102)*IF(AM101=0,1,AM101)*IF(AM107=0,1,AM107)</f>
        <v>0.69888274361710634</v>
      </c>
      <c r="AN108" s="33">
        <f>IF(AN104=0,1,AN104)*IF(AN103=0,1,AN103)*IF(AN106=0,1,AN106)*IF(AN105=0,1,AN105)*IF(AN102=0,1,AN102)*IF(AN101=0,1,AN101)*IF(AN107=0,1,AN107)</f>
        <v>1.0090417567951073</v>
      </c>
      <c r="AO108" s="24"/>
      <c r="AP108" s="14"/>
      <c r="AQ108" s="14"/>
      <c r="AR108" s="14"/>
      <c r="AS108" s="14"/>
      <c r="AT108" s="14"/>
      <c r="AU108" s="14"/>
      <c r="AV108" s="25"/>
      <c r="AW108" s="24"/>
      <c r="AX108" s="14"/>
      <c r="AY108" s="14"/>
      <c r="AZ108" s="14"/>
      <c r="BA108" s="14"/>
      <c r="BB108" s="14"/>
      <c r="BC108" s="14"/>
      <c r="BD108" s="25"/>
      <c r="BE108" s="24"/>
      <c r="BF108" s="14"/>
      <c r="BG108" s="14"/>
      <c r="BH108" s="14"/>
      <c r="BI108" s="14"/>
      <c r="BJ108" s="14"/>
      <c r="BK108" s="14"/>
      <c r="BL108" s="25"/>
      <c r="BM108" s="24"/>
      <c r="BN108" s="14"/>
      <c r="BO108" s="14"/>
      <c r="BP108" s="14"/>
      <c r="BQ108" s="14"/>
      <c r="BR108" s="14"/>
      <c r="BS108" s="14"/>
      <c r="BT108" s="25"/>
      <c r="BU108" s="24"/>
      <c r="BV108" s="14"/>
      <c r="BW108" s="14"/>
      <c r="BX108" s="14"/>
      <c r="BY108" s="14"/>
      <c r="BZ108" s="14"/>
      <c r="CA108" s="14"/>
      <c r="CB108" s="25"/>
      <c r="CC108" s="24"/>
      <c r="CD108" s="14"/>
      <c r="CE108" s="14"/>
      <c r="CF108" s="14"/>
      <c r="CG108" s="14"/>
      <c r="CH108" s="14"/>
      <c r="CI108" s="14"/>
      <c r="CJ108" s="25"/>
      <c r="CK108" s="24"/>
      <c r="CL108" s="14"/>
      <c r="CM108" s="14"/>
      <c r="CN108" s="14"/>
      <c r="CO108" s="14"/>
      <c r="CP108" s="14"/>
      <c r="CQ108" s="14"/>
      <c r="CR108" s="25"/>
      <c r="CS108" s="24"/>
      <c r="CT108" s="14"/>
      <c r="CU108" s="14"/>
      <c r="CV108" s="14"/>
      <c r="CW108" s="14"/>
      <c r="CX108" s="14"/>
      <c r="CY108" s="14"/>
      <c r="CZ108" s="25"/>
      <c r="DA108" s="24"/>
      <c r="DB108" s="14"/>
      <c r="DC108" s="14"/>
      <c r="DD108" s="14"/>
      <c r="DE108" s="14"/>
      <c r="DF108" s="14"/>
      <c r="DG108" s="14"/>
      <c r="DH108" s="25"/>
      <c r="DI108" s="24"/>
      <c r="DJ108" s="14"/>
      <c r="DK108" s="14"/>
      <c r="DL108" s="14"/>
      <c r="DM108" s="14"/>
      <c r="DN108" s="14"/>
      <c r="DO108" s="14"/>
      <c r="DP108" s="25"/>
      <c r="DQ108" s="24"/>
      <c r="DR108" s="14"/>
      <c r="DS108" s="14"/>
      <c r="DT108" s="14"/>
      <c r="DU108" s="14"/>
      <c r="DV108" s="14"/>
      <c r="DW108" s="14"/>
      <c r="DX108" s="25"/>
      <c r="DY108" s="24"/>
      <c r="DZ108" s="14"/>
      <c r="EA108" s="14"/>
      <c r="EB108" s="14"/>
      <c r="EC108" s="14"/>
      <c r="ED108" s="14"/>
      <c r="EE108" s="14"/>
      <c r="EF108" s="25"/>
      <c r="EG108" s="24"/>
      <c r="EH108" s="14"/>
      <c r="EI108" s="14"/>
      <c r="EJ108" s="14"/>
      <c r="EK108" s="14"/>
      <c r="EL108" s="14"/>
      <c r="EM108" s="14"/>
      <c r="EN108" s="25"/>
      <c r="EO108" s="24"/>
      <c r="EP108" s="14"/>
      <c r="EQ108" s="14"/>
      <c r="ER108" s="14"/>
      <c r="ES108" s="14"/>
      <c r="ET108" s="14"/>
      <c r="EU108" s="14"/>
      <c r="EV108" s="25"/>
      <c r="EW108" s="24"/>
      <c r="EX108" s="14"/>
      <c r="EY108" s="14"/>
      <c r="EZ108" s="14"/>
      <c r="FA108" s="14"/>
      <c r="FB108" s="14"/>
      <c r="FC108" s="14"/>
      <c r="FD108" s="25"/>
      <c r="FE108" s="24"/>
      <c r="FF108" s="14"/>
      <c r="FG108" s="14"/>
      <c r="FH108" s="14"/>
      <c r="FI108" s="14"/>
      <c r="FJ108" s="14"/>
      <c r="FK108" s="14"/>
      <c r="FL108" s="25"/>
      <c r="FM108" s="24"/>
      <c r="FN108" s="14"/>
      <c r="FO108" s="14"/>
      <c r="FP108" s="14"/>
      <c r="FQ108" s="14"/>
      <c r="FR108" s="14"/>
      <c r="FS108" s="14"/>
      <c r="FT108" s="25"/>
      <c r="FU108" s="24"/>
      <c r="FV108" s="14"/>
      <c r="FW108" s="14"/>
      <c r="FX108" s="14"/>
      <c r="FY108" s="14"/>
      <c r="FZ108" s="14"/>
      <c r="GA108" s="14"/>
      <c r="GB108" s="25"/>
      <c r="GC108" s="24"/>
      <c r="GD108" s="14"/>
      <c r="GE108" s="14"/>
      <c r="GF108" s="14"/>
      <c r="GG108" s="14"/>
      <c r="GH108" s="19"/>
      <c r="GI108" s="19"/>
      <c r="GJ108" s="25"/>
      <c r="GK108" s="24"/>
      <c r="GL108" s="14"/>
      <c r="GM108" s="14"/>
      <c r="GN108" s="14"/>
      <c r="GO108" s="14"/>
      <c r="GP108" s="19"/>
      <c r="GQ108" s="19"/>
      <c r="GR108" s="25"/>
      <c r="GS108" s="24"/>
      <c r="GT108" s="14"/>
      <c r="GU108" s="14"/>
      <c r="GV108" s="14"/>
      <c r="GW108" s="14"/>
      <c r="GX108" s="19"/>
      <c r="GY108" s="19"/>
      <c r="GZ108" s="25"/>
      <c r="HA108" s="24"/>
      <c r="HB108" s="14"/>
      <c r="HC108" s="14"/>
      <c r="HD108" s="14"/>
      <c r="HE108" s="14"/>
      <c r="HF108" s="19"/>
      <c r="HG108" s="19"/>
      <c r="HH108" s="25"/>
      <c r="HI108" s="24"/>
      <c r="HJ108" s="14"/>
      <c r="HK108" s="14"/>
      <c r="HL108" s="14"/>
      <c r="HM108" s="14"/>
      <c r="HN108" s="19"/>
      <c r="HO108" s="19"/>
      <c r="HP108" s="25"/>
    </row>
    <row r="109" spans="1:224" x14ac:dyDescent="0.25">
      <c r="A109" s="14"/>
      <c r="B109" s="14"/>
      <c r="C109" s="14"/>
      <c r="D109" s="14"/>
      <c r="E109" s="14"/>
      <c r="F109" s="19"/>
      <c r="G109" s="19"/>
      <c r="H109" s="25"/>
      <c r="I109" s="14"/>
      <c r="J109" s="14"/>
      <c r="K109" s="14"/>
      <c r="L109" s="14"/>
      <c r="M109" s="14"/>
      <c r="N109" s="19"/>
      <c r="O109" s="19"/>
      <c r="P109" s="25"/>
      <c r="Q109" s="14"/>
      <c r="R109" s="14"/>
      <c r="S109" s="14"/>
      <c r="T109" s="14"/>
      <c r="U109" s="14"/>
      <c r="V109" s="19"/>
      <c r="W109" s="19"/>
      <c r="X109" s="25"/>
      <c r="Y109" s="24"/>
      <c r="Z109" s="14"/>
      <c r="AA109" s="14"/>
      <c r="AB109" s="14"/>
      <c r="AC109" s="14"/>
      <c r="AD109" s="19"/>
      <c r="AE109" s="19"/>
      <c r="AF109" s="25"/>
      <c r="AG109" s="24"/>
      <c r="AH109" s="14"/>
      <c r="AI109" s="14"/>
      <c r="AJ109" s="14"/>
      <c r="AK109" s="14"/>
      <c r="AL109" s="19"/>
      <c r="AM109" s="19"/>
      <c r="AN109" s="25"/>
      <c r="AO109" s="24"/>
      <c r="AP109" s="14"/>
      <c r="AQ109" s="14"/>
      <c r="AR109" s="14"/>
      <c r="AS109" s="14"/>
      <c r="AT109" s="14"/>
      <c r="AU109" s="14"/>
      <c r="AV109" s="25"/>
      <c r="AW109" s="24"/>
      <c r="AX109" s="14"/>
      <c r="AY109" s="14"/>
      <c r="AZ109" s="14"/>
      <c r="BA109" s="14"/>
      <c r="BB109" s="14"/>
      <c r="BC109" s="14"/>
      <c r="BD109" s="25"/>
      <c r="BE109" s="24"/>
      <c r="BF109" s="14"/>
      <c r="BG109" s="14"/>
      <c r="BH109" s="14"/>
      <c r="BI109" s="14"/>
      <c r="BJ109" s="14"/>
      <c r="BK109" s="14"/>
      <c r="BL109" s="25"/>
      <c r="BM109" s="24"/>
      <c r="BN109" s="14"/>
      <c r="BO109" s="14"/>
      <c r="BP109" s="14"/>
      <c r="BQ109" s="14"/>
      <c r="BR109" s="14"/>
      <c r="BS109" s="14"/>
      <c r="BT109" s="25"/>
      <c r="BU109" s="24"/>
      <c r="BV109" s="14"/>
      <c r="BW109" s="14"/>
      <c r="BX109" s="14"/>
      <c r="BY109" s="14"/>
      <c r="BZ109" s="14"/>
      <c r="CA109" s="14"/>
      <c r="CB109" s="25"/>
      <c r="CC109" s="24"/>
      <c r="CD109" s="14"/>
      <c r="CE109" s="14"/>
      <c r="CF109" s="14"/>
      <c r="CG109" s="14"/>
      <c r="CH109" s="14"/>
      <c r="CI109" s="14"/>
      <c r="CJ109" s="25"/>
      <c r="CK109" s="24"/>
      <c r="CL109" s="14"/>
      <c r="CM109" s="14"/>
      <c r="CN109" s="14"/>
      <c r="CO109" s="14"/>
      <c r="CP109" s="14"/>
      <c r="CQ109" s="14"/>
      <c r="CR109" s="25"/>
      <c r="CS109" s="24"/>
      <c r="CT109" s="14"/>
      <c r="CU109" s="14"/>
      <c r="CV109" s="14"/>
      <c r="CW109" s="14"/>
      <c r="CX109" s="14"/>
      <c r="CY109" s="14"/>
      <c r="CZ109" s="25"/>
      <c r="DA109" s="24"/>
      <c r="DB109" s="14"/>
      <c r="DC109" s="14"/>
      <c r="DD109" s="14"/>
      <c r="DE109" s="14"/>
      <c r="DF109" s="14"/>
      <c r="DG109" s="14"/>
      <c r="DH109" s="25"/>
      <c r="DI109" s="24"/>
      <c r="DJ109" s="14"/>
      <c r="DK109" s="14"/>
      <c r="DL109" s="14"/>
      <c r="DM109" s="14"/>
      <c r="DN109" s="14"/>
      <c r="DO109" s="14"/>
      <c r="DP109" s="25"/>
      <c r="DQ109" s="24"/>
      <c r="DR109" s="14"/>
      <c r="DS109" s="14"/>
      <c r="DT109" s="14"/>
      <c r="DU109" s="14"/>
      <c r="DV109" s="14"/>
      <c r="DW109" s="14"/>
      <c r="DX109" s="25"/>
      <c r="DY109" s="24"/>
      <c r="DZ109" s="14"/>
      <c r="EA109" s="14"/>
      <c r="EB109" s="14"/>
      <c r="EC109" s="14"/>
      <c r="ED109" s="14"/>
      <c r="EE109" s="14"/>
      <c r="EF109" s="25"/>
      <c r="EG109" s="24"/>
      <c r="EH109" s="14"/>
      <c r="EI109" s="14"/>
      <c r="EJ109" s="14"/>
      <c r="EK109" s="14"/>
      <c r="EL109" s="14"/>
      <c r="EM109" s="14"/>
      <c r="EN109" s="25"/>
      <c r="EO109" s="24"/>
      <c r="EP109" s="14"/>
      <c r="EQ109" s="14"/>
      <c r="ER109" s="14"/>
      <c r="ES109" s="14"/>
      <c r="ET109" s="14"/>
      <c r="EU109" s="14"/>
      <c r="EV109" s="25"/>
      <c r="EW109" s="24"/>
      <c r="EX109" s="14"/>
      <c r="EY109" s="14"/>
      <c r="EZ109" s="14"/>
      <c r="FA109" s="14"/>
      <c r="FB109" s="14"/>
      <c r="FC109" s="14"/>
      <c r="FD109" s="25"/>
      <c r="FE109" s="24"/>
      <c r="FF109" s="14"/>
      <c r="FG109" s="14"/>
      <c r="FH109" s="14"/>
      <c r="FI109" s="14"/>
      <c r="FJ109" s="14"/>
      <c r="FK109" s="14"/>
      <c r="FL109" s="25"/>
      <c r="FM109" s="24"/>
      <c r="FN109" s="14"/>
      <c r="FO109" s="14"/>
      <c r="FP109" s="14"/>
      <c r="FQ109" s="14"/>
      <c r="FR109" s="14"/>
      <c r="FS109" s="14"/>
      <c r="FT109" s="25"/>
      <c r="FU109" s="24"/>
      <c r="FV109" s="14"/>
      <c r="FW109" s="14"/>
      <c r="FX109" s="14"/>
      <c r="FY109" s="14"/>
      <c r="FZ109" s="14"/>
      <c r="GA109" s="14"/>
      <c r="GB109" s="25"/>
      <c r="GC109" s="24"/>
      <c r="GD109" s="14"/>
      <c r="GE109" s="14"/>
      <c r="GF109" s="14"/>
      <c r="GG109" s="14"/>
      <c r="GH109" s="19"/>
      <c r="GI109" s="19"/>
      <c r="GJ109" s="25"/>
      <c r="GK109" s="24"/>
      <c r="GL109" s="14"/>
      <c r="GM109" s="14"/>
      <c r="GN109" s="14"/>
      <c r="GO109" s="14"/>
      <c r="GP109" s="19"/>
      <c r="GQ109" s="19"/>
      <c r="GR109" s="25"/>
      <c r="GS109" s="24"/>
      <c r="GT109" s="14"/>
      <c r="GU109" s="14"/>
      <c r="GV109" s="14"/>
      <c r="GW109" s="14"/>
      <c r="GX109" s="19"/>
      <c r="GY109" s="19"/>
      <c r="GZ109" s="25"/>
      <c r="HA109" s="24"/>
      <c r="HB109" s="14"/>
      <c r="HC109" s="14"/>
      <c r="HD109" s="14"/>
      <c r="HE109" s="14"/>
      <c r="HF109" s="19"/>
      <c r="HG109" s="19"/>
      <c r="HH109" s="25"/>
      <c r="HI109" s="24"/>
      <c r="HJ109" s="14"/>
      <c r="HK109" s="14"/>
      <c r="HL109" s="14"/>
      <c r="HM109" s="14"/>
      <c r="HN109" s="19"/>
      <c r="HO109" s="19"/>
      <c r="HP109" s="25"/>
    </row>
    <row r="110" spans="1:224" ht="16.5" thickBot="1" x14ac:dyDescent="0.3">
      <c r="A110" s="201" t="s">
        <v>117</v>
      </c>
      <c r="B110" s="201"/>
      <c r="C110" s="201"/>
      <c r="D110" s="201"/>
      <c r="E110" s="201"/>
      <c r="F110" s="201"/>
      <c r="G110" s="201"/>
      <c r="H110" s="202"/>
      <c r="I110" s="201" t="s">
        <v>117</v>
      </c>
      <c r="J110" s="201"/>
      <c r="K110" s="201"/>
      <c r="L110" s="201"/>
      <c r="M110" s="201"/>
      <c r="N110" s="201"/>
      <c r="O110" s="201"/>
      <c r="P110" s="202"/>
      <c r="Q110" s="201" t="s">
        <v>117</v>
      </c>
      <c r="R110" s="201"/>
      <c r="S110" s="201"/>
      <c r="T110" s="201"/>
      <c r="U110" s="201"/>
      <c r="V110" s="201"/>
      <c r="W110" s="201"/>
      <c r="X110" s="202"/>
      <c r="Y110" s="200" t="s">
        <v>117</v>
      </c>
      <c r="Z110" s="201"/>
      <c r="AA110" s="201"/>
      <c r="AB110" s="201"/>
      <c r="AC110" s="201"/>
      <c r="AD110" s="201"/>
      <c r="AE110" s="201"/>
      <c r="AF110" s="202"/>
      <c r="AG110" s="200" t="s">
        <v>117</v>
      </c>
      <c r="AH110" s="201"/>
      <c r="AI110" s="201"/>
      <c r="AJ110" s="201"/>
      <c r="AK110" s="201"/>
      <c r="AL110" s="201"/>
      <c r="AM110" s="201"/>
      <c r="AN110" s="202"/>
      <c r="AO110" s="200" t="s">
        <v>117</v>
      </c>
      <c r="AP110" s="201"/>
      <c r="AQ110" s="201"/>
      <c r="AR110" s="201"/>
      <c r="AS110" s="201"/>
      <c r="AT110" s="201"/>
      <c r="AU110" s="201"/>
      <c r="AV110" s="202"/>
      <c r="AW110" s="200" t="s">
        <v>117</v>
      </c>
      <c r="AX110" s="201"/>
      <c r="AY110" s="201"/>
      <c r="AZ110" s="201"/>
      <c r="BA110" s="201"/>
      <c r="BB110" s="201"/>
      <c r="BC110" s="201"/>
      <c r="BD110" s="202"/>
      <c r="BE110" s="200" t="s">
        <v>117</v>
      </c>
      <c r="BF110" s="201"/>
      <c r="BG110" s="201"/>
      <c r="BH110" s="201"/>
      <c r="BI110" s="201"/>
      <c r="BJ110" s="201"/>
      <c r="BK110" s="201"/>
      <c r="BL110" s="202"/>
      <c r="BM110" s="200" t="s">
        <v>117</v>
      </c>
      <c r="BN110" s="201"/>
      <c r="BO110" s="201"/>
      <c r="BP110" s="201"/>
      <c r="BQ110" s="201"/>
      <c r="BR110" s="201"/>
      <c r="BS110" s="201"/>
      <c r="BT110" s="202"/>
      <c r="BU110" s="200" t="s">
        <v>117</v>
      </c>
      <c r="BV110" s="201"/>
      <c r="BW110" s="201"/>
      <c r="BX110" s="201"/>
      <c r="BY110" s="201"/>
      <c r="BZ110" s="201"/>
      <c r="CA110" s="201"/>
      <c r="CB110" s="202"/>
      <c r="CC110" s="200" t="s">
        <v>117</v>
      </c>
      <c r="CD110" s="201"/>
      <c r="CE110" s="201"/>
      <c r="CF110" s="201"/>
      <c r="CG110" s="201"/>
      <c r="CH110" s="201"/>
      <c r="CI110" s="201"/>
      <c r="CJ110" s="202"/>
      <c r="CK110" s="200" t="s">
        <v>117</v>
      </c>
      <c r="CL110" s="201"/>
      <c r="CM110" s="201"/>
      <c r="CN110" s="201"/>
      <c r="CO110" s="201"/>
      <c r="CP110" s="201"/>
      <c r="CQ110" s="201"/>
      <c r="CR110" s="202"/>
      <c r="CS110" s="200" t="s">
        <v>117</v>
      </c>
      <c r="CT110" s="201"/>
      <c r="CU110" s="201"/>
      <c r="CV110" s="201"/>
      <c r="CW110" s="201"/>
      <c r="CX110" s="201"/>
      <c r="CY110" s="201"/>
      <c r="CZ110" s="202"/>
      <c r="DA110" s="200" t="s">
        <v>117</v>
      </c>
      <c r="DB110" s="201"/>
      <c r="DC110" s="201"/>
      <c r="DD110" s="201"/>
      <c r="DE110" s="201"/>
      <c r="DF110" s="201"/>
      <c r="DG110" s="201"/>
      <c r="DH110" s="202"/>
      <c r="DI110" s="200" t="s">
        <v>117</v>
      </c>
      <c r="DJ110" s="201"/>
      <c r="DK110" s="201"/>
      <c r="DL110" s="201"/>
      <c r="DM110" s="201"/>
      <c r="DN110" s="201"/>
      <c r="DO110" s="201"/>
      <c r="DP110" s="202"/>
      <c r="DQ110" s="200" t="s">
        <v>117</v>
      </c>
      <c r="DR110" s="201"/>
      <c r="DS110" s="201"/>
      <c r="DT110" s="201"/>
      <c r="DU110" s="201"/>
      <c r="DV110" s="201"/>
      <c r="DW110" s="201"/>
      <c r="DX110" s="202"/>
      <c r="DY110" s="200" t="s">
        <v>117</v>
      </c>
      <c r="DZ110" s="201"/>
      <c r="EA110" s="201"/>
      <c r="EB110" s="201"/>
      <c r="EC110" s="201"/>
      <c r="ED110" s="201"/>
      <c r="EE110" s="201"/>
      <c r="EF110" s="202"/>
      <c r="EG110" s="200" t="s">
        <v>117</v>
      </c>
      <c r="EH110" s="201"/>
      <c r="EI110" s="201"/>
      <c r="EJ110" s="201"/>
      <c r="EK110" s="201"/>
      <c r="EL110" s="201"/>
      <c r="EM110" s="201"/>
      <c r="EN110" s="202"/>
      <c r="EO110" s="200" t="s">
        <v>117</v>
      </c>
      <c r="EP110" s="201"/>
      <c r="EQ110" s="201"/>
      <c r="ER110" s="201"/>
      <c r="ES110" s="201"/>
      <c r="ET110" s="201"/>
      <c r="EU110" s="201"/>
      <c r="EV110" s="202"/>
      <c r="EW110" s="200" t="s">
        <v>117</v>
      </c>
      <c r="EX110" s="201"/>
      <c r="EY110" s="201"/>
      <c r="EZ110" s="201"/>
      <c r="FA110" s="201"/>
      <c r="FB110" s="201"/>
      <c r="FC110" s="201"/>
      <c r="FD110" s="202"/>
      <c r="FE110" s="200" t="s">
        <v>117</v>
      </c>
      <c r="FF110" s="201"/>
      <c r="FG110" s="201"/>
      <c r="FH110" s="201"/>
      <c r="FI110" s="201"/>
      <c r="FJ110" s="201"/>
      <c r="FK110" s="201"/>
      <c r="FL110" s="202"/>
      <c r="FM110" s="200" t="s">
        <v>117</v>
      </c>
      <c r="FN110" s="201"/>
      <c r="FO110" s="201"/>
      <c r="FP110" s="201"/>
      <c r="FQ110" s="201"/>
      <c r="FR110" s="201"/>
      <c r="FS110" s="201"/>
      <c r="FT110" s="202"/>
      <c r="FU110" s="200" t="s">
        <v>117</v>
      </c>
      <c r="FV110" s="201"/>
      <c r="FW110" s="201"/>
      <c r="FX110" s="201"/>
      <c r="FY110" s="201"/>
      <c r="FZ110" s="201"/>
      <c r="GA110" s="201"/>
      <c r="GB110" s="202"/>
      <c r="GC110" s="200" t="s">
        <v>117</v>
      </c>
      <c r="GD110" s="201"/>
      <c r="GE110" s="201"/>
      <c r="GF110" s="201"/>
      <c r="GG110" s="201"/>
      <c r="GH110" s="201"/>
      <c r="GI110" s="201"/>
      <c r="GJ110" s="202"/>
      <c r="GK110" s="200" t="s">
        <v>117</v>
      </c>
      <c r="GL110" s="201"/>
      <c r="GM110" s="201"/>
      <c r="GN110" s="201"/>
      <c r="GO110" s="201"/>
      <c r="GP110" s="201"/>
      <c r="GQ110" s="201"/>
      <c r="GR110" s="202"/>
      <c r="GS110" s="200" t="s">
        <v>117</v>
      </c>
      <c r="GT110" s="201"/>
      <c r="GU110" s="201"/>
      <c r="GV110" s="201"/>
      <c r="GW110" s="201"/>
      <c r="GX110" s="201"/>
      <c r="GY110" s="201"/>
      <c r="GZ110" s="202"/>
      <c r="HA110" s="200" t="s">
        <v>117</v>
      </c>
      <c r="HB110" s="201"/>
      <c r="HC110" s="201"/>
      <c r="HD110" s="201"/>
      <c r="HE110" s="201"/>
      <c r="HF110" s="201"/>
      <c r="HG110" s="201"/>
      <c r="HH110" s="202"/>
      <c r="HI110" s="200" t="s">
        <v>117</v>
      </c>
      <c r="HJ110" s="201"/>
      <c r="HK110" s="201"/>
      <c r="HL110" s="201"/>
      <c r="HM110" s="201"/>
      <c r="HN110" s="201"/>
      <c r="HO110" s="201"/>
      <c r="HP110" s="202"/>
    </row>
    <row r="111" spans="1:224" ht="15.75" thickTop="1" x14ac:dyDescent="0.25">
      <c r="A111" s="24"/>
      <c r="B111" s="14"/>
      <c r="C111" s="14"/>
      <c r="D111" s="14"/>
      <c r="E111" s="14"/>
      <c r="F111" s="14"/>
      <c r="G111" s="14"/>
      <c r="H111" s="25"/>
      <c r="I111" s="24"/>
      <c r="J111" s="14"/>
      <c r="K111" s="14"/>
      <c r="L111" s="14"/>
      <c r="M111" s="14"/>
      <c r="N111" s="14"/>
      <c r="O111" s="14"/>
      <c r="P111" s="25"/>
      <c r="Q111" s="24"/>
      <c r="R111" s="14"/>
      <c r="S111" s="14"/>
      <c r="T111" s="14"/>
      <c r="U111" s="14"/>
      <c r="V111" s="14"/>
      <c r="W111" s="14"/>
      <c r="X111" s="25"/>
      <c r="Y111" s="24"/>
      <c r="Z111" s="14"/>
      <c r="AA111" s="14"/>
      <c r="AB111" s="14"/>
      <c r="AC111" s="14"/>
      <c r="AD111" s="14"/>
      <c r="AE111" s="14"/>
      <c r="AF111" s="25"/>
      <c r="AG111" s="24"/>
      <c r="AH111" s="14"/>
      <c r="AI111" s="14"/>
      <c r="AJ111" s="14"/>
      <c r="AK111" s="14"/>
      <c r="AL111" s="14"/>
      <c r="AM111" s="14"/>
      <c r="AN111" s="25"/>
      <c r="AO111" s="24"/>
      <c r="AP111" s="14"/>
      <c r="AQ111" s="14"/>
      <c r="AR111" s="14"/>
      <c r="AS111" s="14"/>
      <c r="AT111" s="14"/>
      <c r="AU111" s="14"/>
      <c r="AV111" s="25"/>
      <c r="AW111" s="24"/>
      <c r="AX111" s="14"/>
      <c r="AY111" s="14"/>
      <c r="AZ111" s="14"/>
      <c r="BA111" s="14"/>
      <c r="BB111" s="14"/>
      <c r="BC111" s="14"/>
      <c r="BD111" s="25"/>
      <c r="BE111" s="24"/>
      <c r="BF111" s="14"/>
      <c r="BG111" s="14"/>
      <c r="BH111" s="14"/>
      <c r="BI111" s="14"/>
      <c r="BJ111" s="14"/>
      <c r="BK111" s="14"/>
      <c r="BL111" s="25"/>
      <c r="BM111" s="24"/>
      <c r="BN111" s="14"/>
      <c r="BO111" s="14"/>
      <c r="BP111" s="14"/>
      <c r="BQ111" s="14"/>
      <c r="BR111" s="14"/>
      <c r="BS111" s="14"/>
      <c r="BT111" s="25"/>
      <c r="BU111" s="24"/>
      <c r="BV111" s="14"/>
      <c r="BW111" s="14"/>
      <c r="BX111" s="14"/>
      <c r="BY111" s="14"/>
      <c r="BZ111" s="14"/>
      <c r="CA111" s="14"/>
      <c r="CB111" s="25"/>
      <c r="CC111" s="24"/>
      <c r="CD111" s="14"/>
      <c r="CE111" s="14"/>
      <c r="CF111" s="14"/>
      <c r="CG111" s="14"/>
      <c r="CH111" s="14"/>
      <c r="CI111" s="14"/>
      <c r="CJ111" s="25"/>
      <c r="CK111" s="24"/>
      <c r="CL111" s="14"/>
      <c r="CM111" s="14"/>
      <c r="CN111" s="14"/>
      <c r="CO111" s="14"/>
      <c r="CP111" s="14"/>
      <c r="CQ111" s="14"/>
      <c r="CR111" s="25"/>
      <c r="CS111" s="24"/>
      <c r="CT111" s="14"/>
      <c r="CU111" s="14"/>
      <c r="CV111" s="14"/>
      <c r="CW111" s="14"/>
      <c r="CX111" s="14"/>
      <c r="CY111" s="14"/>
      <c r="CZ111" s="25"/>
      <c r="DA111" s="24"/>
      <c r="DB111" s="14"/>
      <c r="DC111" s="14"/>
      <c r="DD111" s="14"/>
      <c r="DE111" s="14"/>
      <c r="DF111" s="14"/>
      <c r="DG111" s="14"/>
      <c r="DH111" s="25"/>
      <c r="DI111" s="24"/>
      <c r="DJ111" s="14"/>
      <c r="DK111" s="14"/>
      <c r="DL111" s="14"/>
      <c r="DM111" s="14"/>
      <c r="DN111" s="14"/>
      <c r="DO111" s="14"/>
      <c r="DP111" s="25"/>
      <c r="DQ111" s="24"/>
      <c r="DR111" s="14"/>
      <c r="DS111" s="14"/>
      <c r="DT111" s="14"/>
      <c r="DU111" s="14"/>
      <c r="DV111" s="14"/>
      <c r="DW111" s="14"/>
      <c r="DX111" s="25"/>
      <c r="DY111" s="24"/>
      <c r="DZ111" s="14"/>
      <c r="EA111" s="14"/>
      <c r="EB111" s="14"/>
      <c r="EC111" s="14"/>
      <c r="ED111" s="14"/>
      <c r="EE111" s="14"/>
      <c r="EF111" s="25"/>
      <c r="EG111" s="24"/>
      <c r="EH111" s="14"/>
      <c r="EI111" s="14"/>
      <c r="EJ111" s="14"/>
      <c r="EK111" s="14"/>
      <c r="EL111" s="14"/>
      <c r="EM111" s="14"/>
      <c r="EN111" s="25"/>
      <c r="EO111" s="24"/>
      <c r="EP111" s="14"/>
      <c r="EQ111" s="14"/>
      <c r="ER111" s="14"/>
      <c r="ES111" s="14"/>
      <c r="ET111" s="14"/>
      <c r="EU111" s="14"/>
      <c r="EV111" s="25"/>
      <c r="EW111" s="24"/>
      <c r="EX111" s="14"/>
      <c r="EY111" s="14"/>
      <c r="EZ111" s="14"/>
      <c r="FA111" s="14"/>
      <c r="FB111" s="14"/>
      <c r="FC111" s="14"/>
      <c r="FD111" s="25"/>
      <c r="FE111" s="24"/>
      <c r="FF111" s="14"/>
      <c r="FG111" s="14"/>
      <c r="FH111" s="14"/>
      <c r="FI111" s="14"/>
      <c r="FJ111" s="14"/>
      <c r="FK111" s="14"/>
      <c r="FL111" s="25"/>
      <c r="FM111" s="24"/>
      <c r="FN111" s="14"/>
      <c r="FO111" s="14"/>
      <c r="FP111" s="14"/>
      <c r="FQ111" s="14"/>
      <c r="FR111" s="14"/>
      <c r="FS111" s="14"/>
      <c r="FT111" s="25"/>
      <c r="FU111" s="24"/>
      <c r="FV111" s="14"/>
      <c r="FW111" s="14"/>
      <c r="FX111" s="14"/>
      <c r="FY111" s="14"/>
      <c r="FZ111" s="14"/>
      <c r="GA111" s="14"/>
      <c r="GB111" s="25"/>
      <c r="GC111" s="24"/>
      <c r="GD111" s="14"/>
      <c r="GE111" s="14"/>
      <c r="GF111" s="14"/>
      <c r="GG111" s="14"/>
      <c r="GH111" s="19"/>
      <c r="GI111" s="19"/>
      <c r="GJ111" s="25"/>
      <c r="GK111" s="24"/>
      <c r="GL111" s="14"/>
      <c r="GM111" s="14"/>
      <c r="GN111" s="14"/>
      <c r="GO111" s="14"/>
      <c r="GP111" s="19"/>
      <c r="GQ111" s="19"/>
      <c r="GR111" s="25"/>
      <c r="GS111" s="24"/>
      <c r="GT111" s="14"/>
      <c r="GU111" s="14"/>
      <c r="GV111" s="14"/>
      <c r="GW111" s="14"/>
      <c r="GX111" s="19"/>
      <c r="GY111" s="19"/>
      <c r="GZ111" s="25"/>
      <c r="HA111" s="24"/>
      <c r="HB111" s="14"/>
      <c r="HC111" s="14"/>
      <c r="HD111" s="14"/>
      <c r="HE111" s="14"/>
      <c r="HF111" s="19"/>
      <c r="HG111" s="19"/>
      <c r="HH111" s="25"/>
      <c r="HI111" s="24"/>
      <c r="HJ111" s="14"/>
      <c r="HK111" s="14"/>
      <c r="HL111" s="14"/>
      <c r="HM111" s="14"/>
      <c r="HN111" s="19"/>
      <c r="HO111" s="19"/>
      <c r="HP111" s="25"/>
    </row>
    <row r="112" spans="1:224" x14ac:dyDescent="0.25">
      <c r="A112" s="195" t="s">
        <v>18</v>
      </c>
      <c r="B112" s="194"/>
      <c r="C112" s="16">
        <f>C113+C114</f>
        <v>10.35927044820388</v>
      </c>
      <c r="D112" s="14"/>
      <c r="E112" s="14"/>
      <c r="F112" s="14"/>
      <c r="G112" s="14"/>
      <c r="H112" s="25"/>
      <c r="I112" s="195" t="s">
        <v>18</v>
      </c>
      <c r="J112" s="194"/>
      <c r="K112" s="16">
        <f>K113+K114</f>
        <v>33.500692860262959</v>
      </c>
      <c r="L112" s="14"/>
      <c r="M112" s="14"/>
      <c r="N112" s="14"/>
      <c r="O112" s="14"/>
      <c r="P112" s="25"/>
      <c r="Q112" s="195" t="s">
        <v>18</v>
      </c>
      <c r="R112" s="194"/>
      <c r="S112" s="16">
        <f>S113+S114</f>
        <v>46.80246909552789</v>
      </c>
      <c r="T112" s="14"/>
      <c r="U112" s="14"/>
      <c r="V112" s="14"/>
      <c r="W112" s="14"/>
      <c r="X112" s="25"/>
      <c r="Y112" s="195" t="s">
        <v>18</v>
      </c>
      <c r="Z112" s="194"/>
      <c r="AA112" s="16">
        <f>AA113+AA114</f>
        <v>6.6481447689716191</v>
      </c>
      <c r="AB112" s="14"/>
      <c r="AC112" s="14"/>
      <c r="AD112" s="14"/>
      <c r="AE112" s="14"/>
      <c r="AF112" s="25"/>
      <c r="AG112" s="195" t="s">
        <v>18</v>
      </c>
      <c r="AH112" s="194"/>
      <c r="AI112" s="16">
        <f>AI113+AI114</f>
        <v>25.189860777566441</v>
      </c>
      <c r="AJ112" s="14"/>
      <c r="AK112" s="14"/>
      <c r="AL112" s="14"/>
      <c r="AM112" s="14"/>
      <c r="AN112" s="25"/>
      <c r="AO112" s="195" t="s">
        <v>18</v>
      </c>
      <c r="AP112" s="194"/>
      <c r="AQ112" s="16">
        <f>AQ113+AQ114</f>
        <v>1.7417906361057045</v>
      </c>
      <c r="AR112" s="14"/>
      <c r="AS112" s="14"/>
      <c r="AT112" s="14"/>
      <c r="AU112" s="14"/>
      <c r="AV112" s="25"/>
      <c r="AW112" s="195" t="s">
        <v>18</v>
      </c>
      <c r="AX112" s="194"/>
      <c r="AY112" s="16">
        <f>AY113+AY114</f>
        <v>1.7124404391960284</v>
      </c>
      <c r="AZ112" s="14"/>
      <c r="BA112" s="14"/>
      <c r="BB112" s="14"/>
      <c r="BC112" s="14"/>
      <c r="BD112" s="25"/>
      <c r="BE112" s="195" t="s">
        <v>18</v>
      </c>
      <c r="BF112" s="194"/>
      <c r="BG112" s="16">
        <f>BG113+BG114</f>
        <v>1.7376428917887454</v>
      </c>
      <c r="BH112" s="14"/>
      <c r="BI112" s="14"/>
      <c r="BJ112" s="14"/>
      <c r="BK112" s="14"/>
      <c r="BL112" s="25"/>
      <c r="BM112" s="195" t="s">
        <v>18</v>
      </c>
      <c r="BN112" s="194"/>
      <c r="BO112" s="16">
        <f>BO113+BO114</f>
        <v>1.8130401035332087</v>
      </c>
      <c r="BP112" s="14"/>
      <c r="BQ112" s="14"/>
      <c r="BR112" s="14"/>
      <c r="BS112" s="14"/>
      <c r="BT112" s="25"/>
      <c r="BU112" s="195" t="s">
        <v>18</v>
      </c>
      <c r="BV112" s="194"/>
      <c r="BW112" s="16">
        <f>BW113+BW114</f>
        <v>1.7376428917887454</v>
      </c>
      <c r="BX112" s="14"/>
      <c r="BY112" s="14"/>
      <c r="BZ112" s="14"/>
      <c r="CA112" s="14"/>
      <c r="CB112" s="25"/>
      <c r="CC112" s="195" t="s">
        <v>18</v>
      </c>
      <c r="CD112" s="194"/>
      <c r="CE112" s="16">
        <f>CE113+CE114</f>
        <v>1.29478751708953</v>
      </c>
      <c r="CF112" s="14"/>
      <c r="CG112" s="14"/>
      <c r="CH112" s="14"/>
      <c r="CI112" s="14"/>
      <c r="CJ112" s="25"/>
      <c r="CK112" s="195" t="s">
        <v>18</v>
      </c>
      <c r="CL112" s="194"/>
      <c r="CM112" s="16">
        <f>CM113+CM114</f>
        <v>1.4156286596690633</v>
      </c>
      <c r="CN112" s="14"/>
      <c r="CO112" s="14"/>
      <c r="CP112" s="14"/>
      <c r="CQ112" s="14"/>
      <c r="CR112" s="25"/>
      <c r="CS112" s="195" t="s">
        <v>18</v>
      </c>
      <c r="CT112" s="194"/>
      <c r="CU112" s="16">
        <f>CU113+CU114</f>
        <v>1.8074331602126708</v>
      </c>
      <c r="CV112" s="14"/>
      <c r="CW112" s="14"/>
      <c r="CX112" s="14"/>
      <c r="CY112" s="14"/>
      <c r="CZ112" s="25"/>
      <c r="DA112" s="195" t="s">
        <v>18</v>
      </c>
      <c r="DB112" s="194"/>
      <c r="DC112" s="16">
        <f>DC113+DC114</f>
        <v>0.27695965687333873</v>
      </c>
      <c r="DD112" s="14"/>
      <c r="DE112" s="14"/>
      <c r="DF112" s="14"/>
      <c r="DG112" s="14"/>
      <c r="DH112" s="25"/>
      <c r="DI112" s="195" t="s">
        <v>18</v>
      </c>
      <c r="DJ112" s="194"/>
      <c r="DK112" s="16">
        <f>DK113+DK114</f>
        <v>2.5131451377366982</v>
      </c>
      <c r="DL112" s="14"/>
      <c r="DM112" s="14"/>
      <c r="DN112" s="14"/>
      <c r="DO112" s="14"/>
      <c r="DP112" s="25"/>
      <c r="DQ112" s="195" t="s">
        <v>18</v>
      </c>
      <c r="DR112" s="194"/>
      <c r="DS112" s="16">
        <f>DS113+DS114</f>
        <v>2.2991236823849501</v>
      </c>
      <c r="DT112" s="14"/>
      <c r="DU112" s="14"/>
      <c r="DV112" s="14"/>
      <c r="DW112" s="14"/>
      <c r="DX112" s="25"/>
      <c r="DY112" s="195" t="s">
        <v>18</v>
      </c>
      <c r="DZ112" s="194"/>
      <c r="EA112" s="16">
        <f>EA113+EA114</f>
        <v>0.1613298586118263</v>
      </c>
      <c r="EB112" s="14"/>
      <c r="EC112" s="14"/>
      <c r="ED112" s="14"/>
      <c r="EE112" s="14"/>
      <c r="EF112" s="25"/>
      <c r="EG112" s="195" t="s">
        <v>18</v>
      </c>
      <c r="EH112" s="194"/>
      <c r="EI112" s="16">
        <f>EI113+EI114</f>
        <v>13.287434553732446</v>
      </c>
      <c r="EJ112" s="14"/>
      <c r="EK112" s="14"/>
      <c r="EL112" s="14"/>
      <c r="EM112" s="14"/>
      <c r="EN112" s="25"/>
      <c r="EO112" s="195" t="s">
        <v>18</v>
      </c>
      <c r="EP112" s="194"/>
      <c r="EQ112" s="16">
        <f>EQ113+EQ114</f>
        <v>51.417923939217992</v>
      </c>
      <c r="ER112" s="14"/>
      <c r="ES112" s="14"/>
      <c r="ET112" s="14"/>
      <c r="EU112" s="14"/>
      <c r="EV112" s="25"/>
      <c r="EW112" s="195" t="s">
        <v>18</v>
      </c>
      <c r="EX112" s="194"/>
      <c r="EY112" s="16">
        <f>EY113+EY114</f>
        <v>5.5675439341455704</v>
      </c>
      <c r="EZ112" s="14"/>
      <c r="FA112" s="14"/>
      <c r="FB112" s="14"/>
      <c r="FC112" s="14"/>
      <c r="FD112" s="25"/>
      <c r="FE112" s="195" t="s">
        <v>18</v>
      </c>
      <c r="FF112" s="194"/>
      <c r="FG112" s="16">
        <f>FG113+FG114</f>
        <v>4.9263480323662581</v>
      </c>
      <c r="FH112" s="14"/>
      <c r="FI112" s="14"/>
      <c r="FJ112" s="14"/>
      <c r="FK112" s="14"/>
      <c r="FL112" s="25"/>
      <c r="FM112" s="195" t="s">
        <v>18</v>
      </c>
      <c r="FN112" s="194"/>
      <c r="FO112" s="16">
        <f>FO113+FO114</f>
        <v>19.900231514364144</v>
      </c>
      <c r="FP112" s="14"/>
      <c r="FQ112" s="14"/>
      <c r="FR112" s="14"/>
      <c r="FS112" s="14"/>
      <c r="FT112" s="25"/>
      <c r="FU112" s="195" t="s">
        <v>18</v>
      </c>
      <c r="FV112" s="194"/>
      <c r="FW112" s="16">
        <f>FW113+FW114</f>
        <v>17.65878509342128</v>
      </c>
      <c r="FX112" s="14"/>
      <c r="FY112" s="14"/>
      <c r="FZ112" s="14"/>
      <c r="GA112" s="14"/>
      <c r="GB112" s="25"/>
      <c r="GC112" s="195" t="s">
        <v>115</v>
      </c>
      <c r="GD112" s="194"/>
      <c r="GE112" s="16">
        <f>GE113+GE114</f>
        <v>1.7848899403659235</v>
      </c>
      <c r="GF112" s="14"/>
      <c r="GG112" s="194" t="s">
        <v>108</v>
      </c>
      <c r="GH112" s="198"/>
      <c r="GI112" s="16">
        <f>GI113+GI114</f>
        <v>1.6934439661915783</v>
      </c>
      <c r="GJ112" s="25"/>
      <c r="GK112" s="195" t="s">
        <v>115</v>
      </c>
      <c r="GL112" s="194"/>
      <c r="GM112" s="16">
        <f>GM113+GM114</f>
        <v>19.465356559720131</v>
      </c>
      <c r="GN112" s="14"/>
      <c r="GO112" s="194" t="s">
        <v>108</v>
      </c>
      <c r="GP112" s="198"/>
      <c r="GQ112" s="16">
        <f>GQ113+GQ114</f>
        <v>18.843520386950757</v>
      </c>
      <c r="GR112" s="25"/>
      <c r="GS112" s="195" t="s">
        <v>115</v>
      </c>
      <c r="GT112" s="194"/>
      <c r="GU112" s="16">
        <f>GU113+GU114</f>
        <v>11.20894963927346</v>
      </c>
      <c r="GV112" s="14"/>
      <c r="GW112" s="194" t="s">
        <v>108</v>
      </c>
      <c r="GX112" s="198"/>
      <c r="GY112" s="16">
        <f>GY113+GY114</f>
        <v>10.634677077109544</v>
      </c>
      <c r="GZ112" s="25"/>
      <c r="HA112" s="195" t="s">
        <v>115</v>
      </c>
      <c r="HB112" s="194"/>
      <c r="HC112" s="16">
        <f>HC113+HC114</f>
        <v>14.464314782642914</v>
      </c>
      <c r="HD112" s="14"/>
      <c r="HE112" s="194" t="s">
        <v>108</v>
      </c>
      <c r="HF112" s="198"/>
      <c r="HG112" s="16">
        <f>HG113+HG114</f>
        <v>13.975183364872381</v>
      </c>
      <c r="HH112" s="25"/>
      <c r="HI112" s="195" t="s">
        <v>115</v>
      </c>
      <c r="HJ112" s="194"/>
      <c r="HK112" s="16">
        <f>HK113+HK114</f>
        <v>6.4509530498002681</v>
      </c>
      <c r="HL112" s="14"/>
      <c r="HM112" s="194" t="s">
        <v>108</v>
      </c>
      <c r="HN112" s="198"/>
      <c r="HO112" s="16">
        <f>HO113+HO114</f>
        <v>6.2328048790340755</v>
      </c>
      <c r="HP112" s="25"/>
    </row>
    <row r="113" spans="1:224" x14ac:dyDescent="0.25">
      <c r="A113" s="195" t="s">
        <v>19</v>
      </c>
      <c r="B113" s="194"/>
      <c r="C113" s="16">
        <f>(C76*G93*G99)+(C79*G93*G108)</f>
        <v>2.7624632130297586</v>
      </c>
      <c r="D113" s="14"/>
      <c r="E113" s="14"/>
      <c r="F113" s="14"/>
      <c r="G113" s="14"/>
      <c r="H113" s="25"/>
      <c r="I113" s="195" t="s">
        <v>19</v>
      </c>
      <c r="J113" s="194"/>
      <c r="K113" s="16">
        <f>(K76*O93*O99)+(K79*O93*O108)</f>
        <v>9.8550746604461175</v>
      </c>
      <c r="L113" s="14"/>
      <c r="M113" s="14"/>
      <c r="N113" s="14"/>
      <c r="O113" s="14"/>
      <c r="P113" s="25"/>
      <c r="Q113" s="195" t="s">
        <v>19</v>
      </c>
      <c r="R113" s="194"/>
      <c r="S113" s="16">
        <f>(S76*W93*W99)+(S79*W93*W108)</f>
        <v>13.251463526162098</v>
      </c>
      <c r="T113" s="14"/>
      <c r="U113" s="14"/>
      <c r="V113" s="14"/>
      <c r="W113" s="14"/>
      <c r="X113" s="25"/>
      <c r="Y113" s="195" t="s">
        <v>19</v>
      </c>
      <c r="Z113" s="194"/>
      <c r="AA113" s="16">
        <f>(AA76*AE93*AE99)+(AA79*AE93*AE108)</f>
        <v>1.8858979476849891</v>
      </c>
      <c r="AB113" s="14"/>
      <c r="AC113" s="14"/>
      <c r="AD113" s="14"/>
      <c r="AE113" s="14"/>
      <c r="AF113" s="25"/>
      <c r="AG113" s="195" t="s">
        <v>19</v>
      </c>
      <c r="AH113" s="194"/>
      <c r="AI113" s="16">
        <f>(AI76*AM93*AM99)+(AI79*AM93*AM108)</f>
        <v>7.2898432579579371</v>
      </c>
      <c r="AJ113" s="14"/>
      <c r="AK113" s="14"/>
      <c r="AL113" s="14"/>
      <c r="AM113" s="14"/>
      <c r="AN113" s="25"/>
      <c r="AO113" s="195" t="s">
        <v>19</v>
      </c>
      <c r="AP113" s="194"/>
      <c r="AQ113" s="16">
        <f>AQ86*AU101</f>
        <v>0.48902538518363509</v>
      </c>
      <c r="AR113" s="14"/>
      <c r="AS113" s="14"/>
      <c r="AT113" s="14"/>
      <c r="AU113" s="14"/>
      <c r="AV113" s="25"/>
      <c r="AW113" s="195" t="s">
        <v>19</v>
      </c>
      <c r="AX113" s="194"/>
      <c r="AY113" s="16">
        <f>AY86*BC101</f>
        <v>0.54086338247031185</v>
      </c>
      <c r="AZ113" s="14"/>
      <c r="BA113" s="14"/>
      <c r="BB113" s="14"/>
      <c r="BC113" s="14"/>
      <c r="BD113" s="25"/>
      <c r="BE113" s="195" t="s">
        <v>19</v>
      </c>
      <c r="BF113" s="194"/>
      <c r="BG113" s="16">
        <f>BG86*BK101</f>
        <v>0.48788712442679727</v>
      </c>
      <c r="BH113" s="14"/>
      <c r="BI113" s="14"/>
      <c r="BJ113" s="14"/>
      <c r="BK113" s="14"/>
      <c r="BL113" s="25"/>
      <c r="BM113" s="195" t="s">
        <v>19</v>
      </c>
      <c r="BN113" s="194"/>
      <c r="BO113" s="16">
        <f>BO86*BS101</f>
        <v>0.63778381873479184</v>
      </c>
      <c r="BP113" s="14"/>
      <c r="BQ113" s="14"/>
      <c r="BR113" s="14"/>
      <c r="BS113" s="14"/>
      <c r="BT113" s="25"/>
      <c r="BU113" s="195" t="s">
        <v>19</v>
      </c>
      <c r="BV113" s="194"/>
      <c r="BW113" s="16">
        <f>BW86*CA101</f>
        <v>0.48788712442679727</v>
      </c>
      <c r="BX113" s="14"/>
      <c r="BY113" s="14"/>
      <c r="BZ113" s="14"/>
      <c r="CA113" s="14"/>
      <c r="CB113" s="25"/>
      <c r="CC113" s="195" t="s">
        <v>19</v>
      </c>
      <c r="CD113" s="194"/>
      <c r="CE113" s="16">
        <f>CE86*CI101</f>
        <v>0.40002765539992047</v>
      </c>
      <c r="CF113" s="14"/>
      <c r="CG113" s="14"/>
      <c r="CH113" s="14"/>
      <c r="CI113" s="14"/>
      <c r="CJ113" s="25"/>
      <c r="CK113" s="195" t="s">
        <v>19</v>
      </c>
      <c r="CL113" s="194"/>
      <c r="CM113" s="16">
        <f>CM86*CQ101</f>
        <v>0.39931531322627806</v>
      </c>
      <c r="CN113" s="14"/>
      <c r="CO113" s="14"/>
      <c r="CP113" s="14"/>
      <c r="CQ113" s="14"/>
      <c r="CR113" s="25"/>
      <c r="CS113" s="195" t="s">
        <v>19</v>
      </c>
      <c r="CT113" s="194"/>
      <c r="CU113" s="16">
        <f>CU86*CY101</f>
        <v>0.63585610348695421</v>
      </c>
      <c r="CV113" s="14"/>
      <c r="CW113" s="14"/>
      <c r="CX113" s="14"/>
      <c r="CY113" s="14"/>
      <c r="CZ113" s="25"/>
      <c r="DA113" s="195" t="s">
        <v>19</v>
      </c>
      <c r="DB113" s="194"/>
      <c r="DC113" s="16">
        <f>DC86*DG101</f>
        <v>8.1028437785308119E-2</v>
      </c>
      <c r="DD113" s="14"/>
      <c r="DE113" s="14"/>
      <c r="DF113" s="14"/>
      <c r="DG113" s="14"/>
      <c r="DH113" s="25"/>
      <c r="DI113" s="195" t="s">
        <v>19</v>
      </c>
      <c r="DJ113" s="194"/>
      <c r="DK113" s="16">
        <f>DK86*DO101</f>
        <v>0.82001808315334257</v>
      </c>
      <c r="DL113" s="14"/>
      <c r="DM113" s="14"/>
      <c r="DN113" s="14"/>
      <c r="DO113" s="14"/>
      <c r="DP113" s="25"/>
      <c r="DQ113" s="195" t="s">
        <v>19</v>
      </c>
      <c r="DR113" s="194"/>
      <c r="DS113" s="16">
        <f>DS86*DW101</f>
        <v>0.6414643244665984</v>
      </c>
      <c r="DT113" s="14"/>
      <c r="DU113" s="14"/>
      <c r="DV113" s="14"/>
      <c r="DW113" s="14"/>
      <c r="DX113" s="25"/>
      <c r="DY113" s="195" t="s">
        <v>19</v>
      </c>
      <c r="DZ113" s="194"/>
      <c r="EA113" s="16">
        <f>EA86*EE101</f>
        <v>5.66899823871213E-2</v>
      </c>
      <c r="EB113" s="14"/>
      <c r="EC113" s="14"/>
      <c r="ED113" s="14"/>
      <c r="EE113" s="14"/>
      <c r="EF113" s="25"/>
      <c r="EG113" s="195" t="s">
        <v>19</v>
      </c>
      <c r="EH113" s="194"/>
      <c r="EI113" s="16">
        <f>EI79*EM107</f>
        <v>4.3462248663407834</v>
      </c>
      <c r="EJ113" s="14"/>
      <c r="EK113" s="14"/>
      <c r="EL113" s="115"/>
      <c r="EM113" s="14"/>
      <c r="EN113" s="25"/>
      <c r="EO113" s="195" t="s">
        <v>19</v>
      </c>
      <c r="EP113" s="194"/>
      <c r="EQ113" s="16">
        <f>EQ79*EU107</f>
        <v>20.194081579777293</v>
      </c>
      <c r="ER113" s="14"/>
      <c r="ES113" s="14"/>
      <c r="ET113" s="115"/>
      <c r="EU113" s="14"/>
      <c r="EV113" s="25"/>
      <c r="EW113" s="195" t="s">
        <v>19</v>
      </c>
      <c r="EX113" s="194"/>
      <c r="EY113" s="16">
        <f>EY79*FC107</f>
        <v>2.7342347467097596</v>
      </c>
      <c r="EZ113" s="14"/>
      <c r="FA113" s="14"/>
      <c r="FB113" s="115"/>
      <c r="FC113" s="14"/>
      <c r="FD113" s="25"/>
      <c r="FE113" s="195" t="s">
        <v>19</v>
      </c>
      <c r="FF113" s="194"/>
      <c r="FG113" s="16">
        <f>FG79*FK107</f>
        <v>1.2060096688773083</v>
      </c>
      <c r="FH113" s="14"/>
      <c r="FI113" s="14"/>
      <c r="FJ113" s="115"/>
      <c r="FK113" s="14"/>
      <c r="FL113" s="25"/>
      <c r="FM113" s="195" t="s">
        <v>19</v>
      </c>
      <c r="FN113" s="194"/>
      <c r="FO113" s="16">
        <f>FO79*FS107</f>
        <v>7.6473722719344579</v>
      </c>
      <c r="FP113" s="14"/>
      <c r="FQ113" s="14"/>
      <c r="FR113" s="115"/>
      <c r="FS113" s="14"/>
      <c r="FT113" s="25"/>
      <c r="FU113" s="195" t="s">
        <v>19</v>
      </c>
      <c r="FV113" s="194"/>
      <c r="FW113" s="16">
        <f>FW79*GA107</f>
        <v>6.0109289180778873</v>
      </c>
      <c r="FX113" s="14"/>
      <c r="FY113" s="14"/>
      <c r="FZ113" s="115"/>
      <c r="GA113" s="14"/>
      <c r="GB113" s="25"/>
      <c r="GC113" s="195" t="s">
        <v>113</v>
      </c>
      <c r="GD113" s="198"/>
      <c r="GE113" s="16">
        <f>GI113+GI115+GI116</f>
        <v>0.59152820501929559</v>
      </c>
      <c r="GF113" s="14"/>
      <c r="GG113" s="194" t="s">
        <v>109</v>
      </c>
      <c r="GH113" s="198"/>
      <c r="GI113" s="16">
        <f>GE93*GI104</f>
        <v>0.5000822308449504</v>
      </c>
      <c r="GJ113" s="25"/>
      <c r="GK113" s="195" t="s">
        <v>113</v>
      </c>
      <c r="GL113" s="198"/>
      <c r="GM113" s="16">
        <f>GQ113+GQ115+GQ116</f>
        <v>6.0903775893434862</v>
      </c>
      <c r="GN113" s="14"/>
      <c r="GO113" s="194" t="s">
        <v>109</v>
      </c>
      <c r="GP113" s="198"/>
      <c r="GQ113" s="16">
        <f>GM93*GQ104</f>
        <v>5.4685414165741113</v>
      </c>
      <c r="GR113" s="25"/>
      <c r="GS113" s="195" t="s">
        <v>113</v>
      </c>
      <c r="GT113" s="198"/>
      <c r="GU113" s="16">
        <f>GY113+GY115+GY116</f>
        <v>3.4713699492915433</v>
      </c>
      <c r="GV113" s="14"/>
      <c r="GW113" s="194" t="s">
        <v>109</v>
      </c>
      <c r="GX113" s="198"/>
      <c r="GY113" s="16">
        <f>GU93*GY104</f>
        <v>2.8970973871276278</v>
      </c>
      <c r="GZ113" s="25"/>
      <c r="HA113" s="195" t="s">
        <v>113</v>
      </c>
      <c r="HB113" s="198"/>
      <c r="HC113" s="16">
        <f>HG113+HG115+HG116</f>
        <v>4.2027325079626099</v>
      </c>
      <c r="HD113" s="14"/>
      <c r="HE113" s="194" t="s">
        <v>109</v>
      </c>
      <c r="HF113" s="198"/>
      <c r="HG113" s="16">
        <f>HC93*HG104</f>
        <v>3.7136010901920762</v>
      </c>
      <c r="HH113" s="25"/>
      <c r="HI113" s="195" t="s">
        <v>113</v>
      </c>
      <c r="HJ113" s="198"/>
      <c r="HK113" s="16">
        <f>HO113+HO115+HO116</f>
        <v>1.8781586085074746</v>
      </c>
      <c r="HL113" s="14"/>
      <c r="HM113" s="194" t="s">
        <v>109</v>
      </c>
      <c r="HN113" s="198"/>
      <c r="HO113" s="16">
        <f>HK93*HO104</f>
        <v>1.6600104377412819</v>
      </c>
      <c r="HP113" s="25"/>
    </row>
    <row r="114" spans="1:224" x14ac:dyDescent="0.25">
      <c r="A114" s="195" t="s">
        <v>20</v>
      </c>
      <c r="B114" s="194"/>
      <c r="C114" s="16">
        <f>(C77*H93*H99)+(C80*H93*H108)</f>
        <v>7.5968072351741203</v>
      </c>
      <c r="D114" s="14"/>
      <c r="E114" s="14"/>
      <c r="F114" s="14"/>
      <c r="G114" s="14"/>
      <c r="H114" s="25"/>
      <c r="I114" s="195" t="s">
        <v>20</v>
      </c>
      <c r="J114" s="194"/>
      <c r="K114" s="16">
        <f>(K77*P93*P99)+(K80*P93*P108)</f>
        <v>23.645618199816841</v>
      </c>
      <c r="L114" s="14"/>
      <c r="M114" s="14"/>
      <c r="N114" s="14"/>
      <c r="O114" s="14"/>
      <c r="P114" s="25"/>
      <c r="Q114" s="195" t="s">
        <v>20</v>
      </c>
      <c r="R114" s="194"/>
      <c r="S114" s="16">
        <f>(S77*X93*X99)+(S80*X93*X108)</f>
        <v>33.551005569365792</v>
      </c>
      <c r="T114" s="14"/>
      <c r="U114" s="14"/>
      <c r="V114" s="14"/>
      <c r="W114" s="14"/>
      <c r="X114" s="25"/>
      <c r="Y114" s="195" t="s">
        <v>20</v>
      </c>
      <c r="Z114" s="194"/>
      <c r="AA114" s="16">
        <f>(AA77*AF93*AF99)+(AA80*AF93*AF108)</f>
        <v>4.76224682128663</v>
      </c>
      <c r="AB114" s="14"/>
      <c r="AC114" s="14"/>
      <c r="AD114" s="14"/>
      <c r="AE114" s="14"/>
      <c r="AF114" s="25"/>
      <c r="AG114" s="195" t="s">
        <v>20</v>
      </c>
      <c r="AH114" s="194"/>
      <c r="AI114" s="16">
        <f>(AI77*AN93*AN99)+(AI80*AN93*AN108)</f>
        <v>17.900017519608504</v>
      </c>
      <c r="AJ114" s="14"/>
      <c r="AK114" s="14"/>
      <c r="AL114" s="14"/>
      <c r="AM114" s="14"/>
      <c r="AN114" s="25"/>
      <c r="AO114" s="195" t="s">
        <v>20</v>
      </c>
      <c r="AP114" s="194"/>
      <c r="AQ114" s="16">
        <f>AQ87*AV101</f>
        <v>1.2527652509220695</v>
      </c>
      <c r="AR114" s="14"/>
      <c r="AS114" s="14"/>
      <c r="AT114" s="14"/>
      <c r="AU114" s="14"/>
      <c r="AV114" s="25"/>
      <c r="AW114" s="195" t="s">
        <v>20</v>
      </c>
      <c r="AX114" s="194"/>
      <c r="AY114" s="16">
        <f>AY87*BD101</f>
        <v>1.1715770567257164</v>
      </c>
      <c r="AZ114" s="14"/>
      <c r="BA114" s="14"/>
      <c r="BB114" s="14"/>
      <c r="BC114" s="14"/>
      <c r="BD114" s="25"/>
      <c r="BE114" s="195" t="s">
        <v>20</v>
      </c>
      <c r="BF114" s="194"/>
      <c r="BG114" s="16">
        <f>BG87*BL101</f>
        <v>1.2497557673619482</v>
      </c>
      <c r="BH114" s="14"/>
      <c r="BI114" s="14"/>
      <c r="BJ114" s="14"/>
      <c r="BK114" s="14"/>
      <c r="BL114" s="25"/>
      <c r="BM114" s="195" t="s">
        <v>20</v>
      </c>
      <c r="BN114" s="194"/>
      <c r="BO114" s="16">
        <f>BO87*BT101</f>
        <v>1.1752562847984167</v>
      </c>
      <c r="BP114" s="14"/>
      <c r="BQ114" s="14"/>
      <c r="BR114" s="14"/>
      <c r="BS114" s="14"/>
      <c r="BT114" s="25"/>
      <c r="BU114" s="195" t="s">
        <v>20</v>
      </c>
      <c r="BV114" s="194"/>
      <c r="BW114" s="16">
        <f>BW87*CB101</f>
        <v>1.2497557673619482</v>
      </c>
      <c r="BX114" s="14"/>
      <c r="BY114" s="14"/>
      <c r="BZ114" s="14"/>
      <c r="CA114" s="14"/>
      <c r="CB114" s="25"/>
      <c r="CC114" s="195" t="s">
        <v>20</v>
      </c>
      <c r="CD114" s="194"/>
      <c r="CE114" s="16">
        <f>CE87*CJ101</f>
        <v>0.89475986168960953</v>
      </c>
      <c r="CF114" s="14"/>
      <c r="CG114" s="14"/>
      <c r="CH114" s="14"/>
      <c r="CI114" s="14"/>
      <c r="CJ114" s="25"/>
      <c r="CK114" s="195" t="s">
        <v>20</v>
      </c>
      <c r="CL114" s="194"/>
      <c r="CM114" s="16">
        <f>CM87*CR101</f>
        <v>1.0163133464427851</v>
      </c>
      <c r="CN114" s="14"/>
      <c r="CO114" s="14"/>
      <c r="CP114" s="14"/>
      <c r="CQ114" s="14"/>
      <c r="CR114" s="25"/>
      <c r="CS114" s="195" t="s">
        <v>20</v>
      </c>
      <c r="CT114" s="194"/>
      <c r="CU114" s="16">
        <f>CU87*CZ101</f>
        <v>1.1715770567257164</v>
      </c>
      <c r="CV114" s="14"/>
      <c r="CW114" s="14"/>
      <c r="CX114" s="14"/>
      <c r="CY114" s="14"/>
      <c r="CZ114" s="25"/>
      <c r="DA114" s="195" t="s">
        <v>20</v>
      </c>
      <c r="DB114" s="194"/>
      <c r="DC114" s="16">
        <f>DC87*DH101</f>
        <v>0.19593121908803063</v>
      </c>
      <c r="DD114" s="14"/>
      <c r="DE114" s="14"/>
      <c r="DF114" s="14"/>
      <c r="DG114" s="14"/>
      <c r="DH114" s="25"/>
      <c r="DI114" s="195" t="s">
        <v>20</v>
      </c>
      <c r="DJ114" s="194"/>
      <c r="DK114" s="16">
        <f>DK87*DP101</f>
        <v>1.6931270545833557</v>
      </c>
      <c r="DL114" s="14"/>
      <c r="DM114" s="14"/>
      <c r="DN114" s="14"/>
      <c r="DO114" s="14"/>
      <c r="DP114" s="25"/>
      <c r="DQ114" s="195" t="s">
        <v>20</v>
      </c>
      <c r="DR114" s="194"/>
      <c r="DS114" s="16">
        <f>DS87*DX101</f>
        <v>1.6576593579183516</v>
      </c>
      <c r="DT114" s="14"/>
      <c r="DU114" s="14"/>
      <c r="DV114" s="14"/>
      <c r="DW114" s="14"/>
      <c r="DX114" s="25"/>
      <c r="DY114" s="195" t="s">
        <v>20</v>
      </c>
      <c r="DZ114" s="194"/>
      <c r="EA114" s="16">
        <f>EA87*EF101</f>
        <v>0.10463987622470501</v>
      </c>
      <c r="EB114" s="14"/>
      <c r="EC114" s="14"/>
      <c r="ED114" s="14"/>
      <c r="EE114" s="14"/>
      <c r="EF114" s="25"/>
      <c r="EG114" s="195" t="s">
        <v>20</v>
      </c>
      <c r="EH114" s="194"/>
      <c r="EI114" s="75">
        <f>EI80*EN107</f>
        <v>8.9412096873916624</v>
      </c>
      <c r="EJ114" s="14"/>
      <c r="EK114" s="14"/>
      <c r="EL114" s="115"/>
      <c r="EM114" s="14"/>
      <c r="EN114" s="25"/>
      <c r="EO114" s="195" t="s">
        <v>20</v>
      </c>
      <c r="EP114" s="194"/>
      <c r="EQ114" s="75">
        <f>EQ80*EV107</f>
        <v>31.223842359440699</v>
      </c>
      <c r="ER114" s="14"/>
      <c r="ES114" s="14"/>
      <c r="ET114" s="115"/>
      <c r="EU114" s="14"/>
      <c r="EV114" s="25"/>
      <c r="EW114" s="195" t="s">
        <v>20</v>
      </c>
      <c r="EX114" s="194"/>
      <c r="EY114" s="75">
        <f>EY80*FD107</f>
        <v>2.8333091874358107</v>
      </c>
      <c r="EZ114" s="14"/>
      <c r="FA114" s="14"/>
      <c r="FB114" s="115"/>
      <c r="FC114" s="14"/>
      <c r="FD114" s="25"/>
      <c r="FE114" s="195" t="s">
        <v>20</v>
      </c>
      <c r="FF114" s="194"/>
      <c r="FG114" s="75">
        <f>FG80*FL107</f>
        <v>3.7203383634889495</v>
      </c>
      <c r="FH114" s="14"/>
      <c r="FI114" s="14"/>
      <c r="FJ114" s="115"/>
      <c r="FK114" s="14"/>
      <c r="FL114" s="25"/>
      <c r="FM114" s="195" t="s">
        <v>20</v>
      </c>
      <c r="FN114" s="194"/>
      <c r="FO114" s="75">
        <f>FO80*FT107</f>
        <v>12.252859242429686</v>
      </c>
      <c r="FP114" s="14"/>
      <c r="FQ114" s="14"/>
      <c r="FR114" s="115"/>
      <c r="FS114" s="14"/>
      <c r="FT114" s="25"/>
      <c r="FU114" s="195" t="s">
        <v>20</v>
      </c>
      <c r="FV114" s="194"/>
      <c r="FW114" s="75">
        <f>FW80*GB107</f>
        <v>11.647856175343392</v>
      </c>
      <c r="FX114" s="14"/>
      <c r="FY114" s="14"/>
      <c r="FZ114" s="115"/>
      <c r="GA114" s="14"/>
      <c r="GB114" s="25"/>
      <c r="GC114" s="195" t="s">
        <v>114</v>
      </c>
      <c r="GD114" s="198"/>
      <c r="GE114" s="16">
        <f>GI114</f>
        <v>1.1933617353466279</v>
      </c>
      <c r="GF114" s="14"/>
      <c r="GG114" s="194" t="s">
        <v>110</v>
      </c>
      <c r="GH114" s="198"/>
      <c r="GI114" s="16">
        <f>GE94*GJ104</f>
        <v>1.1933617353466279</v>
      </c>
      <c r="GJ114" s="25"/>
      <c r="GK114" s="195" t="s">
        <v>114</v>
      </c>
      <c r="GL114" s="198"/>
      <c r="GM114" s="16">
        <f>GQ114</f>
        <v>13.374978970376645</v>
      </c>
      <c r="GN114" s="14"/>
      <c r="GO114" s="194" t="s">
        <v>110</v>
      </c>
      <c r="GP114" s="198"/>
      <c r="GQ114" s="16">
        <f>GM94*GR104</f>
        <v>13.374978970376645</v>
      </c>
      <c r="GR114" s="25"/>
      <c r="GS114" s="195" t="s">
        <v>114</v>
      </c>
      <c r="GT114" s="198"/>
      <c r="GU114" s="16">
        <f>GY114</f>
        <v>7.7375796899819154</v>
      </c>
      <c r="GV114" s="14"/>
      <c r="GW114" s="194" t="s">
        <v>110</v>
      </c>
      <c r="GX114" s="198"/>
      <c r="GY114" s="16">
        <f>GU94*GZ104</f>
        <v>7.7375796899819154</v>
      </c>
      <c r="GZ114" s="25"/>
      <c r="HA114" s="195" t="s">
        <v>114</v>
      </c>
      <c r="HB114" s="198"/>
      <c r="HC114" s="16">
        <f>HG114</f>
        <v>10.261582274680304</v>
      </c>
      <c r="HD114" s="14"/>
      <c r="HE114" s="194" t="s">
        <v>110</v>
      </c>
      <c r="HF114" s="198"/>
      <c r="HG114" s="16">
        <f>HC94*HH104</f>
        <v>10.261582274680304</v>
      </c>
      <c r="HH114" s="25"/>
      <c r="HI114" s="195" t="s">
        <v>114</v>
      </c>
      <c r="HJ114" s="198"/>
      <c r="HK114" s="16">
        <f>HO114</f>
        <v>4.5727944412927934</v>
      </c>
      <c r="HL114" s="14"/>
      <c r="HM114" s="194" t="s">
        <v>110</v>
      </c>
      <c r="HN114" s="198"/>
      <c r="HO114" s="16">
        <f>HK94*HP104</f>
        <v>4.5727944412927934</v>
      </c>
      <c r="HP114" s="25"/>
    </row>
    <row r="115" spans="1:224" x14ac:dyDescent="0.25">
      <c r="A115" s="24"/>
      <c r="B115" s="14"/>
      <c r="C115" s="14"/>
      <c r="D115" s="14"/>
      <c r="E115" s="14"/>
      <c r="F115" s="14"/>
      <c r="G115" s="14"/>
      <c r="H115" s="25"/>
      <c r="I115" s="24"/>
      <c r="J115" s="14"/>
      <c r="K115" s="14"/>
      <c r="L115" s="14"/>
      <c r="M115" s="14"/>
      <c r="N115" s="14"/>
      <c r="O115" s="14"/>
      <c r="P115" s="25"/>
      <c r="Q115" s="24"/>
      <c r="R115" s="14"/>
      <c r="S115" s="14"/>
      <c r="T115" s="14"/>
      <c r="U115" s="14"/>
      <c r="V115" s="14"/>
      <c r="W115" s="14"/>
      <c r="X115" s="25"/>
      <c r="Y115" s="24"/>
      <c r="Z115" s="14"/>
      <c r="AA115" s="14"/>
      <c r="AB115" s="14"/>
      <c r="AC115" s="14"/>
      <c r="AD115" s="14"/>
      <c r="AE115" s="14"/>
      <c r="AF115" s="25"/>
      <c r="AG115" s="24"/>
      <c r="AH115" s="14"/>
      <c r="AI115" s="14"/>
      <c r="AJ115" s="14"/>
      <c r="AK115" s="14"/>
      <c r="AL115" s="14"/>
      <c r="AM115" s="14"/>
      <c r="AN115" s="25"/>
      <c r="AO115" s="24"/>
      <c r="AP115" s="14"/>
      <c r="AQ115" s="14"/>
      <c r="AR115" s="14"/>
      <c r="AS115" s="14"/>
      <c r="AT115" s="14"/>
      <c r="AU115" s="14"/>
      <c r="AV115" s="25"/>
      <c r="AW115" s="24"/>
      <c r="AX115" s="14"/>
      <c r="AY115" s="14"/>
      <c r="AZ115" s="14"/>
      <c r="BA115" s="14"/>
      <c r="BB115" s="14"/>
      <c r="BC115" s="14"/>
      <c r="BD115" s="25"/>
      <c r="BE115" s="24"/>
      <c r="BF115" s="14"/>
      <c r="BG115" s="14"/>
      <c r="BH115" s="14"/>
      <c r="BI115" s="14"/>
      <c r="BJ115" s="14"/>
      <c r="BK115" s="14"/>
      <c r="BL115" s="25"/>
      <c r="BM115" s="24"/>
      <c r="BN115" s="14"/>
      <c r="BO115" s="14"/>
      <c r="BP115" s="14"/>
      <c r="BQ115" s="14"/>
      <c r="BR115" s="14"/>
      <c r="BS115" s="14"/>
      <c r="BT115" s="25"/>
      <c r="BU115" s="24"/>
      <c r="BV115" s="14"/>
      <c r="BW115" s="14"/>
      <c r="BX115" s="14"/>
      <c r="BY115" s="14"/>
      <c r="BZ115" s="14"/>
      <c r="CA115" s="14"/>
      <c r="CB115" s="25"/>
      <c r="CC115" s="24"/>
      <c r="CD115" s="14"/>
      <c r="CE115" s="14"/>
      <c r="CF115" s="14"/>
      <c r="CG115" s="14"/>
      <c r="CH115" s="14"/>
      <c r="CI115" s="14"/>
      <c r="CJ115" s="25"/>
      <c r="CK115" s="24"/>
      <c r="CL115" s="14"/>
      <c r="CM115" s="14"/>
      <c r="CN115" s="14"/>
      <c r="CO115" s="14"/>
      <c r="CP115" s="14"/>
      <c r="CQ115" s="14"/>
      <c r="CR115" s="25"/>
      <c r="CS115" s="24"/>
      <c r="CT115" s="14"/>
      <c r="CU115" s="14"/>
      <c r="CV115" s="14"/>
      <c r="CW115" s="14"/>
      <c r="CX115" s="14"/>
      <c r="CY115" s="14"/>
      <c r="CZ115" s="25"/>
      <c r="DA115" s="24"/>
      <c r="DB115" s="14"/>
      <c r="DC115" s="14"/>
      <c r="DD115" s="14"/>
      <c r="DE115" s="14"/>
      <c r="DF115" s="14"/>
      <c r="DG115" s="14"/>
      <c r="DH115" s="25"/>
      <c r="DI115" s="24"/>
      <c r="DJ115" s="14"/>
      <c r="DK115" s="14"/>
      <c r="DL115" s="14"/>
      <c r="DM115" s="14"/>
      <c r="DN115" s="14"/>
      <c r="DO115" s="14"/>
      <c r="DP115" s="25"/>
      <c r="DQ115" s="24"/>
      <c r="DR115" s="14"/>
      <c r="DS115" s="14"/>
      <c r="DT115" s="14"/>
      <c r="DU115" s="14"/>
      <c r="DV115" s="14"/>
      <c r="DW115" s="14"/>
      <c r="DX115" s="25"/>
      <c r="DY115" s="24"/>
      <c r="DZ115" s="14"/>
      <c r="EA115" s="14"/>
      <c r="EB115" s="14"/>
      <c r="EC115" s="14"/>
      <c r="ED115" s="14"/>
      <c r="EE115" s="14"/>
      <c r="EF115" s="25"/>
      <c r="EG115" s="24"/>
      <c r="EH115" s="14"/>
      <c r="EI115" s="14"/>
      <c r="EJ115" s="14"/>
      <c r="EK115" s="14"/>
      <c r="EL115" s="115"/>
      <c r="EM115" s="14"/>
      <c r="EN115" s="25"/>
      <c r="EO115" s="24"/>
      <c r="EP115" s="14"/>
      <c r="EQ115" s="14"/>
      <c r="ER115" s="14"/>
      <c r="ES115" s="14"/>
      <c r="ET115" s="115"/>
      <c r="EU115" s="14"/>
      <c r="EV115" s="25"/>
      <c r="EW115" s="24"/>
      <c r="EX115" s="14"/>
      <c r="EY115" s="14"/>
      <c r="EZ115" s="14"/>
      <c r="FA115" s="14"/>
      <c r="FB115" s="115"/>
      <c r="FC115" s="14"/>
      <c r="FD115" s="25"/>
      <c r="FE115" s="24"/>
      <c r="FF115" s="14"/>
      <c r="FG115" s="14"/>
      <c r="FH115" s="14"/>
      <c r="FI115" s="14"/>
      <c r="FJ115" s="115"/>
      <c r="FK115" s="14"/>
      <c r="FL115" s="25"/>
      <c r="FM115" s="24"/>
      <c r="FN115" s="14"/>
      <c r="FO115" s="14"/>
      <c r="FP115" s="14"/>
      <c r="FQ115" s="14"/>
      <c r="FR115" s="115"/>
      <c r="FS115" s="14"/>
      <c r="FT115" s="25"/>
      <c r="FU115" s="24"/>
      <c r="FV115" s="14"/>
      <c r="FW115" s="14"/>
      <c r="FX115" s="14"/>
      <c r="FY115" s="14"/>
      <c r="FZ115" s="115"/>
      <c r="GA115" s="14"/>
      <c r="GB115" s="25"/>
      <c r="GC115" s="24"/>
      <c r="GD115" s="14"/>
      <c r="GE115" s="14"/>
      <c r="GF115" s="14"/>
      <c r="GG115" s="194" t="s">
        <v>111</v>
      </c>
      <c r="GH115" s="198"/>
      <c r="GI115" s="16">
        <f>GI89</f>
        <v>6.0963982782896817E-2</v>
      </c>
      <c r="GJ115" s="25"/>
      <c r="GK115" s="24"/>
      <c r="GL115" s="14"/>
      <c r="GM115" s="14"/>
      <c r="GN115" s="14"/>
      <c r="GO115" s="194" t="s">
        <v>111</v>
      </c>
      <c r="GP115" s="198"/>
      <c r="GQ115" s="16">
        <f>GQ89</f>
        <v>0.41455744851291665</v>
      </c>
      <c r="GR115" s="25"/>
      <c r="GS115" s="24"/>
      <c r="GT115" s="14"/>
      <c r="GU115" s="14"/>
      <c r="GV115" s="14"/>
      <c r="GW115" s="194" t="s">
        <v>111</v>
      </c>
      <c r="GX115" s="198"/>
      <c r="GY115" s="16">
        <f>GY89</f>
        <v>0.38284837477594352</v>
      </c>
      <c r="GZ115" s="25"/>
      <c r="HA115" s="24"/>
      <c r="HB115" s="14"/>
      <c r="HC115" s="14"/>
      <c r="HD115" s="14"/>
      <c r="HE115" s="194" t="s">
        <v>111</v>
      </c>
      <c r="HF115" s="198"/>
      <c r="HG115" s="16">
        <f>HG89</f>
        <v>0.32142921739206476</v>
      </c>
      <c r="HH115" s="25"/>
      <c r="HI115" s="24"/>
      <c r="HJ115" s="14"/>
      <c r="HK115" s="14"/>
      <c r="HL115" s="14"/>
      <c r="HM115" s="194" t="s">
        <v>111</v>
      </c>
      <c r="HN115" s="198"/>
      <c r="HO115" s="16">
        <f>HO89</f>
        <v>0.14335451221778372</v>
      </c>
      <c r="HP115" s="25"/>
    </row>
    <row r="116" spans="1:224" x14ac:dyDescent="0.25">
      <c r="A116" s="24"/>
      <c r="B116" s="14"/>
      <c r="C116" s="14"/>
      <c r="D116" s="14"/>
      <c r="E116" s="14"/>
      <c r="F116" s="14"/>
      <c r="G116" s="14"/>
      <c r="H116" s="25"/>
      <c r="I116" s="24"/>
      <c r="J116" s="14"/>
      <c r="K116" s="14"/>
      <c r="L116" s="14"/>
      <c r="M116" s="14"/>
      <c r="N116" s="14"/>
      <c r="O116" s="14"/>
      <c r="P116" s="25"/>
      <c r="Q116" s="24"/>
      <c r="R116" s="14"/>
      <c r="S116" s="14"/>
      <c r="T116" s="14"/>
      <c r="U116" s="14"/>
      <c r="V116" s="14"/>
      <c r="W116" s="14"/>
      <c r="X116" s="25"/>
      <c r="Y116" s="24"/>
      <c r="Z116" s="14"/>
      <c r="AA116" s="14"/>
      <c r="AB116" s="14"/>
      <c r="AC116" s="14"/>
      <c r="AD116" s="14"/>
      <c r="AE116" s="14"/>
      <c r="AF116" s="25"/>
      <c r="AG116" s="24"/>
      <c r="AH116" s="14"/>
      <c r="AI116" s="14"/>
      <c r="AJ116" s="14"/>
      <c r="AK116" s="14"/>
      <c r="AL116" s="14"/>
      <c r="AM116" s="14"/>
      <c r="AN116" s="25"/>
      <c r="AO116" s="24"/>
      <c r="AP116" s="14"/>
      <c r="AQ116" s="14"/>
      <c r="AR116" s="14"/>
      <c r="AS116" s="14"/>
      <c r="AT116" s="14"/>
      <c r="AU116" s="14"/>
      <c r="AV116" s="25"/>
      <c r="AW116" s="24"/>
      <c r="AX116" s="14"/>
      <c r="AY116" s="14"/>
      <c r="AZ116" s="14"/>
      <c r="BA116" s="14"/>
      <c r="BB116" s="14"/>
      <c r="BC116" s="14"/>
      <c r="BD116" s="25"/>
      <c r="BE116" s="24"/>
      <c r="BF116" s="14"/>
      <c r="BG116" s="14"/>
      <c r="BH116" s="14"/>
      <c r="BI116" s="14"/>
      <c r="BJ116" s="14"/>
      <c r="BK116" s="14"/>
      <c r="BL116" s="25"/>
      <c r="BM116" s="24"/>
      <c r="BN116" s="14"/>
      <c r="BO116" s="14"/>
      <c r="BP116" s="14"/>
      <c r="BQ116" s="14"/>
      <c r="BR116" s="14"/>
      <c r="BS116" s="14"/>
      <c r="BT116" s="25"/>
      <c r="BU116" s="24"/>
      <c r="BV116" s="14"/>
      <c r="BW116" s="14"/>
      <c r="BX116" s="14"/>
      <c r="BY116" s="14"/>
      <c r="BZ116" s="14"/>
      <c r="CA116" s="14"/>
      <c r="CB116" s="25"/>
      <c r="CC116" s="24"/>
      <c r="CD116" s="14"/>
      <c r="CE116" s="14"/>
      <c r="CF116" s="14"/>
      <c r="CG116" s="14"/>
      <c r="CH116" s="14"/>
      <c r="CI116" s="14"/>
      <c r="CJ116" s="25"/>
      <c r="CK116" s="24"/>
      <c r="CL116" s="14"/>
      <c r="CM116" s="14"/>
      <c r="CN116" s="14"/>
      <c r="CO116" s="14"/>
      <c r="CP116" s="14"/>
      <c r="CQ116" s="14"/>
      <c r="CR116" s="25"/>
      <c r="CS116" s="24"/>
      <c r="CT116" s="14"/>
      <c r="CU116" s="14"/>
      <c r="CV116" s="14"/>
      <c r="CW116" s="14"/>
      <c r="CX116" s="14"/>
      <c r="CY116" s="14"/>
      <c r="CZ116" s="25"/>
      <c r="DA116" s="24"/>
      <c r="DB116" s="14"/>
      <c r="DC116" s="14"/>
      <c r="DD116" s="14"/>
      <c r="DE116" s="14"/>
      <c r="DF116" s="14"/>
      <c r="DG116" s="14"/>
      <c r="DH116" s="25"/>
      <c r="DI116" s="24"/>
      <c r="DJ116" s="14"/>
      <c r="DK116" s="14"/>
      <c r="DL116" s="14"/>
      <c r="DM116" s="14"/>
      <c r="DN116" s="14"/>
      <c r="DO116" s="14"/>
      <c r="DP116" s="25"/>
      <c r="DQ116" s="24"/>
      <c r="DR116" s="14"/>
      <c r="DS116" s="14"/>
      <c r="DT116" s="14"/>
      <c r="DU116" s="14"/>
      <c r="DV116" s="14"/>
      <c r="DW116" s="14"/>
      <c r="DX116" s="25"/>
      <c r="DY116" s="24"/>
      <c r="DZ116" s="14"/>
      <c r="EA116" s="14"/>
      <c r="EB116" s="14"/>
      <c r="EC116" s="14"/>
      <c r="ED116" s="14"/>
      <c r="EE116" s="14"/>
      <c r="EF116" s="25"/>
      <c r="EG116" s="24"/>
      <c r="EH116" s="14"/>
      <c r="EI116" s="14"/>
      <c r="EJ116" s="14"/>
      <c r="EK116" s="14"/>
      <c r="EL116" s="115"/>
      <c r="EM116" s="14"/>
      <c r="EN116" s="25"/>
      <c r="EO116" s="24"/>
      <c r="EP116" s="14"/>
      <c r="EQ116" s="14"/>
      <c r="ER116" s="14"/>
      <c r="ES116" s="14"/>
      <c r="ET116" s="115"/>
      <c r="EU116" s="14"/>
      <c r="EV116" s="25"/>
      <c r="EW116" s="24"/>
      <c r="EX116" s="14"/>
      <c r="EY116" s="14"/>
      <c r="EZ116" s="14"/>
      <c r="FA116" s="14"/>
      <c r="FB116" s="115"/>
      <c r="FC116" s="14"/>
      <c r="FD116" s="25"/>
      <c r="FE116" s="24"/>
      <c r="FF116" s="14"/>
      <c r="FG116" s="14"/>
      <c r="FH116" s="14"/>
      <c r="FI116" s="14"/>
      <c r="FJ116" s="115"/>
      <c r="FK116" s="14"/>
      <c r="FL116" s="25"/>
      <c r="FM116" s="24"/>
      <c r="FN116" s="14"/>
      <c r="FO116" s="14"/>
      <c r="FP116" s="14"/>
      <c r="FQ116" s="14"/>
      <c r="FR116" s="115"/>
      <c r="FS116" s="14"/>
      <c r="FT116" s="25"/>
      <c r="FU116" s="24"/>
      <c r="FV116" s="14"/>
      <c r="FW116" s="14"/>
      <c r="FX116" s="14"/>
      <c r="FY116" s="14"/>
      <c r="FZ116" s="115"/>
      <c r="GA116" s="14"/>
      <c r="GB116" s="25"/>
      <c r="GC116" s="24"/>
      <c r="GD116" s="14"/>
      <c r="GE116" s="14"/>
      <c r="GF116" s="14"/>
      <c r="GG116" s="194" t="s">
        <v>112</v>
      </c>
      <c r="GH116" s="198"/>
      <c r="GI116" s="16">
        <f>GI90</f>
        <v>3.0481991391448408E-2</v>
      </c>
      <c r="GJ116" s="25"/>
      <c r="GK116" s="24"/>
      <c r="GL116" s="14"/>
      <c r="GM116" s="14"/>
      <c r="GN116" s="14"/>
      <c r="GO116" s="194" t="s">
        <v>112</v>
      </c>
      <c r="GP116" s="198"/>
      <c r="GQ116" s="16">
        <f>GQ90</f>
        <v>0.20727872425645832</v>
      </c>
      <c r="GR116" s="25"/>
      <c r="GS116" s="24"/>
      <c r="GT116" s="14"/>
      <c r="GU116" s="14"/>
      <c r="GV116" s="14"/>
      <c r="GW116" s="194" t="s">
        <v>112</v>
      </c>
      <c r="GX116" s="198"/>
      <c r="GY116" s="16">
        <f>GY90</f>
        <v>0.19142418738797176</v>
      </c>
      <c r="GZ116" s="25"/>
      <c r="HA116" s="24"/>
      <c r="HB116" s="14"/>
      <c r="HC116" s="14"/>
      <c r="HD116" s="14"/>
      <c r="HE116" s="194" t="s">
        <v>112</v>
      </c>
      <c r="HF116" s="198"/>
      <c r="HG116" s="16">
        <f>HG90</f>
        <v>0.16770220037846856</v>
      </c>
      <c r="HH116" s="25"/>
      <c r="HI116" s="24"/>
      <c r="HJ116" s="14"/>
      <c r="HK116" s="14"/>
      <c r="HL116" s="14"/>
      <c r="HM116" s="194" t="s">
        <v>112</v>
      </c>
      <c r="HN116" s="198"/>
      <c r="HO116" s="16">
        <f>HO90</f>
        <v>7.4793658548408914E-2</v>
      </c>
      <c r="HP116" s="25"/>
    </row>
    <row r="117" spans="1:224" x14ac:dyDescent="0.25">
      <c r="A117" s="24"/>
      <c r="B117" s="14"/>
      <c r="C117" s="14"/>
      <c r="D117" s="14"/>
      <c r="E117" s="14"/>
      <c r="F117" s="14"/>
      <c r="G117" s="14"/>
      <c r="H117" s="25"/>
      <c r="I117" s="24"/>
      <c r="J117" s="14"/>
      <c r="K117" s="14"/>
      <c r="L117" s="14"/>
      <c r="M117" s="14"/>
      <c r="N117" s="14"/>
      <c r="O117" s="14"/>
      <c r="P117" s="25"/>
      <c r="Q117" s="24"/>
      <c r="R117" s="14"/>
      <c r="S117" s="14"/>
      <c r="T117" s="14"/>
      <c r="U117" s="14"/>
      <c r="V117" s="14"/>
      <c r="W117" s="14"/>
      <c r="X117" s="25"/>
      <c r="Y117" s="24"/>
      <c r="Z117" s="14"/>
      <c r="AA117" s="14"/>
      <c r="AB117" s="14"/>
      <c r="AC117" s="14"/>
      <c r="AD117" s="14"/>
      <c r="AE117" s="14"/>
      <c r="AF117" s="25"/>
      <c r="AG117" s="24"/>
      <c r="AH117" s="14"/>
      <c r="AI117" s="14"/>
      <c r="AJ117" s="14"/>
      <c r="AK117" s="14"/>
      <c r="AL117" s="14"/>
      <c r="AM117" s="14"/>
      <c r="AN117" s="25"/>
      <c r="AO117" s="24"/>
      <c r="AP117" s="14"/>
      <c r="AQ117" s="14"/>
      <c r="AR117" s="14"/>
      <c r="AS117" s="14"/>
      <c r="AT117" s="14"/>
      <c r="AU117" s="14"/>
      <c r="AV117" s="25"/>
      <c r="AW117" s="24"/>
      <c r="AX117" s="14"/>
      <c r="AY117" s="14"/>
      <c r="AZ117" s="14"/>
      <c r="BA117" s="14"/>
      <c r="BB117" s="14"/>
      <c r="BC117" s="14"/>
      <c r="BD117" s="25"/>
      <c r="BE117" s="24"/>
      <c r="BF117" s="14"/>
      <c r="BG117" s="14"/>
      <c r="BH117" s="14"/>
      <c r="BI117" s="14"/>
      <c r="BJ117" s="14"/>
      <c r="BK117" s="14"/>
      <c r="BL117" s="25"/>
      <c r="BM117" s="24"/>
      <c r="BN117" s="14"/>
      <c r="BO117" s="14"/>
      <c r="BP117" s="14"/>
      <c r="BQ117" s="14"/>
      <c r="BR117" s="14"/>
      <c r="BS117" s="14"/>
      <c r="BT117" s="25"/>
      <c r="BU117" s="24"/>
      <c r="BV117" s="14"/>
      <c r="BW117" s="14"/>
      <c r="BX117" s="14"/>
      <c r="BY117" s="14"/>
      <c r="BZ117" s="14"/>
      <c r="CA117" s="14"/>
      <c r="CB117" s="25"/>
      <c r="CC117" s="24"/>
      <c r="CD117" s="14"/>
      <c r="CE117" s="14"/>
      <c r="CF117" s="14"/>
      <c r="CG117" s="14"/>
      <c r="CH117" s="14"/>
      <c r="CI117" s="14"/>
      <c r="CJ117" s="25"/>
      <c r="CK117" s="24"/>
      <c r="CL117" s="14"/>
      <c r="CM117" s="14"/>
      <c r="CN117" s="14"/>
      <c r="CO117" s="14"/>
      <c r="CP117" s="14"/>
      <c r="CQ117" s="14"/>
      <c r="CR117" s="25"/>
      <c r="CS117" s="24"/>
      <c r="CT117" s="14"/>
      <c r="CU117" s="14"/>
      <c r="CV117" s="14"/>
      <c r="CW117" s="14"/>
      <c r="CX117" s="14"/>
      <c r="CY117" s="14"/>
      <c r="CZ117" s="25"/>
      <c r="DA117" s="24"/>
      <c r="DB117" s="14"/>
      <c r="DC117" s="14"/>
      <c r="DD117" s="14"/>
      <c r="DE117" s="14"/>
      <c r="DF117" s="14"/>
      <c r="DG117" s="14"/>
      <c r="DH117" s="25"/>
      <c r="DI117" s="24"/>
      <c r="DJ117" s="14"/>
      <c r="DK117" s="14"/>
      <c r="DL117" s="14"/>
      <c r="DM117" s="14"/>
      <c r="DN117" s="14"/>
      <c r="DO117" s="14"/>
      <c r="DP117" s="25"/>
      <c r="DQ117" s="24"/>
      <c r="DR117" s="14"/>
      <c r="DS117" s="14"/>
      <c r="DT117" s="14"/>
      <c r="DU117" s="14"/>
      <c r="DV117" s="14"/>
      <c r="DW117" s="14"/>
      <c r="DX117" s="25"/>
      <c r="DY117" s="24"/>
      <c r="DZ117" s="14"/>
      <c r="EA117" s="14"/>
      <c r="EB117" s="14"/>
      <c r="EC117" s="14"/>
      <c r="ED117" s="14"/>
      <c r="EE117" s="14"/>
      <c r="EF117" s="25"/>
      <c r="EG117" s="24"/>
      <c r="EH117" s="14"/>
      <c r="EI117" s="14"/>
      <c r="EJ117" s="14"/>
      <c r="EK117" s="14"/>
      <c r="EL117" s="115"/>
      <c r="EM117" s="14"/>
      <c r="EN117" s="25"/>
      <c r="EO117" s="24"/>
      <c r="EP117" s="14"/>
      <c r="EQ117" s="14"/>
      <c r="ER117" s="14"/>
      <c r="ES117" s="14"/>
      <c r="ET117" s="115"/>
      <c r="EU117" s="14"/>
      <c r="EV117" s="25"/>
      <c r="EW117" s="24"/>
      <c r="EX117" s="14"/>
      <c r="EY117" s="14"/>
      <c r="EZ117" s="14"/>
      <c r="FA117" s="14"/>
      <c r="FB117" s="115"/>
      <c r="FC117" s="14"/>
      <c r="FD117" s="25"/>
      <c r="FE117" s="24"/>
      <c r="FF117" s="14"/>
      <c r="FG117" s="14"/>
      <c r="FH117" s="14"/>
      <c r="FI117" s="14"/>
      <c r="FJ117" s="115"/>
      <c r="FK117" s="14"/>
      <c r="FL117" s="25"/>
      <c r="FM117" s="24"/>
      <c r="FN117" s="14"/>
      <c r="FO117" s="14"/>
      <c r="FP117" s="14"/>
      <c r="FQ117" s="14"/>
      <c r="FR117" s="115"/>
      <c r="FS117" s="14"/>
      <c r="FT117" s="25"/>
      <c r="FU117" s="24"/>
      <c r="FV117" s="14"/>
      <c r="FW117" s="14"/>
      <c r="FX117" s="14"/>
      <c r="FY117" s="14"/>
      <c r="FZ117" s="115"/>
      <c r="GA117" s="14"/>
      <c r="GB117" s="25"/>
      <c r="GC117" s="24"/>
      <c r="GD117" s="14"/>
      <c r="GE117" s="14"/>
      <c r="GF117" s="14"/>
      <c r="GG117" s="14"/>
      <c r="GH117" s="14"/>
      <c r="GI117" s="14"/>
      <c r="GJ117" s="25"/>
      <c r="GK117" s="24"/>
      <c r="GL117" s="14"/>
      <c r="GM117" s="14"/>
      <c r="GN117" s="14"/>
      <c r="GO117" s="14"/>
      <c r="GP117" s="14"/>
      <c r="GQ117" s="14"/>
      <c r="GR117" s="25"/>
      <c r="GS117" s="24"/>
      <c r="GT117" s="14"/>
      <c r="GU117" s="14"/>
      <c r="GV117" s="14"/>
      <c r="GW117" s="14"/>
      <c r="GX117" s="14"/>
      <c r="GY117" s="14"/>
      <c r="GZ117" s="25"/>
      <c r="HA117" s="24"/>
      <c r="HB117" s="14"/>
      <c r="HC117" s="14"/>
      <c r="HD117" s="14"/>
      <c r="HE117" s="14"/>
      <c r="HF117" s="14"/>
      <c r="HG117" s="14"/>
      <c r="HH117" s="25"/>
      <c r="HI117" s="24"/>
      <c r="HJ117" s="14"/>
      <c r="HK117" s="14"/>
      <c r="HL117" s="14"/>
      <c r="HM117" s="14"/>
      <c r="HN117" s="14"/>
      <c r="HO117" s="14"/>
      <c r="HP117" s="25"/>
    </row>
    <row r="118" spans="1:224" x14ac:dyDescent="0.25">
      <c r="A118" s="26"/>
      <c r="B118" s="27"/>
      <c r="C118" s="27"/>
      <c r="D118" s="27"/>
      <c r="E118" s="27"/>
      <c r="F118" s="27"/>
      <c r="G118" s="27"/>
      <c r="H118" s="28"/>
      <c r="I118" s="26"/>
      <c r="J118" s="27"/>
      <c r="K118" s="27"/>
      <c r="L118" s="27"/>
      <c r="M118" s="27"/>
      <c r="N118" s="27"/>
      <c r="O118" s="27"/>
      <c r="P118" s="28"/>
      <c r="Q118" s="26"/>
      <c r="R118" s="27"/>
      <c r="S118" s="27"/>
      <c r="T118" s="27"/>
      <c r="U118" s="27"/>
      <c r="V118" s="27"/>
      <c r="W118" s="27"/>
      <c r="X118" s="28"/>
      <c r="Y118" s="26"/>
      <c r="Z118" s="27"/>
      <c r="AA118" s="27"/>
      <c r="AB118" s="27"/>
      <c r="AC118" s="27"/>
      <c r="AD118" s="27"/>
      <c r="AE118" s="27"/>
      <c r="AF118" s="28"/>
      <c r="AG118" s="26"/>
      <c r="AH118" s="27"/>
      <c r="AI118" s="27"/>
      <c r="AJ118" s="27"/>
      <c r="AK118" s="27"/>
      <c r="AL118" s="27"/>
      <c r="AM118" s="27"/>
      <c r="AN118" s="28"/>
      <c r="AO118" s="26"/>
      <c r="AP118" s="27"/>
      <c r="AQ118" s="27"/>
      <c r="AR118" s="27"/>
      <c r="AS118" s="27"/>
      <c r="AT118" s="27"/>
      <c r="AU118" s="27"/>
      <c r="AV118" s="28"/>
      <c r="AW118" s="26"/>
      <c r="AX118" s="27"/>
      <c r="AY118" s="27"/>
      <c r="AZ118" s="27"/>
      <c r="BA118" s="27"/>
      <c r="BB118" s="27"/>
      <c r="BC118" s="27"/>
      <c r="BD118" s="28"/>
      <c r="BE118" s="26"/>
      <c r="BF118" s="27"/>
      <c r="BG118" s="27"/>
      <c r="BH118" s="27"/>
      <c r="BI118" s="27"/>
      <c r="BJ118" s="27"/>
      <c r="BK118" s="27"/>
      <c r="BL118" s="28"/>
      <c r="BM118" s="26"/>
      <c r="BN118" s="27"/>
      <c r="BO118" s="27"/>
      <c r="BP118" s="27"/>
      <c r="BQ118" s="27"/>
      <c r="BR118" s="27"/>
      <c r="BS118" s="27"/>
      <c r="BT118" s="28"/>
      <c r="BU118" s="26"/>
      <c r="BV118" s="27"/>
      <c r="BW118" s="27"/>
      <c r="BX118" s="27"/>
      <c r="BY118" s="27"/>
      <c r="BZ118" s="27"/>
      <c r="CA118" s="27"/>
      <c r="CB118" s="28"/>
      <c r="CC118" s="26"/>
      <c r="CD118" s="27"/>
      <c r="CE118" s="27"/>
      <c r="CF118" s="27"/>
      <c r="CG118" s="27"/>
      <c r="CH118" s="27"/>
      <c r="CI118" s="27"/>
      <c r="CJ118" s="28"/>
      <c r="CK118" s="26"/>
      <c r="CL118" s="27"/>
      <c r="CM118" s="27"/>
      <c r="CN118" s="27"/>
      <c r="CO118" s="27"/>
      <c r="CP118" s="27"/>
      <c r="CQ118" s="27"/>
      <c r="CR118" s="28"/>
      <c r="CS118" s="26"/>
      <c r="CT118" s="27"/>
      <c r="CU118" s="27"/>
      <c r="CV118" s="27"/>
      <c r="CW118" s="27"/>
      <c r="CX118" s="27"/>
      <c r="CY118" s="27"/>
      <c r="CZ118" s="28"/>
      <c r="DA118" s="26"/>
      <c r="DB118" s="27"/>
      <c r="DC118" s="27"/>
      <c r="DD118" s="27"/>
      <c r="DE118" s="27"/>
      <c r="DF118" s="27"/>
      <c r="DG118" s="27"/>
      <c r="DH118" s="28"/>
      <c r="DI118" s="26"/>
      <c r="DJ118" s="27"/>
      <c r="DK118" s="27"/>
      <c r="DL118" s="27"/>
      <c r="DM118" s="27"/>
      <c r="DN118" s="27"/>
      <c r="DO118" s="27"/>
      <c r="DP118" s="28"/>
      <c r="DQ118" s="26"/>
      <c r="DR118" s="27"/>
      <c r="DS118" s="27"/>
      <c r="DT118" s="27"/>
      <c r="DU118" s="27"/>
      <c r="DV118" s="27"/>
      <c r="DW118" s="27"/>
      <c r="DX118" s="28"/>
      <c r="DY118" s="26"/>
      <c r="DZ118" s="27"/>
      <c r="EA118" s="27"/>
      <c r="EB118" s="27"/>
      <c r="EC118" s="27"/>
      <c r="ED118" s="27"/>
      <c r="EE118" s="27"/>
      <c r="EF118" s="28"/>
      <c r="EG118" s="26"/>
      <c r="EH118" s="27"/>
      <c r="EI118" s="27"/>
      <c r="EJ118" s="27"/>
      <c r="EK118" s="27"/>
      <c r="EL118" s="96"/>
      <c r="EM118" s="27"/>
      <c r="EN118" s="28"/>
      <c r="EO118" s="26"/>
      <c r="EP118" s="27"/>
      <c r="EQ118" s="27"/>
      <c r="ER118" s="27"/>
      <c r="ES118" s="27"/>
      <c r="ET118" s="96"/>
      <c r="EU118" s="27"/>
      <c r="EV118" s="28"/>
      <c r="EW118" s="26"/>
      <c r="EX118" s="27"/>
      <c r="EY118" s="27"/>
      <c r="EZ118" s="27"/>
      <c r="FA118" s="27"/>
      <c r="FB118" s="96"/>
      <c r="FC118" s="27"/>
      <c r="FD118" s="28"/>
      <c r="FE118" s="26"/>
      <c r="FF118" s="27"/>
      <c r="FG118" s="27"/>
      <c r="FH118" s="27"/>
      <c r="FI118" s="27"/>
      <c r="FJ118" s="96"/>
      <c r="FK118" s="27"/>
      <c r="FL118" s="28"/>
      <c r="FM118" s="26"/>
      <c r="FN118" s="27"/>
      <c r="FO118" s="27"/>
      <c r="FP118" s="27"/>
      <c r="FQ118" s="27"/>
      <c r="FR118" s="96"/>
      <c r="FS118" s="27"/>
      <c r="FT118" s="28"/>
      <c r="FU118" s="26"/>
      <c r="FV118" s="27"/>
      <c r="FW118" s="27"/>
      <c r="FX118" s="27"/>
      <c r="FY118" s="27"/>
      <c r="FZ118" s="96"/>
      <c r="GA118" s="27"/>
      <c r="GB118" s="28"/>
      <c r="GC118" s="26"/>
      <c r="GD118" s="27"/>
      <c r="GE118" s="27"/>
      <c r="GF118" s="27"/>
      <c r="GG118" s="27"/>
      <c r="GH118" s="27"/>
      <c r="GI118" s="27"/>
      <c r="GJ118" s="28"/>
      <c r="GK118" s="26"/>
      <c r="GL118" s="27"/>
      <c r="GM118" s="27"/>
      <c r="GN118" s="27"/>
      <c r="GO118" s="27"/>
      <c r="GP118" s="27"/>
      <c r="GQ118" s="27"/>
      <c r="GR118" s="28"/>
      <c r="GS118" s="26"/>
      <c r="GT118" s="27"/>
      <c r="GU118" s="27"/>
      <c r="GV118" s="27"/>
      <c r="GW118" s="27"/>
      <c r="GX118" s="27"/>
      <c r="GY118" s="27"/>
      <c r="GZ118" s="28"/>
      <c r="HA118" s="26"/>
      <c r="HB118" s="27"/>
      <c r="HC118" s="27"/>
      <c r="HD118" s="27"/>
      <c r="HE118" s="27"/>
      <c r="HF118" s="27"/>
      <c r="HG118" s="27"/>
      <c r="HH118" s="28"/>
      <c r="HI118" s="26"/>
      <c r="HJ118" s="27"/>
      <c r="HK118" s="27"/>
      <c r="HL118" s="27"/>
      <c r="HM118" s="27"/>
      <c r="HN118" s="27"/>
      <c r="HO118" s="27"/>
      <c r="HP118" s="28"/>
    </row>
    <row r="126" spans="1:224" x14ac:dyDescent="0.25">
      <c r="GS126"/>
      <c r="GT126"/>
      <c r="GU126"/>
      <c r="HA126" s="90"/>
      <c r="HB126" s="90"/>
      <c r="HC126" s="90"/>
    </row>
    <row r="127" spans="1:224" x14ac:dyDescent="0.25">
      <c r="GS127"/>
      <c r="HA127" s="90"/>
    </row>
    <row r="128" spans="1:224" x14ac:dyDescent="0.25">
      <c r="S128" s="90"/>
      <c r="GS128"/>
      <c r="HA128" s="90"/>
    </row>
    <row r="129" spans="18:209" x14ac:dyDescent="0.25">
      <c r="S129" s="90"/>
      <c r="GS129"/>
      <c r="HA129" s="90"/>
    </row>
    <row r="130" spans="18:209" x14ac:dyDescent="0.25">
      <c r="S130" s="90"/>
      <c r="GS130"/>
      <c r="HA130" s="90"/>
    </row>
    <row r="131" spans="18:209" x14ac:dyDescent="0.25">
      <c r="S131" s="90"/>
      <c r="GS131"/>
      <c r="HA131" s="90"/>
    </row>
    <row r="132" spans="18:209" x14ac:dyDescent="0.25">
      <c r="S132" s="90"/>
      <c r="GS132"/>
      <c r="HA132" s="90"/>
    </row>
    <row r="133" spans="18:209" x14ac:dyDescent="0.25">
      <c r="S133" s="90"/>
      <c r="GS133"/>
      <c r="HA133" s="90"/>
    </row>
    <row r="134" spans="18:209" x14ac:dyDescent="0.25">
      <c r="S134" s="90"/>
      <c r="GS134"/>
      <c r="HA134" s="90"/>
    </row>
    <row r="135" spans="18:209" x14ac:dyDescent="0.25">
      <c r="S135" s="90"/>
      <c r="GS135"/>
      <c r="HA135" s="90"/>
    </row>
    <row r="136" spans="18:209" x14ac:dyDescent="0.25">
      <c r="S136" s="90"/>
      <c r="GS136"/>
      <c r="HA136" s="90"/>
    </row>
    <row r="137" spans="18:209" x14ac:dyDescent="0.25">
      <c r="S137" s="90"/>
      <c r="GS137"/>
      <c r="HA137" s="90"/>
    </row>
    <row r="138" spans="18:209" x14ac:dyDescent="0.25">
      <c r="S138" s="90"/>
      <c r="GS138"/>
      <c r="HA138" s="90"/>
    </row>
    <row r="139" spans="18:209" x14ac:dyDescent="0.25">
      <c r="S139" s="90"/>
      <c r="GS139"/>
      <c r="HA139" s="90"/>
    </row>
    <row r="140" spans="18:209" x14ac:dyDescent="0.25">
      <c r="S140" s="90"/>
      <c r="GS140"/>
      <c r="HA140" s="90"/>
    </row>
    <row r="141" spans="18:209" x14ac:dyDescent="0.25">
      <c r="R141" s="90"/>
      <c r="S141" s="90"/>
      <c r="GS141"/>
      <c r="HA141" s="90"/>
    </row>
    <row r="142" spans="18:209" s="90" customFormat="1" x14ac:dyDescent="0.25"/>
    <row r="143" spans="18:209" s="90" customFormat="1" x14ac:dyDescent="0.25"/>
    <row r="144" spans="18:209" s="90" customFormat="1" x14ac:dyDescent="0.25">
      <c r="R144"/>
    </row>
    <row r="145" spans="12:209" x14ac:dyDescent="0.25">
      <c r="P145" s="90"/>
      <c r="Q145" s="90"/>
      <c r="S145" s="90"/>
      <c r="GS145"/>
      <c r="HA145" s="90"/>
    </row>
    <row r="146" spans="12:209" x14ac:dyDescent="0.25">
      <c r="P146" s="90"/>
      <c r="Q146" s="90"/>
      <c r="S146" s="90"/>
      <c r="GS146"/>
      <c r="HA146" s="90"/>
    </row>
    <row r="147" spans="12:209" x14ac:dyDescent="0.25">
      <c r="P147" s="90"/>
      <c r="Q147" s="90"/>
      <c r="S147" s="90"/>
      <c r="GS147"/>
      <c r="HA147" s="90"/>
    </row>
    <row r="148" spans="12:209" x14ac:dyDescent="0.25">
      <c r="M148" s="122"/>
      <c r="P148" s="90"/>
      <c r="Q148" s="90"/>
      <c r="S148" s="90"/>
      <c r="GS148"/>
      <c r="HA148" s="90"/>
    </row>
    <row r="149" spans="12:209" x14ac:dyDescent="0.25">
      <c r="M149" s="122"/>
      <c r="P149" s="90"/>
      <c r="Q149" s="90"/>
      <c r="S149" s="90"/>
      <c r="GS149"/>
      <c r="HA149" s="90"/>
    </row>
    <row r="150" spans="12:209" x14ac:dyDescent="0.25">
      <c r="M150" s="122"/>
      <c r="P150" s="90"/>
      <c r="Q150" s="90"/>
      <c r="S150" s="90"/>
      <c r="GS150"/>
      <c r="HA150" s="90"/>
    </row>
    <row r="151" spans="12:209" x14ac:dyDescent="0.25">
      <c r="M151" s="122"/>
      <c r="P151" s="90"/>
      <c r="Q151" s="90"/>
      <c r="S151" s="90"/>
      <c r="GS151"/>
      <c r="HA151" s="90"/>
    </row>
    <row r="152" spans="12:209" x14ac:dyDescent="0.25">
      <c r="M152" s="122"/>
      <c r="P152" s="90"/>
      <c r="Q152" s="90"/>
      <c r="S152" s="90"/>
      <c r="GS152"/>
      <c r="HA152" s="90"/>
    </row>
    <row r="153" spans="12:209" x14ac:dyDescent="0.25">
      <c r="M153" s="122"/>
      <c r="P153" s="90"/>
      <c r="Q153" s="90"/>
      <c r="S153" s="90"/>
      <c r="GS153"/>
      <c r="HA153" s="90"/>
    </row>
    <row r="154" spans="12:209" x14ac:dyDescent="0.25">
      <c r="M154" s="122"/>
      <c r="P154" s="90"/>
      <c r="Q154" s="90"/>
      <c r="S154" s="90"/>
      <c r="GS154"/>
      <c r="HA154" s="90"/>
    </row>
    <row r="155" spans="12:209" x14ac:dyDescent="0.25">
      <c r="M155" s="122"/>
      <c r="P155" s="90"/>
      <c r="Q155" s="90"/>
      <c r="GS155"/>
      <c r="HA155" s="90"/>
    </row>
    <row r="156" spans="12:209" x14ac:dyDescent="0.25">
      <c r="M156" s="122"/>
      <c r="P156" s="90"/>
      <c r="Q156" s="90"/>
      <c r="GS156"/>
      <c r="HA156" s="90"/>
    </row>
    <row r="157" spans="12:209" x14ac:dyDescent="0.25">
      <c r="M157" s="122"/>
      <c r="GS157"/>
      <c r="HA157" s="90"/>
    </row>
    <row r="158" spans="12:209" x14ac:dyDescent="0.25">
      <c r="L158" s="90"/>
      <c r="M158" s="122"/>
      <c r="GS158"/>
      <c r="HA158" s="90"/>
    </row>
    <row r="159" spans="12:209" x14ac:dyDescent="0.25">
      <c r="L159" s="90"/>
      <c r="M159" s="122"/>
      <c r="GS159"/>
      <c r="HA159" s="90"/>
    </row>
    <row r="160" spans="12:209" x14ac:dyDescent="0.25">
      <c r="L160" s="90"/>
      <c r="M160" s="122"/>
      <c r="GS160"/>
      <c r="HA160" s="90"/>
    </row>
    <row r="161" spans="1:209" x14ac:dyDescent="0.25">
      <c r="L161" s="90"/>
      <c r="M161" s="122"/>
      <c r="GS161"/>
      <c r="HA161" s="90"/>
    </row>
    <row r="162" spans="1:209" x14ac:dyDescent="0.25">
      <c r="M162" s="123"/>
      <c r="GS162"/>
      <c r="HA162" s="90"/>
    </row>
    <row r="163" spans="1:209" x14ac:dyDescent="0.25">
      <c r="A163" s="90"/>
      <c r="B163" s="90"/>
      <c r="C163" s="90"/>
      <c r="GS163"/>
      <c r="HA163" s="90"/>
    </row>
    <row r="164" spans="1:209" x14ac:dyDescent="0.25">
      <c r="A164" s="90"/>
      <c r="B164" s="90"/>
      <c r="C164" s="90"/>
      <c r="GS164"/>
      <c r="HA164" s="90"/>
    </row>
    <row r="165" spans="1:209" x14ac:dyDescent="0.25">
      <c r="A165" s="90"/>
      <c r="B165" s="90"/>
      <c r="C165" s="90"/>
      <c r="M165" s="122"/>
      <c r="GS165"/>
      <c r="HA165" s="90"/>
    </row>
    <row r="166" spans="1:209" x14ac:dyDescent="0.25">
      <c r="A166" s="90"/>
      <c r="B166" s="90"/>
      <c r="C166" s="90"/>
      <c r="M166" s="122"/>
      <c r="GS166"/>
      <c r="HA166" s="90"/>
    </row>
    <row r="167" spans="1:209" x14ac:dyDescent="0.25">
      <c r="A167" s="90"/>
      <c r="B167" s="90"/>
      <c r="C167" s="90"/>
      <c r="M167" s="122"/>
      <c r="GS167"/>
      <c r="HA167" s="90"/>
    </row>
    <row r="168" spans="1:209" x14ac:dyDescent="0.25">
      <c r="A168" s="90"/>
      <c r="B168" s="90"/>
      <c r="C168" s="90"/>
      <c r="M168" s="122"/>
      <c r="GS168"/>
      <c r="HA168" s="90"/>
    </row>
    <row r="169" spans="1:209" x14ac:dyDescent="0.25">
      <c r="A169" s="90"/>
      <c r="B169" s="90"/>
      <c r="C169" s="90"/>
      <c r="M169" s="122"/>
      <c r="GS169"/>
      <c r="HA169" s="90"/>
    </row>
    <row r="170" spans="1:209" x14ac:dyDescent="0.25">
      <c r="A170" s="90"/>
      <c r="B170" s="90"/>
      <c r="C170" s="90"/>
      <c r="M170" s="122"/>
      <c r="GS170"/>
      <c r="HA170" s="90"/>
    </row>
    <row r="171" spans="1:209" x14ac:dyDescent="0.25">
      <c r="A171" s="90"/>
      <c r="B171" s="90"/>
      <c r="C171" s="90"/>
      <c r="M171" s="122"/>
      <c r="GS171"/>
      <c r="HA171" s="90"/>
    </row>
    <row r="172" spans="1:209" x14ac:dyDescent="0.25">
      <c r="A172" s="90"/>
      <c r="B172" s="90"/>
      <c r="C172" s="90"/>
      <c r="M172" s="122"/>
      <c r="GS172"/>
      <c r="HA172" s="90"/>
    </row>
    <row r="173" spans="1:209" x14ac:dyDescent="0.25">
      <c r="A173" s="90"/>
      <c r="B173" s="90"/>
      <c r="C173" s="90"/>
      <c r="M173" s="122"/>
      <c r="GS173"/>
      <c r="HA173" s="90"/>
    </row>
    <row r="174" spans="1:209" x14ac:dyDescent="0.25">
      <c r="A174" s="90"/>
      <c r="B174" s="90"/>
      <c r="C174" s="90"/>
      <c r="M174" s="122"/>
      <c r="GS174"/>
      <c r="HA174" s="90"/>
    </row>
    <row r="175" spans="1:209" x14ac:dyDescent="0.25">
      <c r="A175" s="90"/>
      <c r="B175" s="90"/>
      <c r="C175" s="90"/>
      <c r="M175" s="122"/>
      <c r="GS175"/>
      <c r="HA175" s="90"/>
    </row>
    <row r="176" spans="1:209" x14ac:dyDescent="0.25">
      <c r="A176" s="90"/>
      <c r="B176" s="90"/>
      <c r="C176" s="90"/>
      <c r="M176" s="122"/>
      <c r="GS176"/>
      <c r="HA176" s="90"/>
    </row>
    <row r="177" spans="1:209" x14ac:dyDescent="0.25">
      <c r="A177" s="90"/>
      <c r="B177" s="90"/>
      <c r="C177" s="90"/>
      <c r="M177" s="122"/>
      <c r="GS177"/>
      <c r="HA177" s="90"/>
    </row>
    <row r="178" spans="1:209" x14ac:dyDescent="0.25">
      <c r="A178" s="90"/>
      <c r="B178" s="90"/>
      <c r="C178" s="90"/>
      <c r="M178" s="122"/>
      <c r="GS178"/>
      <c r="HA178" s="90"/>
    </row>
    <row r="179" spans="1:209" x14ac:dyDescent="0.25">
      <c r="A179" s="90"/>
      <c r="B179" s="90"/>
      <c r="C179" s="90"/>
      <c r="M179" s="122"/>
      <c r="GS179"/>
      <c r="HA179" s="90"/>
    </row>
    <row r="180" spans="1:209" x14ac:dyDescent="0.25">
      <c r="A180" s="90"/>
      <c r="B180" s="90"/>
      <c r="C180" s="90"/>
      <c r="M180" s="122"/>
      <c r="GS180"/>
      <c r="HA180" s="90"/>
    </row>
    <row r="181" spans="1:209" x14ac:dyDescent="0.25">
      <c r="A181" s="90"/>
      <c r="B181" s="90"/>
      <c r="C181" s="90"/>
      <c r="M181" s="122"/>
      <c r="GS181"/>
      <c r="HA181" s="90"/>
    </row>
    <row r="182" spans="1:209" x14ac:dyDescent="0.25">
      <c r="A182" s="90"/>
      <c r="B182" s="90"/>
      <c r="C182" s="90"/>
      <c r="M182" s="122"/>
      <c r="GS182"/>
      <c r="HA182" s="90"/>
    </row>
    <row r="183" spans="1:209" x14ac:dyDescent="0.25">
      <c r="A183" s="90"/>
      <c r="B183" s="90"/>
      <c r="C183" s="90"/>
      <c r="M183" s="122"/>
      <c r="GS183"/>
      <c r="HA183" s="90"/>
    </row>
    <row r="184" spans="1:209" x14ac:dyDescent="0.25">
      <c r="A184" s="90"/>
      <c r="B184" s="90"/>
      <c r="C184" s="90"/>
      <c r="M184" s="122"/>
      <c r="GS184"/>
      <c r="HA184" s="90"/>
    </row>
    <row r="185" spans="1:209" x14ac:dyDescent="0.25">
      <c r="A185" s="90"/>
      <c r="B185" s="90"/>
      <c r="C185" s="90"/>
      <c r="M185" s="122"/>
      <c r="GS185"/>
      <c r="HA185" s="90"/>
    </row>
    <row r="186" spans="1:209" x14ac:dyDescent="0.25">
      <c r="A186" s="90"/>
      <c r="B186" s="90"/>
      <c r="C186" s="90"/>
      <c r="M186" s="122"/>
      <c r="GS186"/>
      <c r="HA186" s="90"/>
    </row>
    <row r="187" spans="1:209" x14ac:dyDescent="0.25">
      <c r="A187" s="90"/>
      <c r="B187" s="90"/>
      <c r="C187" s="90"/>
      <c r="M187" s="122"/>
      <c r="GS187"/>
      <c r="HA187" s="90"/>
    </row>
    <row r="188" spans="1:209" x14ac:dyDescent="0.25">
      <c r="A188" s="90"/>
      <c r="B188" s="90"/>
      <c r="C188" s="90"/>
      <c r="M188" s="122"/>
      <c r="GS188"/>
      <c r="HA188" s="90"/>
    </row>
    <row r="189" spans="1:209" x14ac:dyDescent="0.25">
      <c r="A189" s="90"/>
      <c r="B189" s="90"/>
      <c r="C189" s="90"/>
      <c r="M189" s="122"/>
      <c r="GS189"/>
      <c r="HA189" s="90"/>
    </row>
    <row r="190" spans="1:209" x14ac:dyDescent="0.25">
      <c r="A190" s="90"/>
      <c r="B190" s="90"/>
      <c r="C190" s="90"/>
      <c r="M190" s="122"/>
      <c r="GS190"/>
      <c r="HA190" s="90"/>
    </row>
    <row r="191" spans="1:209" x14ac:dyDescent="0.25">
      <c r="A191" s="90"/>
      <c r="B191" s="90"/>
      <c r="C191" s="90"/>
      <c r="M191" s="122"/>
      <c r="GS191"/>
      <c r="HA191" s="90"/>
    </row>
    <row r="192" spans="1:209" x14ac:dyDescent="0.25">
      <c r="A192" s="90"/>
      <c r="B192" s="90"/>
      <c r="C192" s="90"/>
      <c r="M192" s="122"/>
      <c r="GS192"/>
      <c r="HA192" s="90"/>
    </row>
    <row r="193" spans="1:209" x14ac:dyDescent="0.25">
      <c r="A193" s="90"/>
      <c r="B193" s="90"/>
      <c r="C193" s="90"/>
      <c r="M193" s="122"/>
      <c r="GS193"/>
      <c r="HA193" s="90"/>
    </row>
    <row r="194" spans="1:209" x14ac:dyDescent="0.25">
      <c r="A194" s="90"/>
      <c r="B194" s="90"/>
      <c r="C194" s="90"/>
    </row>
    <row r="195" spans="1:209" x14ac:dyDescent="0.25">
      <c r="A195" s="90"/>
      <c r="B195" s="90"/>
      <c r="C195" s="90"/>
    </row>
    <row r="196" spans="1:209" x14ac:dyDescent="0.25">
      <c r="A196" s="90"/>
      <c r="B196" s="90"/>
      <c r="C196" s="90"/>
    </row>
    <row r="197" spans="1:209" x14ac:dyDescent="0.25">
      <c r="A197" s="90"/>
      <c r="B197" s="90"/>
      <c r="C197" s="90"/>
    </row>
    <row r="198" spans="1:209" x14ac:dyDescent="0.25">
      <c r="A198" s="90"/>
      <c r="B198" s="90"/>
      <c r="C198" s="90"/>
    </row>
    <row r="199" spans="1:209" x14ac:dyDescent="0.25">
      <c r="A199" s="90"/>
      <c r="B199" s="90"/>
      <c r="C199" s="90"/>
    </row>
    <row r="200" spans="1:209" x14ac:dyDescent="0.25">
      <c r="A200" s="90"/>
      <c r="B200" s="90"/>
      <c r="C200" s="90"/>
    </row>
    <row r="201" spans="1:209" x14ac:dyDescent="0.25">
      <c r="A201" s="90"/>
      <c r="B201" s="90"/>
      <c r="C201" s="90"/>
    </row>
    <row r="202" spans="1:209" x14ac:dyDescent="0.25">
      <c r="A202" s="90"/>
      <c r="B202" s="90"/>
      <c r="C202" s="90"/>
    </row>
    <row r="203" spans="1:209" x14ac:dyDescent="0.25">
      <c r="A203" s="90"/>
      <c r="B203" s="90"/>
      <c r="C203" s="90"/>
    </row>
    <row r="204" spans="1:209" x14ac:dyDescent="0.25">
      <c r="A204" s="90"/>
      <c r="B204" s="90"/>
      <c r="C204" s="90"/>
    </row>
    <row r="205" spans="1:209" x14ac:dyDescent="0.25">
      <c r="A205" s="90"/>
      <c r="B205" s="90"/>
      <c r="C205" s="90"/>
    </row>
    <row r="206" spans="1:209" x14ac:dyDescent="0.25">
      <c r="A206" s="90"/>
      <c r="B206" s="90"/>
      <c r="C206" s="90"/>
    </row>
    <row r="207" spans="1:209" x14ac:dyDescent="0.25">
      <c r="A207" s="90"/>
      <c r="B207" s="90"/>
      <c r="C207" s="90"/>
    </row>
    <row r="208" spans="1:209" x14ac:dyDescent="0.25">
      <c r="A208" s="90"/>
      <c r="B208" s="90"/>
      <c r="C208" s="90"/>
    </row>
    <row r="209" spans="1:3" x14ac:dyDescent="0.25">
      <c r="A209" s="90"/>
      <c r="B209" s="90"/>
      <c r="C209" s="90"/>
    </row>
    <row r="210" spans="1:3" x14ac:dyDescent="0.25">
      <c r="A210" s="90"/>
      <c r="B210" s="90"/>
      <c r="C210" s="90"/>
    </row>
    <row r="211" spans="1:3" x14ac:dyDescent="0.25">
      <c r="A211" s="90"/>
      <c r="B211" s="90"/>
      <c r="C211" s="90"/>
    </row>
    <row r="212" spans="1:3" x14ac:dyDescent="0.25">
      <c r="A212" s="90"/>
      <c r="B212" s="90"/>
      <c r="C212" s="90"/>
    </row>
    <row r="213" spans="1:3" x14ac:dyDescent="0.25">
      <c r="A213" s="90"/>
      <c r="B213" s="90"/>
      <c r="C213" s="90"/>
    </row>
    <row r="214" spans="1:3" x14ac:dyDescent="0.25">
      <c r="A214" s="90"/>
      <c r="B214" s="90"/>
      <c r="C214" s="90"/>
    </row>
    <row r="215" spans="1:3" x14ac:dyDescent="0.25">
      <c r="A215" s="90"/>
      <c r="B215" s="90"/>
      <c r="C215" s="90"/>
    </row>
  </sheetData>
  <mergeCells count="1934">
    <mergeCell ref="GS113:GT113"/>
    <mergeCell ref="GW113:GX113"/>
    <mergeCell ref="GS114:GT114"/>
    <mergeCell ref="GW114:GX114"/>
    <mergeCell ref="GW115:GX115"/>
    <mergeCell ref="GW116:GX116"/>
    <mergeCell ref="GT98:GU98"/>
    <mergeCell ref="GT99:GV99"/>
    <mergeCell ref="GT100:GW100"/>
    <mergeCell ref="GT101:GW101"/>
    <mergeCell ref="GT102:GW102"/>
    <mergeCell ref="GT103:GW103"/>
    <mergeCell ref="GS110:GZ110"/>
    <mergeCell ref="GS112:GT112"/>
    <mergeCell ref="GW112:GX112"/>
    <mergeCell ref="FV105:FY105"/>
    <mergeCell ref="FN106:FQ106"/>
    <mergeCell ref="FV106:FY106"/>
    <mergeCell ref="FM110:FT110"/>
    <mergeCell ref="FU110:GB110"/>
    <mergeCell ref="FM112:FN112"/>
    <mergeCell ref="FU112:FV112"/>
    <mergeCell ref="FM98:FM99"/>
    <mergeCell ref="FN98:FP98"/>
    <mergeCell ref="FU98:FU99"/>
    <mergeCell ref="FV98:FX98"/>
    <mergeCell ref="FN99:FP99"/>
    <mergeCell ref="FV99:FX99"/>
    <mergeCell ref="FM100:FM101"/>
    <mergeCell ref="FU100:FU101"/>
    <mergeCell ref="FM102:FM103"/>
    <mergeCell ref="FN102:FQ102"/>
    <mergeCell ref="GS88:GT88"/>
    <mergeCell ref="GS89:GT89"/>
    <mergeCell ref="GW89:GX89"/>
    <mergeCell ref="GS90:GT90"/>
    <mergeCell ref="GW90:GX90"/>
    <mergeCell ref="GS92:GT92"/>
    <mergeCell ref="GS93:GT93"/>
    <mergeCell ref="GS94:GT94"/>
    <mergeCell ref="GT97:GX97"/>
    <mergeCell ref="GS80:GT80"/>
    <mergeCell ref="GW80:GX80"/>
    <mergeCell ref="GS83:GT83"/>
    <mergeCell ref="GW83:GX83"/>
    <mergeCell ref="GS85:GT85"/>
    <mergeCell ref="GW85:GX85"/>
    <mergeCell ref="GS86:GT86"/>
    <mergeCell ref="GW86:GX86"/>
    <mergeCell ref="GS87:GT87"/>
    <mergeCell ref="GW87:GX87"/>
    <mergeCell ref="GS74:GT74"/>
    <mergeCell ref="GS75:GT75"/>
    <mergeCell ref="GU75:GX75"/>
    <mergeCell ref="GY75:GZ75"/>
    <mergeCell ref="GS77:GT77"/>
    <mergeCell ref="GW77:GX77"/>
    <mergeCell ref="GS78:GT78"/>
    <mergeCell ref="GW78:GX78"/>
    <mergeCell ref="GS79:GT79"/>
    <mergeCell ref="GW79:GX79"/>
    <mergeCell ref="GW66:GX66"/>
    <mergeCell ref="GY66:GZ66"/>
    <mergeCell ref="GW67:GX67"/>
    <mergeCell ref="GY67:GZ67"/>
    <mergeCell ref="GS69:GT69"/>
    <mergeCell ref="GS70:GT70"/>
    <mergeCell ref="GS71:GT71"/>
    <mergeCell ref="GS72:GT72"/>
    <mergeCell ref="GS73:GT73"/>
    <mergeCell ref="GS53:GT53"/>
    <mergeCell ref="GW53:GX53"/>
    <mergeCell ref="GW54:GX54"/>
    <mergeCell ref="GW55:GX55"/>
    <mergeCell ref="GS62:GZ62"/>
    <mergeCell ref="GS63:GZ63"/>
    <mergeCell ref="GS64:GT64"/>
    <mergeCell ref="GU64:GX64"/>
    <mergeCell ref="GY64:GZ64"/>
    <mergeCell ref="GT38:GV38"/>
    <mergeCell ref="GT39:GW39"/>
    <mergeCell ref="GT40:GW40"/>
    <mergeCell ref="GT41:GW41"/>
    <mergeCell ref="GT42:GW42"/>
    <mergeCell ref="GS49:GZ49"/>
    <mergeCell ref="GS51:GT51"/>
    <mergeCell ref="GW51:GX51"/>
    <mergeCell ref="GS52:GT52"/>
    <mergeCell ref="GW52:GX52"/>
    <mergeCell ref="GS28:GT28"/>
    <mergeCell ref="GW28:GX28"/>
    <mergeCell ref="GS29:GT29"/>
    <mergeCell ref="GW29:GX29"/>
    <mergeCell ref="GS31:GT31"/>
    <mergeCell ref="GS32:GT32"/>
    <mergeCell ref="GS33:GT33"/>
    <mergeCell ref="GT36:GX36"/>
    <mergeCell ref="GT37:GU37"/>
    <mergeCell ref="GS22:GT22"/>
    <mergeCell ref="GW22:GX22"/>
    <mergeCell ref="GS24:GT24"/>
    <mergeCell ref="GW24:GX24"/>
    <mergeCell ref="GS25:GT25"/>
    <mergeCell ref="GW25:GX25"/>
    <mergeCell ref="GS26:GT26"/>
    <mergeCell ref="GW26:GX26"/>
    <mergeCell ref="GS27:GT27"/>
    <mergeCell ref="GU14:GX14"/>
    <mergeCell ref="GY14:GZ14"/>
    <mergeCell ref="GS16:GT16"/>
    <mergeCell ref="GW16:GX16"/>
    <mergeCell ref="GS17:GT17"/>
    <mergeCell ref="GW17:GX17"/>
    <mergeCell ref="GS18:GT18"/>
    <mergeCell ref="GW18:GX18"/>
    <mergeCell ref="GS19:GT19"/>
    <mergeCell ref="GW19:GX19"/>
    <mergeCell ref="HA114:HB114"/>
    <mergeCell ref="HE114:HF114"/>
    <mergeCell ref="HI114:HJ114"/>
    <mergeCell ref="HM114:HN114"/>
    <mergeCell ref="HE115:HF115"/>
    <mergeCell ref="HM115:HN115"/>
    <mergeCell ref="HE116:HF116"/>
    <mergeCell ref="HM116:HN116"/>
    <mergeCell ref="HI110:HP110"/>
    <mergeCell ref="HA112:HB112"/>
    <mergeCell ref="HE112:HF112"/>
    <mergeCell ref="HI112:HJ112"/>
    <mergeCell ref="HM112:HN112"/>
    <mergeCell ref="HA113:HB113"/>
    <mergeCell ref="HE113:HF113"/>
    <mergeCell ref="HI113:HJ113"/>
    <mergeCell ref="HM113:HN113"/>
    <mergeCell ref="HJ99:HL99"/>
    <mergeCell ref="HJ100:HM100"/>
    <mergeCell ref="HJ101:HM101"/>
    <mergeCell ref="HJ102:HM102"/>
    <mergeCell ref="HJ103:HM103"/>
    <mergeCell ref="GS1:GZ1"/>
    <mergeCell ref="GS2:GZ2"/>
    <mergeCell ref="GS3:GT3"/>
    <mergeCell ref="GU3:GX3"/>
    <mergeCell ref="GY3:GZ3"/>
    <mergeCell ref="GW5:GX5"/>
    <mergeCell ref="GY5:GZ5"/>
    <mergeCell ref="GW6:GX6"/>
    <mergeCell ref="GY6:GZ6"/>
    <mergeCell ref="GS8:GT8"/>
    <mergeCell ref="GS9:GT9"/>
    <mergeCell ref="GS10:GT10"/>
    <mergeCell ref="GS11:GT11"/>
    <mergeCell ref="GS12:GT12"/>
    <mergeCell ref="GS13:GT13"/>
    <mergeCell ref="GS14:GT14"/>
    <mergeCell ref="HA110:HH110"/>
    <mergeCell ref="HB99:HD99"/>
    <mergeCell ref="HB100:HE100"/>
    <mergeCell ref="HB101:HE101"/>
    <mergeCell ref="HB102:HE102"/>
    <mergeCell ref="HB103:HE103"/>
    <mergeCell ref="HA92:HB92"/>
    <mergeCell ref="HA85:HB85"/>
    <mergeCell ref="HE85:HF85"/>
    <mergeCell ref="HE67:HF67"/>
    <mergeCell ref="HG67:HH67"/>
    <mergeCell ref="HA17:HB17"/>
    <mergeCell ref="HE17:HF17"/>
    <mergeCell ref="HA18:HB18"/>
    <mergeCell ref="HE18:HF18"/>
    <mergeCell ref="HA19:HB19"/>
    <mergeCell ref="HI92:HJ92"/>
    <mergeCell ref="HA93:HB93"/>
    <mergeCell ref="HI93:HJ93"/>
    <mergeCell ref="HA94:HB94"/>
    <mergeCell ref="HI94:HJ94"/>
    <mergeCell ref="HB97:HF97"/>
    <mergeCell ref="HJ97:HN97"/>
    <mergeCell ref="HB98:HC98"/>
    <mergeCell ref="HJ98:HK98"/>
    <mergeCell ref="HA88:HB88"/>
    <mergeCell ref="HI88:HJ88"/>
    <mergeCell ref="HA89:HB89"/>
    <mergeCell ref="HE89:HF89"/>
    <mergeCell ref="HI89:HJ89"/>
    <mergeCell ref="HM89:HN89"/>
    <mergeCell ref="HA90:HB90"/>
    <mergeCell ref="HE90:HF90"/>
    <mergeCell ref="HI90:HJ90"/>
    <mergeCell ref="HM90:HN90"/>
    <mergeCell ref="HI85:HJ85"/>
    <mergeCell ref="HM85:HN85"/>
    <mergeCell ref="HA86:HB86"/>
    <mergeCell ref="HE86:HF86"/>
    <mergeCell ref="HI86:HJ86"/>
    <mergeCell ref="HM86:HN86"/>
    <mergeCell ref="HA87:HB87"/>
    <mergeCell ref="HE87:HF87"/>
    <mergeCell ref="HI87:HJ87"/>
    <mergeCell ref="HM87:HN87"/>
    <mergeCell ref="HA79:HB79"/>
    <mergeCell ref="HE79:HF79"/>
    <mergeCell ref="HI79:HJ79"/>
    <mergeCell ref="HM79:HN79"/>
    <mergeCell ref="HA80:HB80"/>
    <mergeCell ref="HE80:HF80"/>
    <mergeCell ref="HI80:HJ80"/>
    <mergeCell ref="HM80:HN80"/>
    <mergeCell ref="HA83:HB83"/>
    <mergeCell ref="HE83:HF83"/>
    <mergeCell ref="HI83:HJ83"/>
    <mergeCell ref="HM83:HN83"/>
    <mergeCell ref="HK75:HN75"/>
    <mergeCell ref="HO75:HP75"/>
    <mergeCell ref="HA77:HB77"/>
    <mergeCell ref="HE77:HF77"/>
    <mergeCell ref="HI77:HJ77"/>
    <mergeCell ref="HM77:HN77"/>
    <mergeCell ref="HA78:HB78"/>
    <mergeCell ref="HE78:HF78"/>
    <mergeCell ref="HI78:HJ78"/>
    <mergeCell ref="HM78:HN78"/>
    <mergeCell ref="HA72:HB72"/>
    <mergeCell ref="HI72:HJ72"/>
    <mergeCell ref="HA73:HB73"/>
    <mergeCell ref="HI73:HJ73"/>
    <mergeCell ref="HA74:HB74"/>
    <mergeCell ref="HI74:HJ74"/>
    <mergeCell ref="HA75:HB75"/>
    <mergeCell ref="HC75:HF75"/>
    <mergeCell ref="HG75:HH75"/>
    <mergeCell ref="HI75:HJ75"/>
    <mergeCell ref="HM67:HN67"/>
    <mergeCell ref="HO67:HP67"/>
    <mergeCell ref="HA69:HB69"/>
    <mergeCell ref="HI69:HJ69"/>
    <mergeCell ref="HA70:HB70"/>
    <mergeCell ref="HI70:HJ70"/>
    <mergeCell ref="HA71:HB71"/>
    <mergeCell ref="HI71:HJ71"/>
    <mergeCell ref="HA63:HH63"/>
    <mergeCell ref="HI63:HP63"/>
    <mergeCell ref="HA64:HB64"/>
    <mergeCell ref="HC64:HF64"/>
    <mergeCell ref="HG64:HH64"/>
    <mergeCell ref="HI64:HJ64"/>
    <mergeCell ref="HK64:HN64"/>
    <mergeCell ref="HO64:HP64"/>
    <mergeCell ref="HE66:HF66"/>
    <mergeCell ref="HG66:HH66"/>
    <mergeCell ref="HM66:HN66"/>
    <mergeCell ref="HO66:HP66"/>
    <mergeCell ref="HI51:HJ51"/>
    <mergeCell ref="HM51:HN51"/>
    <mergeCell ref="HI52:HJ52"/>
    <mergeCell ref="HM52:HN52"/>
    <mergeCell ref="HI53:HJ53"/>
    <mergeCell ref="HM53:HN53"/>
    <mergeCell ref="HM54:HN54"/>
    <mergeCell ref="HM55:HN55"/>
    <mergeCell ref="HA62:HH62"/>
    <mergeCell ref="HI62:HP62"/>
    <mergeCell ref="HI33:HJ33"/>
    <mergeCell ref="HJ36:HN36"/>
    <mergeCell ref="HJ37:HK37"/>
    <mergeCell ref="HJ38:HL38"/>
    <mergeCell ref="HJ39:HM39"/>
    <mergeCell ref="HJ40:HM40"/>
    <mergeCell ref="HJ41:HM41"/>
    <mergeCell ref="HJ42:HM42"/>
    <mergeCell ref="HI49:HP49"/>
    <mergeCell ref="HE55:HF55"/>
    <mergeCell ref="HI26:HJ26"/>
    <mergeCell ref="HM26:HN26"/>
    <mergeCell ref="HI27:HJ27"/>
    <mergeCell ref="HI28:HJ28"/>
    <mergeCell ref="HM28:HN28"/>
    <mergeCell ref="HI29:HJ29"/>
    <mergeCell ref="HM29:HN29"/>
    <mergeCell ref="HI31:HJ31"/>
    <mergeCell ref="HI32:HJ32"/>
    <mergeCell ref="HM18:HN18"/>
    <mergeCell ref="HI19:HJ19"/>
    <mergeCell ref="HM19:HN19"/>
    <mergeCell ref="HI22:HJ22"/>
    <mergeCell ref="HM22:HN22"/>
    <mergeCell ref="HI24:HJ24"/>
    <mergeCell ref="HM24:HN24"/>
    <mergeCell ref="HI25:HJ25"/>
    <mergeCell ref="HM25:HN25"/>
    <mergeCell ref="HI1:HP1"/>
    <mergeCell ref="HI2:HP2"/>
    <mergeCell ref="HI3:HJ3"/>
    <mergeCell ref="HK3:HN3"/>
    <mergeCell ref="HO3:HP3"/>
    <mergeCell ref="HM5:HN5"/>
    <mergeCell ref="HO5:HP5"/>
    <mergeCell ref="HM6:HN6"/>
    <mergeCell ref="HO6:HP6"/>
    <mergeCell ref="HI8:HJ8"/>
    <mergeCell ref="HI9:HJ9"/>
    <mergeCell ref="HI10:HJ10"/>
    <mergeCell ref="HI11:HJ11"/>
    <mergeCell ref="HI12:HJ12"/>
    <mergeCell ref="HI13:HJ13"/>
    <mergeCell ref="HI14:HJ14"/>
    <mergeCell ref="HK14:HN14"/>
    <mergeCell ref="HO14:HP14"/>
    <mergeCell ref="HI16:HJ16"/>
    <mergeCell ref="HM16:HN16"/>
    <mergeCell ref="HI17:HJ17"/>
    <mergeCell ref="HM17:HN17"/>
    <mergeCell ref="HI18:HJ18"/>
    <mergeCell ref="HB42:HE42"/>
    <mergeCell ref="HA49:HH49"/>
    <mergeCell ref="HA51:HB51"/>
    <mergeCell ref="HE51:HF51"/>
    <mergeCell ref="HA52:HB52"/>
    <mergeCell ref="HE52:HF52"/>
    <mergeCell ref="HA53:HB53"/>
    <mergeCell ref="HE53:HF53"/>
    <mergeCell ref="HE54:HF54"/>
    <mergeCell ref="HA31:HB31"/>
    <mergeCell ref="HA32:HB32"/>
    <mergeCell ref="HA33:HB33"/>
    <mergeCell ref="HB36:HF36"/>
    <mergeCell ref="HB37:HC37"/>
    <mergeCell ref="HB38:HD38"/>
    <mergeCell ref="HB39:HE39"/>
    <mergeCell ref="HB40:HE40"/>
    <mergeCell ref="HB41:HE41"/>
    <mergeCell ref="HA25:HB25"/>
    <mergeCell ref="HE25:HF25"/>
    <mergeCell ref="HA26:HB26"/>
    <mergeCell ref="HE26:HF26"/>
    <mergeCell ref="HA27:HB27"/>
    <mergeCell ref="HA28:HB28"/>
    <mergeCell ref="HE28:HF28"/>
    <mergeCell ref="HA29:HB29"/>
    <mergeCell ref="HE29:HF29"/>
    <mergeCell ref="HE19:HF19"/>
    <mergeCell ref="HA22:HB22"/>
    <mergeCell ref="HE22:HF22"/>
    <mergeCell ref="HA24:HB24"/>
    <mergeCell ref="HE24:HF24"/>
    <mergeCell ref="FM113:FN113"/>
    <mergeCell ref="FU113:FV113"/>
    <mergeCell ref="FM114:FN114"/>
    <mergeCell ref="FU114:FV114"/>
    <mergeCell ref="HA1:HH1"/>
    <mergeCell ref="HA2:HH2"/>
    <mergeCell ref="HA3:HB3"/>
    <mergeCell ref="HC3:HF3"/>
    <mergeCell ref="HG3:HH3"/>
    <mergeCell ref="HE5:HF5"/>
    <mergeCell ref="HG5:HH5"/>
    <mergeCell ref="HE6:HF6"/>
    <mergeCell ref="HG6:HH6"/>
    <mergeCell ref="HA8:HB8"/>
    <mergeCell ref="HA9:HB9"/>
    <mergeCell ref="HA10:HB10"/>
    <mergeCell ref="HA11:HB11"/>
    <mergeCell ref="HA12:HB12"/>
    <mergeCell ref="HA13:HB13"/>
    <mergeCell ref="HA14:HB14"/>
    <mergeCell ref="HC14:HF14"/>
    <mergeCell ref="HG14:HH14"/>
    <mergeCell ref="HA16:HB16"/>
    <mergeCell ref="HE16:HF16"/>
    <mergeCell ref="FN104:FQ104"/>
    <mergeCell ref="FV104:FY104"/>
    <mergeCell ref="FN105:FQ105"/>
    <mergeCell ref="FU102:FU103"/>
    <mergeCell ref="FV102:FY102"/>
    <mergeCell ref="FN103:FQ103"/>
    <mergeCell ref="FV103:FY103"/>
    <mergeCell ref="FM94:FM95"/>
    <mergeCell ref="FN94:FQ94"/>
    <mergeCell ref="FU94:FU95"/>
    <mergeCell ref="FV94:FY94"/>
    <mergeCell ref="FN95:FQ95"/>
    <mergeCell ref="FV95:FY95"/>
    <mergeCell ref="FN96:FP96"/>
    <mergeCell ref="FV96:FX96"/>
    <mergeCell ref="FN97:FP97"/>
    <mergeCell ref="FV97:FX97"/>
    <mergeCell ref="EG113:EH113"/>
    <mergeCell ref="EO113:EP113"/>
    <mergeCell ref="EG114:EH114"/>
    <mergeCell ref="EO114:EP114"/>
    <mergeCell ref="EH96:EJ96"/>
    <mergeCell ref="EP96:ER96"/>
    <mergeCell ref="EH97:EJ97"/>
    <mergeCell ref="EP97:ER97"/>
    <mergeCell ref="FF103:FI103"/>
    <mergeCell ref="FF104:FI104"/>
    <mergeCell ref="FF105:FI105"/>
    <mergeCell ref="EW113:EX113"/>
    <mergeCell ref="EW114:EX114"/>
    <mergeCell ref="EG79:EH79"/>
    <mergeCell ref="EO79:EP79"/>
    <mergeCell ref="EG80:EH80"/>
    <mergeCell ref="EO80:EP80"/>
    <mergeCell ref="EH90:EL90"/>
    <mergeCell ref="EP90:ET90"/>
    <mergeCell ref="EH91:EJ91"/>
    <mergeCell ref="EP91:ER91"/>
    <mergeCell ref="EG92:EG93"/>
    <mergeCell ref="EH92:EK92"/>
    <mergeCell ref="EG94:EG95"/>
    <mergeCell ref="EH94:EK94"/>
    <mergeCell ref="EO94:EO95"/>
    <mergeCell ref="EP94:ES94"/>
    <mergeCell ref="EH95:EK95"/>
    <mergeCell ref="EP95:ES95"/>
    <mergeCell ref="FM62:FT62"/>
    <mergeCell ref="FM79:FN79"/>
    <mergeCell ref="EP93:ES93"/>
    <mergeCell ref="EM66:EN66"/>
    <mergeCell ref="EU66:EV66"/>
    <mergeCell ref="EI68:EJ68"/>
    <mergeCell ref="EQ68:ER68"/>
    <mergeCell ref="EG74:EH74"/>
    <mergeCell ref="EO74:EP74"/>
    <mergeCell ref="EG75:EH75"/>
    <mergeCell ref="EO75:EP75"/>
    <mergeCell ref="EG78:EH78"/>
    <mergeCell ref="EO78:EP78"/>
    <mergeCell ref="FF90:FJ90"/>
    <mergeCell ref="FF91:FH91"/>
    <mergeCell ref="FE92:FE93"/>
    <mergeCell ref="FU62:GB62"/>
    <mergeCell ref="FM63:FT63"/>
    <mergeCell ref="FU63:GB63"/>
    <mergeCell ref="FM64:FN64"/>
    <mergeCell ref="FO64:FR64"/>
    <mergeCell ref="FS64:FT64"/>
    <mergeCell ref="FU64:FV64"/>
    <mergeCell ref="FW64:FZ64"/>
    <mergeCell ref="GA64:GB64"/>
    <mergeCell ref="FS66:FT66"/>
    <mergeCell ref="GA66:GB66"/>
    <mergeCell ref="FO68:FP68"/>
    <mergeCell ref="FW68:FX68"/>
    <mergeCell ref="FM74:FN74"/>
    <mergeCell ref="FU74:FV74"/>
    <mergeCell ref="FM75:FN75"/>
    <mergeCell ref="FU75:FV75"/>
    <mergeCell ref="FU79:FV79"/>
    <mergeCell ref="FM80:FN80"/>
    <mergeCell ref="FU80:FV80"/>
    <mergeCell ref="FN90:FR90"/>
    <mergeCell ref="FV90:FZ90"/>
    <mergeCell ref="FN91:FP91"/>
    <mergeCell ref="FV91:FX91"/>
    <mergeCell ref="EH104:EK104"/>
    <mergeCell ref="EP104:ES104"/>
    <mergeCell ref="EH105:EK105"/>
    <mergeCell ref="EP105:ES105"/>
    <mergeCell ref="EH106:EK106"/>
    <mergeCell ref="EP106:ES106"/>
    <mergeCell ref="EG110:EN110"/>
    <mergeCell ref="EO110:EV110"/>
    <mergeCell ref="EG112:EH112"/>
    <mergeCell ref="EO112:EP112"/>
    <mergeCell ref="EG98:EG99"/>
    <mergeCell ref="EH98:EJ98"/>
    <mergeCell ref="EO98:EO99"/>
    <mergeCell ref="EP98:ER98"/>
    <mergeCell ref="EH99:EJ99"/>
    <mergeCell ref="EP99:ER99"/>
    <mergeCell ref="EG100:EG101"/>
    <mergeCell ref="EO100:EO101"/>
    <mergeCell ref="EG102:EG103"/>
    <mergeCell ref="EH102:EK102"/>
    <mergeCell ref="EO102:EO103"/>
    <mergeCell ref="EP102:ES102"/>
    <mergeCell ref="EH103:EK103"/>
    <mergeCell ref="EP103:ES103"/>
    <mergeCell ref="EH93:EK93"/>
    <mergeCell ref="FU53:FV53"/>
    <mergeCell ref="EG62:EN62"/>
    <mergeCell ref="EO62:EV62"/>
    <mergeCell ref="EG63:EN63"/>
    <mergeCell ref="EO63:EV63"/>
    <mergeCell ref="EG64:EH64"/>
    <mergeCell ref="EI64:EL64"/>
    <mergeCell ref="EM64:EN64"/>
    <mergeCell ref="EO64:EP64"/>
    <mergeCell ref="EQ64:ET64"/>
    <mergeCell ref="EU64:EV64"/>
    <mergeCell ref="EG53:EH53"/>
    <mergeCell ref="FM78:FN78"/>
    <mergeCell ref="FU78:FV78"/>
    <mergeCell ref="FM92:FM93"/>
    <mergeCell ref="FN92:FQ92"/>
    <mergeCell ref="FU92:FU93"/>
    <mergeCell ref="FV92:FY92"/>
    <mergeCell ref="FN93:FQ93"/>
    <mergeCell ref="FV93:FY93"/>
    <mergeCell ref="FE62:FL62"/>
    <mergeCell ref="FE63:FL63"/>
    <mergeCell ref="FE64:FF64"/>
    <mergeCell ref="FG64:FJ64"/>
    <mergeCell ref="FK64:FL64"/>
    <mergeCell ref="FK66:FL66"/>
    <mergeCell ref="FG68:FH68"/>
    <mergeCell ref="FE74:FF74"/>
    <mergeCell ref="FE75:FF75"/>
    <mergeCell ref="FE78:FF78"/>
    <mergeCell ref="FE79:FF79"/>
    <mergeCell ref="FE80:FF80"/>
    <mergeCell ref="FU41:FU42"/>
    <mergeCell ref="FV41:FY41"/>
    <mergeCell ref="FV42:FY42"/>
    <mergeCell ref="FV43:FY43"/>
    <mergeCell ref="FV44:FY44"/>
    <mergeCell ref="FV45:FY45"/>
    <mergeCell ref="FU49:GB49"/>
    <mergeCell ref="FU51:FV51"/>
    <mergeCell ref="FU52:FV52"/>
    <mergeCell ref="FU33:FU34"/>
    <mergeCell ref="FV33:FY33"/>
    <mergeCell ref="FV34:FY34"/>
    <mergeCell ref="FV35:FX35"/>
    <mergeCell ref="FV36:FX36"/>
    <mergeCell ref="FU37:FU38"/>
    <mergeCell ref="FV37:FX37"/>
    <mergeCell ref="FV38:FX38"/>
    <mergeCell ref="FU39:FU40"/>
    <mergeCell ref="FN43:FQ43"/>
    <mergeCell ref="FN44:FQ44"/>
    <mergeCell ref="FN45:FQ45"/>
    <mergeCell ref="FM49:FT49"/>
    <mergeCell ref="FM51:FN51"/>
    <mergeCell ref="FM52:FN52"/>
    <mergeCell ref="FM53:FN53"/>
    <mergeCell ref="FU1:GB1"/>
    <mergeCell ref="FU2:GB2"/>
    <mergeCell ref="FU3:FV3"/>
    <mergeCell ref="FW3:FZ3"/>
    <mergeCell ref="GA3:GB3"/>
    <mergeCell ref="GA5:GB5"/>
    <mergeCell ref="FW7:FX7"/>
    <mergeCell ref="FU13:FV13"/>
    <mergeCell ref="FU14:FV14"/>
    <mergeCell ref="FU17:FV17"/>
    <mergeCell ref="FU18:FV18"/>
    <mergeCell ref="FU19:FV19"/>
    <mergeCell ref="FV29:FZ29"/>
    <mergeCell ref="FV30:FX30"/>
    <mergeCell ref="FU31:FU32"/>
    <mergeCell ref="FV31:FY31"/>
    <mergeCell ref="FV32:FY32"/>
    <mergeCell ref="FN34:FQ34"/>
    <mergeCell ref="FN35:FP35"/>
    <mergeCell ref="FN36:FP36"/>
    <mergeCell ref="FM37:FM38"/>
    <mergeCell ref="FN37:FP37"/>
    <mergeCell ref="FN38:FP38"/>
    <mergeCell ref="FM39:FM40"/>
    <mergeCell ref="FM41:FM42"/>
    <mergeCell ref="FN41:FQ41"/>
    <mergeCell ref="FN42:FQ42"/>
    <mergeCell ref="FF106:FI106"/>
    <mergeCell ref="FE110:FL110"/>
    <mergeCell ref="FE112:FF112"/>
    <mergeCell ref="FE113:FF113"/>
    <mergeCell ref="FE114:FF114"/>
    <mergeCell ref="FM1:FT1"/>
    <mergeCell ref="FM2:FT2"/>
    <mergeCell ref="FM3:FN3"/>
    <mergeCell ref="FO3:FR3"/>
    <mergeCell ref="FS3:FT3"/>
    <mergeCell ref="FS5:FT5"/>
    <mergeCell ref="FO7:FP7"/>
    <mergeCell ref="FM13:FN13"/>
    <mergeCell ref="FM14:FN14"/>
    <mergeCell ref="FM17:FN17"/>
    <mergeCell ref="FM18:FN18"/>
    <mergeCell ref="FM19:FN19"/>
    <mergeCell ref="FN29:FR29"/>
    <mergeCell ref="FN30:FP30"/>
    <mergeCell ref="FM31:FM32"/>
    <mergeCell ref="FN31:FQ31"/>
    <mergeCell ref="FN32:FQ32"/>
    <mergeCell ref="FM33:FM34"/>
    <mergeCell ref="FN33:FQ33"/>
    <mergeCell ref="FE98:FE99"/>
    <mergeCell ref="FF98:FH98"/>
    <mergeCell ref="FF99:FH99"/>
    <mergeCell ref="FE100:FE101"/>
    <mergeCell ref="FE102:FE103"/>
    <mergeCell ref="FF102:FI102"/>
    <mergeCell ref="FF92:FI92"/>
    <mergeCell ref="FF93:FI93"/>
    <mergeCell ref="FE94:FE95"/>
    <mergeCell ref="FF94:FI94"/>
    <mergeCell ref="FF95:FI95"/>
    <mergeCell ref="FF96:FH96"/>
    <mergeCell ref="FF97:FH97"/>
    <mergeCell ref="EW100:EW101"/>
    <mergeCell ref="EW102:EW103"/>
    <mergeCell ref="EX102:FA102"/>
    <mergeCell ref="EX103:FA103"/>
    <mergeCell ref="EX104:FA104"/>
    <mergeCell ref="EW110:FD110"/>
    <mergeCell ref="EW112:EX112"/>
    <mergeCell ref="EW92:EW93"/>
    <mergeCell ref="EX92:FA92"/>
    <mergeCell ref="EX93:FA93"/>
    <mergeCell ref="EW94:EW95"/>
    <mergeCell ref="EX94:FA94"/>
    <mergeCell ref="EX95:FA95"/>
    <mergeCell ref="EX96:EZ96"/>
    <mergeCell ref="EX97:EZ97"/>
    <mergeCell ref="EW98:EW99"/>
    <mergeCell ref="EX98:EZ98"/>
    <mergeCell ref="EX99:EZ99"/>
    <mergeCell ref="EX105:FA105"/>
    <mergeCell ref="EX106:FA106"/>
    <mergeCell ref="FC66:FD66"/>
    <mergeCell ref="EY68:EZ68"/>
    <mergeCell ref="EW74:EX74"/>
    <mergeCell ref="EW75:EX75"/>
    <mergeCell ref="EW78:EX78"/>
    <mergeCell ref="EW79:EX79"/>
    <mergeCell ref="EW80:EX80"/>
    <mergeCell ref="EX90:FB90"/>
    <mergeCell ref="EX91:EZ91"/>
    <mergeCell ref="EO53:EP53"/>
    <mergeCell ref="EW62:FD62"/>
    <mergeCell ref="EW63:FD63"/>
    <mergeCell ref="EW64:EX64"/>
    <mergeCell ref="EY64:FB64"/>
    <mergeCell ref="FC64:FD64"/>
    <mergeCell ref="EP37:ER37"/>
    <mergeCell ref="EP38:ER38"/>
    <mergeCell ref="EO39:EO40"/>
    <mergeCell ref="EO41:EO42"/>
    <mergeCell ref="EP41:ES41"/>
    <mergeCell ref="EP42:ES42"/>
    <mergeCell ref="EP43:ES43"/>
    <mergeCell ref="EP44:ES44"/>
    <mergeCell ref="EP45:ES45"/>
    <mergeCell ref="EO92:EO93"/>
    <mergeCell ref="EP92:ES92"/>
    <mergeCell ref="EO1:EV1"/>
    <mergeCell ref="EO2:EV2"/>
    <mergeCell ref="EO3:EP3"/>
    <mergeCell ref="EQ3:ET3"/>
    <mergeCell ref="EU3:EV3"/>
    <mergeCell ref="EU5:EV5"/>
    <mergeCell ref="EQ7:ER7"/>
    <mergeCell ref="EO13:EP13"/>
    <mergeCell ref="EO14:EP14"/>
    <mergeCell ref="EO17:EP17"/>
    <mergeCell ref="EO18:EP18"/>
    <mergeCell ref="EO19:EP19"/>
    <mergeCell ref="EP29:ET29"/>
    <mergeCell ref="EP30:ER30"/>
    <mergeCell ref="EO31:EO32"/>
    <mergeCell ref="EP31:ES31"/>
    <mergeCell ref="EP32:ES32"/>
    <mergeCell ref="EO33:EO34"/>
    <mergeCell ref="EP33:ES33"/>
    <mergeCell ref="EP34:ES34"/>
    <mergeCell ref="EP35:ER35"/>
    <mergeCell ref="EP36:ER36"/>
    <mergeCell ref="EO37:EO38"/>
    <mergeCell ref="EO49:EV49"/>
    <mergeCell ref="EO51:EP51"/>
    <mergeCell ref="EO52:EP52"/>
    <mergeCell ref="EG41:EG42"/>
    <mergeCell ref="EH41:EK41"/>
    <mergeCell ref="EH42:EK42"/>
    <mergeCell ref="EH43:EK43"/>
    <mergeCell ref="EH44:EK44"/>
    <mergeCell ref="EH45:EK45"/>
    <mergeCell ref="EG49:EN49"/>
    <mergeCell ref="EG51:EH51"/>
    <mergeCell ref="EG52:EH52"/>
    <mergeCell ref="EG33:EG34"/>
    <mergeCell ref="EH33:EK33"/>
    <mergeCell ref="EH34:EK34"/>
    <mergeCell ref="EH35:EJ35"/>
    <mergeCell ref="EH36:EJ36"/>
    <mergeCell ref="EG37:EG38"/>
    <mergeCell ref="EH37:EJ37"/>
    <mergeCell ref="EH38:EJ38"/>
    <mergeCell ref="EG39:EG40"/>
    <mergeCell ref="DI113:DJ113"/>
    <mergeCell ref="DQ113:DR113"/>
    <mergeCell ref="DY113:DZ113"/>
    <mergeCell ref="DA114:DB114"/>
    <mergeCell ref="DI114:DJ114"/>
    <mergeCell ref="DQ114:DR114"/>
    <mergeCell ref="DY114:DZ114"/>
    <mergeCell ref="EG1:EN1"/>
    <mergeCell ref="EG2:EN2"/>
    <mergeCell ref="EG3:EH3"/>
    <mergeCell ref="EI3:EL3"/>
    <mergeCell ref="EM3:EN3"/>
    <mergeCell ref="EM5:EN5"/>
    <mergeCell ref="EI7:EJ7"/>
    <mergeCell ref="EG13:EH13"/>
    <mergeCell ref="EG14:EH14"/>
    <mergeCell ref="EG17:EH17"/>
    <mergeCell ref="EG18:EH18"/>
    <mergeCell ref="EG19:EH19"/>
    <mergeCell ref="EH29:EL29"/>
    <mergeCell ref="EH30:EJ30"/>
    <mergeCell ref="EG31:EG32"/>
    <mergeCell ref="EH31:EK31"/>
    <mergeCell ref="EH32:EK32"/>
    <mergeCell ref="DI103:DK103"/>
    <mergeCell ref="DQ103:DS103"/>
    <mergeCell ref="DY103:EA103"/>
    <mergeCell ref="DA110:DH110"/>
    <mergeCell ref="DI110:DP110"/>
    <mergeCell ref="DQ110:DX110"/>
    <mergeCell ref="DY110:EF110"/>
    <mergeCell ref="DA112:DB112"/>
    <mergeCell ref="DI112:DJ112"/>
    <mergeCell ref="DQ112:DR112"/>
    <mergeCell ref="DY112:DZ112"/>
    <mergeCell ref="DJ98:DN98"/>
    <mergeCell ref="DR98:DV98"/>
    <mergeCell ref="DZ98:ED98"/>
    <mergeCell ref="DB99:DF99"/>
    <mergeCell ref="DJ99:DN99"/>
    <mergeCell ref="DR99:DV99"/>
    <mergeCell ref="DZ99:ED99"/>
    <mergeCell ref="DB100:DF100"/>
    <mergeCell ref="DJ100:DN100"/>
    <mergeCell ref="DR100:DV100"/>
    <mergeCell ref="DZ100:ED100"/>
    <mergeCell ref="DJ95:DN95"/>
    <mergeCell ref="DR95:DV95"/>
    <mergeCell ref="DZ95:ED95"/>
    <mergeCell ref="DB96:DF96"/>
    <mergeCell ref="DJ96:DN96"/>
    <mergeCell ref="DR96:DV96"/>
    <mergeCell ref="DZ96:ED96"/>
    <mergeCell ref="DB97:DF97"/>
    <mergeCell ref="DJ97:DN97"/>
    <mergeCell ref="DR97:DV97"/>
    <mergeCell ref="DZ97:ED97"/>
    <mergeCell ref="DJ92:DN92"/>
    <mergeCell ref="DR92:DV92"/>
    <mergeCell ref="DZ92:ED92"/>
    <mergeCell ref="DB93:DF93"/>
    <mergeCell ref="DJ93:DN93"/>
    <mergeCell ref="DR93:DV93"/>
    <mergeCell ref="DZ93:ED93"/>
    <mergeCell ref="DB94:DF94"/>
    <mergeCell ref="DJ94:DN94"/>
    <mergeCell ref="DR94:DV94"/>
    <mergeCell ref="DZ94:ED94"/>
    <mergeCell ref="DI87:DJ87"/>
    <mergeCell ref="DQ87:DR87"/>
    <mergeCell ref="DY87:DZ87"/>
    <mergeCell ref="DB90:DF90"/>
    <mergeCell ref="DJ90:DN90"/>
    <mergeCell ref="DR90:DV90"/>
    <mergeCell ref="DZ90:ED90"/>
    <mergeCell ref="DB91:DF91"/>
    <mergeCell ref="DJ91:DN91"/>
    <mergeCell ref="DR91:DV91"/>
    <mergeCell ref="DZ91:ED91"/>
    <mergeCell ref="DA85:DB85"/>
    <mergeCell ref="DI85:DJ85"/>
    <mergeCell ref="DQ85:DR85"/>
    <mergeCell ref="DY85:DZ85"/>
    <mergeCell ref="DA86:DB86"/>
    <mergeCell ref="DI86:DJ86"/>
    <mergeCell ref="DQ86:DR86"/>
    <mergeCell ref="DY86:DZ86"/>
    <mergeCell ref="DI69:DJ69"/>
    <mergeCell ref="DQ69:DR69"/>
    <mergeCell ref="DY69:DZ69"/>
    <mergeCell ref="DA70:DB70"/>
    <mergeCell ref="DI70:DJ70"/>
    <mergeCell ref="DQ70:DR70"/>
    <mergeCell ref="DY70:DZ70"/>
    <mergeCell ref="DA75:DB75"/>
    <mergeCell ref="DI75:DJ75"/>
    <mergeCell ref="DQ75:DR75"/>
    <mergeCell ref="DY75:DZ75"/>
    <mergeCell ref="DW64:DX64"/>
    <mergeCell ref="DZ64:ED64"/>
    <mergeCell ref="EE64:EF64"/>
    <mergeCell ref="DE66:DF66"/>
    <mergeCell ref="DG66:DH66"/>
    <mergeCell ref="DM66:DN66"/>
    <mergeCell ref="DO66:DP66"/>
    <mergeCell ref="DU66:DV66"/>
    <mergeCell ref="DW66:DX66"/>
    <mergeCell ref="EC66:ED66"/>
    <mergeCell ref="EE66:EF66"/>
    <mergeCell ref="AO113:AP113"/>
    <mergeCell ref="AW113:AX113"/>
    <mergeCell ref="BE113:BF113"/>
    <mergeCell ref="BM113:BN113"/>
    <mergeCell ref="AP99:AT99"/>
    <mergeCell ref="AX99:BB99"/>
    <mergeCell ref="BF99:BJ99"/>
    <mergeCell ref="BN99:BR99"/>
    <mergeCell ref="AP100:AT100"/>
    <mergeCell ref="AX100:BB100"/>
    <mergeCell ref="BF100:BJ100"/>
    <mergeCell ref="BN100:BR100"/>
    <mergeCell ref="AP95:AT95"/>
    <mergeCell ref="AX95:BB95"/>
    <mergeCell ref="BF95:BJ95"/>
    <mergeCell ref="BN95:BR95"/>
    <mergeCell ref="AP96:AT96"/>
    <mergeCell ref="AX96:BB96"/>
    <mergeCell ref="DI76:DJ76"/>
    <mergeCell ref="DQ76:DR76"/>
    <mergeCell ref="DY76:DZ76"/>
    <mergeCell ref="AO114:AP114"/>
    <mergeCell ref="AW114:AX114"/>
    <mergeCell ref="BE114:BF114"/>
    <mergeCell ref="BM114:BN114"/>
    <mergeCell ref="DA62:DH62"/>
    <mergeCell ref="DA63:DH63"/>
    <mergeCell ref="DB64:DF64"/>
    <mergeCell ref="DG64:DH64"/>
    <mergeCell ref="DA69:DB69"/>
    <mergeCell ref="DA76:DB76"/>
    <mergeCell ref="DA87:DB87"/>
    <mergeCell ref="DB92:DF92"/>
    <mergeCell ref="DB95:DF95"/>
    <mergeCell ref="DB98:DF98"/>
    <mergeCell ref="DA103:DC103"/>
    <mergeCell ref="DA113:DB113"/>
    <mergeCell ref="AO103:AQ103"/>
    <mergeCell ref="AW103:AY103"/>
    <mergeCell ref="BE103:BG103"/>
    <mergeCell ref="BM103:BO103"/>
    <mergeCell ref="AO110:AV110"/>
    <mergeCell ref="AW110:BD110"/>
    <mergeCell ref="BE110:BL110"/>
    <mergeCell ref="BM110:BT110"/>
    <mergeCell ref="AO112:AP112"/>
    <mergeCell ref="AW112:AX112"/>
    <mergeCell ref="BE112:BF112"/>
    <mergeCell ref="BM112:BN112"/>
    <mergeCell ref="AP98:AT98"/>
    <mergeCell ref="AX98:BB98"/>
    <mergeCell ref="BF98:BJ98"/>
    <mergeCell ref="BN98:BR98"/>
    <mergeCell ref="BF96:BJ96"/>
    <mergeCell ref="BN96:BR96"/>
    <mergeCell ref="AP97:AT97"/>
    <mergeCell ref="AX97:BB97"/>
    <mergeCell ref="BF97:BJ97"/>
    <mergeCell ref="BN97:BR97"/>
    <mergeCell ref="AP92:AT92"/>
    <mergeCell ref="AX92:BB92"/>
    <mergeCell ref="BF92:BJ92"/>
    <mergeCell ref="BN92:BR92"/>
    <mergeCell ref="AP93:AT93"/>
    <mergeCell ref="AX93:BB93"/>
    <mergeCell ref="BF93:BJ93"/>
    <mergeCell ref="BN93:BR93"/>
    <mergeCell ref="AP94:AT94"/>
    <mergeCell ref="AX94:BB94"/>
    <mergeCell ref="BF94:BJ94"/>
    <mergeCell ref="BN94:BR94"/>
    <mergeCell ref="AO87:AP87"/>
    <mergeCell ref="AW87:AX87"/>
    <mergeCell ref="BE87:BF87"/>
    <mergeCell ref="BM87:BN87"/>
    <mergeCell ref="AP90:AT90"/>
    <mergeCell ref="AX90:BB90"/>
    <mergeCell ref="BF90:BJ90"/>
    <mergeCell ref="BN90:BR90"/>
    <mergeCell ref="AP91:AT91"/>
    <mergeCell ref="AX91:BB91"/>
    <mergeCell ref="BF91:BJ91"/>
    <mergeCell ref="BN91:BR91"/>
    <mergeCell ref="AO76:AP76"/>
    <mergeCell ref="AW76:AX76"/>
    <mergeCell ref="BE76:BF76"/>
    <mergeCell ref="BM76:BN76"/>
    <mergeCell ref="AO85:AP85"/>
    <mergeCell ref="AW85:AX85"/>
    <mergeCell ref="BE85:BF85"/>
    <mergeCell ref="BM85:BN85"/>
    <mergeCell ref="AO86:AP86"/>
    <mergeCell ref="AW86:AX86"/>
    <mergeCell ref="BE86:BF86"/>
    <mergeCell ref="BM86:BN86"/>
    <mergeCell ref="AO69:AP69"/>
    <mergeCell ref="AW69:AX69"/>
    <mergeCell ref="BE69:BF69"/>
    <mergeCell ref="BM69:BN69"/>
    <mergeCell ref="AO70:AP70"/>
    <mergeCell ref="AW70:AX70"/>
    <mergeCell ref="BE70:BF70"/>
    <mergeCell ref="BM70:BN70"/>
    <mergeCell ref="AO75:AP75"/>
    <mergeCell ref="AW75:AX75"/>
    <mergeCell ref="BE75:BF75"/>
    <mergeCell ref="BM75:BN75"/>
    <mergeCell ref="AP64:AT64"/>
    <mergeCell ref="AU64:AV64"/>
    <mergeCell ref="AX64:BB64"/>
    <mergeCell ref="BC64:BD64"/>
    <mergeCell ref="BF64:BJ64"/>
    <mergeCell ref="BK64:BL64"/>
    <mergeCell ref="BN64:BR64"/>
    <mergeCell ref="BS64:BT64"/>
    <mergeCell ref="AS66:AT66"/>
    <mergeCell ref="AU66:AV66"/>
    <mergeCell ref="BA66:BB66"/>
    <mergeCell ref="BC66:BD66"/>
    <mergeCell ref="BI66:BJ66"/>
    <mergeCell ref="BK66:BL66"/>
    <mergeCell ref="BQ66:BR66"/>
    <mergeCell ref="BS66:BT66"/>
    <mergeCell ref="DI53:DJ53"/>
    <mergeCell ref="DQ53:DR53"/>
    <mergeCell ref="DY53:DZ53"/>
    <mergeCell ref="AO62:AV62"/>
    <mergeCell ref="AW62:BD62"/>
    <mergeCell ref="BE62:BL62"/>
    <mergeCell ref="BM62:BT62"/>
    <mergeCell ref="AO63:AV63"/>
    <mergeCell ref="AW63:BD63"/>
    <mergeCell ref="BE63:BL63"/>
    <mergeCell ref="BM63:BT63"/>
    <mergeCell ref="DI62:DP62"/>
    <mergeCell ref="DQ62:DX62"/>
    <mergeCell ref="DY62:EF62"/>
    <mergeCell ref="DI63:DP63"/>
    <mergeCell ref="DQ63:DX63"/>
    <mergeCell ref="DY63:EF63"/>
    <mergeCell ref="CY64:CZ64"/>
    <mergeCell ref="CY66:CZ66"/>
    <mergeCell ref="AW53:AX53"/>
    <mergeCell ref="DJ64:DN64"/>
    <mergeCell ref="DO64:DP64"/>
    <mergeCell ref="DR64:DV64"/>
    <mergeCell ref="DI49:DP49"/>
    <mergeCell ref="DQ49:DX49"/>
    <mergeCell ref="DY49:EF49"/>
    <mergeCell ref="DA51:DB51"/>
    <mergeCell ref="DI51:DJ51"/>
    <mergeCell ref="DQ51:DR51"/>
    <mergeCell ref="DY51:DZ51"/>
    <mergeCell ref="DA52:DB52"/>
    <mergeCell ref="DI52:DJ52"/>
    <mergeCell ref="DQ52:DR52"/>
    <mergeCell ref="DY52:DZ52"/>
    <mergeCell ref="DJ38:DN38"/>
    <mergeCell ref="DR38:DV38"/>
    <mergeCell ref="DZ38:ED38"/>
    <mergeCell ref="DB39:DF39"/>
    <mergeCell ref="DJ39:DN39"/>
    <mergeCell ref="DR39:DV39"/>
    <mergeCell ref="DZ39:ED39"/>
    <mergeCell ref="DA42:DC42"/>
    <mergeCell ref="DI42:DK42"/>
    <mergeCell ref="DQ42:DS42"/>
    <mergeCell ref="DY42:EA42"/>
    <mergeCell ref="DJ35:DN35"/>
    <mergeCell ref="DR35:DV35"/>
    <mergeCell ref="DZ35:ED35"/>
    <mergeCell ref="DB36:DF36"/>
    <mergeCell ref="DJ36:DN36"/>
    <mergeCell ref="DR36:DV36"/>
    <mergeCell ref="DZ36:ED36"/>
    <mergeCell ref="DB37:DF37"/>
    <mergeCell ref="DJ37:DN37"/>
    <mergeCell ref="DR37:DV37"/>
    <mergeCell ref="DZ37:ED37"/>
    <mergeCell ref="DJ32:DN32"/>
    <mergeCell ref="DR32:DV32"/>
    <mergeCell ref="DZ32:ED32"/>
    <mergeCell ref="DB33:DF33"/>
    <mergeCell ref="DJ33:DN33"/>
    <mergeCell ref="DR33:DV33"/>
    <mergeCell ref="DZ33:ED33"/>
    <mergeCell ref="DB34:DF34"/>
    <mergeCell ref="DJ34:DN34"/>
    <mergeCell ref="DR34:DV34"/>
    <mergeCell ref="DZ34:ED34"/>
    <mergeCell ref="DJ29:DN29"/>
    <mergeCell ref="DR29:DV29"/>
    <mergeCell ref="DZ29:ED29"/>
    <mergeCell ref="DB30:DF30"/>
    <mergeCell ref="DJ30:DN30"/>
    <mergeCell ref="DR30:DV30"/>
    <mergeCell ref="DZ30:ED30"/>
    <mergeCell ref="DB31:DF31"/>
    <mergeCell ref="DJ31:DN31"/>
    <mergeCell ref="DR31:DV31"/>
    <mergeCell ref="DZ31:ED31"/>
    <mergeCell ref="DI24:DJ24"/>
    <mergeCell ref="DQ24:DR24"/>
    <mergeCell ref="DY24:DZ24"/>
    <mergeCell ref="DA25:DB25"/>
    <mergeCell ref="DI25:DJ25"/>
    <mergeCell ref="DQ25:DR25"/>
    <mergeCell ref="DY25:DZ25"/>
    <mergeCell ref="DA26:DB26"/>
    <mergeCell ref="DI26:DJ26"/>
    <mergeCell ref="DQ26:DR26"/>
    <mergeCell ref="DY26:DZ26"/>
    <mergeCell ref="DI9:DJ9"/>
    <mergeCell ref="DQ9:DR9"/>
    <mergeCell ref="DY9:DZ9"/>
    <mergeCell ref="DA14:DB14"/>
    <mergeCell ref="DI14:DJ14"/>
    <mergeCell ref="DQ14:DR14"/>
    <mergeCell ref="DY14:DZ14"/>
    <mergeCell ref="DA15:DB15"/>
    <mergeCell ref="DI15:DJ15"/>
    <mergeCell ref="DQ15:DR15"/>
    <mergeCell ref="DY15:DZ15"/>
    <mergeCell ref="DM5:DN5"/>
    <mergeCell ref="DO5:DP5"/>
    <mergeCell ref="DU5:DV5"/>
    <mergeCell ref="DW5:DX5"/>
    <mergeCell ref="EC5:ED5"/>
    <mergeCell ref="EE5:EF5"/>
    <mergeCell ref="DA8:DB8"/>
    <mergeCell ref="DI8:DJ8"/>
    <mergeCell ref="DQ8:DR8"/>
    <mergeCell ref="DY8:DZ8"/>
    <mergeCell ref="DI1:DP1"/>
    <mergeCell ref="DQ1:DX1"/>
    <mergeCell ref="DY1:EF1"/>
    <mergeCell ref="DA2:DH2"/>
    <mergeCell ref="DI2:DP2"/>
    <mergeCell ref="DQ2:DX2"/>
    <mergeCell ref="DY2:EF2"/>
    <mergeCell ref="DB3:DF3"/>
    <mergeCell ref="DG3:DH3"/>
    <mergeCell ref="DJ3:DN3"/>
    <mergeCell ref="DO3:DP3"/>
    <mergeCell ref="DR3:DV3"/>
    <mergeCell ref="DW3:DX3"/>
    <mergeCell ref="DZ3:ED3"/>
    <mergeCell ref="EE3:EF3"/>
    <mergeCell ref="BU113:BV113"/>
    <mergeCell ref="CC113:CD113"/>
    <mergeCell ref="CK113:CL113"/>
    <mergeCell ref="CS113:CT113"/>
    <mergeCell ref="CD99:CH99"/>
    <mergeCell ref="CL99:CP99"/>
    <mergeCell ref="CT99:CX99"/>
    <mergeCell ref="BV100:BZ100"/>
    <mergeCell ref="CD100:CH100"/>
    <mergeCell ref="CL100:CP100"/>
    <mergeCell ref="CT100:CX100"/>
    <mergeCell ref="BV95:BZ95"/>
    <mergeCell ref="CD95:CH95"/>
    <mergeCell ref="CL95:CP95"/>
    <mergeCell ref="CT95:CX95"/>
    <mergeCell ref="BV96:BZ96"/>
    <mergeCell ref="CD96:CH96"/>
    <mergeCell ref="BU114:BV114"/>
    <mergeCell ref="CC114:CD114"/>
    <mergeCell ref="CK114:CL114"/>
    <mergeCell ref="CS114:CT114"/>
    <mergeCell ref="DA1:DH1"/>
    <mergeCell ref="DE5:DF5"/>
    <mergeCell ref="DG5:DH5"/>
    <mergeCell ref="DA9:DB9"/>
    <mergeCell ref="DA24:DB24"/>
    <mergeCell ref="DB29:DF29"/>
    <mergeCell ref="DB32:DF32"/>
    <mergeCell ref="DB35:DF35"/>
    <mergeCell ref="DB38:DF38"/>
    <mergeCell ref="DA49:DH49"/>
    <mergeCell ref="DA53:DB53"/>
    <mergeCell ref="BU103:BW103"/>
    <mergeCell ref="CC103:CE103"/>
    <mergeCell ref="CK103:CM103"/>
    <mergeCell ref="CS103:CU103"/>
    <mergeCell ref="BU110:CB110"/>
    <mergeCell ref="CC110:CJ110"/>
    <mergeCell ref="CK110:CR110"/>
    <mergeCell ref="CS110:CZ110"/>
    <mergeCell ref="BU112:BV112"/>
    <mergeCell ref="CC112:CD112"/>
    <mergeCell ref="CK112:CL112"/>
    <mergeCell ref="CS112:CT112"/>
    <mergeCell ref="BV98:BZ98"/>
    <mergeCell ref="CD98:CH98"/>
    <mergeCell ref="CL98:CP98"/>
    <mergeCell ref="CT98:CX98"/>
    <mergeCell ref="BV99:BZ99"/>
    <mergeCell ref="CL96:CP96"/>
    <mergeCell ref="CT96:CX96"/>
    <mergeCell ref="BV97:BZ97"/>
    <mergeCell ref="CD97:CH97"/>
    <mergeCell ref="CL97:CP97"/>
    <mergeCell ref="CT97:CX97"/>
    <mergeCell ref="BV92:BZ92"/>
    <mergeCell ref="CD92:CH92"/>
    <mergeCell ref="CL92:CP92"/>
    <mergeCell ref="CT92:CX92"/>
    <mergeCell ref="BV93:BZ93"/>
    <mergeCell ref="CD93:CH93"/>
    <mergeCell ref="CL93:CP93"/>
    <mergeCell ref="CT93:CX93"/>
    <mergeCell ref="BV94:BZ94"/>
    <mergeCell ref="CD94:CH94"/>
    <mergeCell ref="CL94:CP94"/>
    <mergeCell ref="CT94:CX94"/>
    <mergeCell ref="BU87:BV87"/>
    <mergeCell ref="CC87:CD87"/>
    <mergeCell ref="CK87:CL87"/>
    <mergeCell ref="CS87:CT87"/>
    <mergeCell ref="BV90:BZ90"/>
    <mergeCell ref="CD90:CH90"/>
    <mergeCell ref="CL90:CP90"/>
    <mergeCell ref="CT90:CX90"/>
    <mergeCell ref="BV91:BZ91"/>
    <mergeCell ref="CD91:CH91"/>
    <mergeCell ref="CL91:CP91"/>
    <mergeCell ref="CT91:CX91"/>
    <mergeCell ref="BU76:BV76"/>
    <mergeCell ref="CC76:CD76"/>
    <mergeCell ref="CK76:CL76"/>
    <mergeCell ref="CS76:CT76"/>
    <mergeCell ref="BU85:BV85"/>
    <mergeCell ref="CC85:CD85"/>
    <mergeCell ref="CK85:CL85"/>
    <mergeCell ref="CS85:CT85"/>
    <mergeCell ref="BU86:BV86"/>
    <mergeCell ref="CC86:CD86"/>
    <mergeCell ref="CK86:CL86"/>
    <mergeCell ref="CS86:CT86"/>
    <mergeCell ref="BU69:BV69"/>
    <mergeCell ref="CC69:CD69"/>
    <mergeCell ref="CK69:CL69"/>
    <mergeCell ref="CS69:CT69"/>
    <mergeCell ref="BU70:BV70"/>
    <mergeCell ref="CC70:CD70"/>
    <mergeCell ref="CK70:CL70"/>
    <mergeCell ref="CS70:CT70"/>
    <mergeCell ref="BU75:BV75"/>
    <mergeCell ref="CC75:CD75"/>
    <mergeCell ref="CK75:CL75"/>
    <mergeCell ref="CS75:CT75"/>
    <mergeCell ref="BV64:BZ64"/>
    <mergeCell ref="CA64:CB64"/>
    <mergeCell ref="CD64:CH64"/>
    <mergeCell ref="CI64:CJ64"/>
    <mergeCell ref="CL64:CP64"/>
    <mergeCell ref="CQ64:CR64"/>
    <mergeCell ref="CT64:CX64"/>
    <mergeCell ref="BY66:BZ66"/>
    <mergeCell ref="CA66:CB66"/>
    <mergeCell ref="CG66:CH66"/>
    <mergeCell ref="CI66:CJ66"/>
    <mergeCell ref="CO66:CP66"/>
    <mergeCell ref="CQ66:CR66"/>
    <mergeCell ref="CW66:CX66"/>
    <mergeCell ref="BM52:BN52"/>
    <mergeCell ref="BM53:BN53"/>
    <mergeCell ref="BU62:CB62"/>
    <mergeCell ref="CC62:CJ62"/>
    <mergeCell ref="CK62:CR62"/>
    <mergeCell ref="CS62:CZ62"/>
    <mergeCell ref="BU63:CB63"/>
    <mergeCell ref="CC63:CJ63"/>
    <mergeCell ref="CK63:CR63"/>
    <mergeCell ref="CS63:CZ63"/>
    <mergeCell ref="BN34:BR34"/>
    <mergeCell ref="BN35:BR35"/>
    <mergeCell ref="BN36:BR36"/>
    <mergeCell ref="BN37:BR37"/>
    <mergeCell ref="BN38:BR38"/>
    <mergeCell ref="BN39:BR39"/>
    <mergeCell ref="BM42:BO42"/>
    <mergeCell ref="BM49:BT49"/>
    <mergeCell ref="BM51:BN51"/>
    <mergeCell ref="BF39:BJ39"/>
    <mergeCell ref="BE42:BG42"/>
    <mergeCell ref="BE49:BL49"/>
    <mergeCell ref="BE51:BF51"/>
    <mergeCell ref="BE52:BF52"/>
    <mergeCell ref="BE53:BF53"/>
    <mergeCell ref="BM1:BT1"/>
    <mergeCell ref="BM2:BT2"/>
    <mergeCell ref="BN3:BR3"/>
    <mergeCell ref="BS3:BT3"/>
    <mergeCell ref="BQ5:BR5"/>
    <mergeCell ref="BS5:BT5"/>
    <mergeCell ref="BM8:BN8"/>
    <mergeCell ref="BM9:BN9"/>
    <mergeCell ref="BM14:BN14"/>
    <mergeCell ref="BM15:BN15"/>
    <mergeCell ref="BM24:BN24"/>
    <mergeCell ref="BM25:BN25"/>
    <mergeCell ref="BM26:BN26"/>
    <mergeCell ref="BN29:BR29"/>
    <mergeCell ref="BN30:BR30"/>
    <mergeCell ref="BN31:BR31"/>
    <mergeCell ref="BN32:BR32"/>
    <mergeCell ref="BN33:BR33"/>
    <mergeCell ref="BE1:BL1"/>
    <mergeCell ref="BE2:BL2"/>
    <mergeCell ref="BF3:BJ3"/>
    <mergeCell ref="BK3:BL3"/>
    <mergeCell ref="BI5:BJ5"/>
    <mergeCell ref="BK5:BL5"/>
    <mergeCell ref="BE8:BF8"/>
    <mergeCell ref="BE9:BF9"/>
    <mergeCell ref="BE14:BF14"/>
    <mergeCell ref="BE15:BF15"/>
    <mergeCell ref="BE24:BF24"/>
    <mergeCell ref="BE25:BF25"/>
    <mergeCell ref="BE26:BF26"/>
    <mergeCell ref="BF29:BJ29"/>
    <mergeCell ref="BF30:BJ30"/>
    <mergeCell ref="BF31:BJ31"/>
    <mergeCell ref="BF32:BJ32"/>
    <mergeCell ref="BF33:BJ33"/>
    <mergeCell ref="BF34:BJ34"/>
    <mergeCell ref="BF35:BJ35"/>
    <mergeCell ref="BF36:BJ36"/>
    <mergeCell ref="BF37:BJ37"/>
    <mergeCell ref="BF38:BJ38"/>
    <mergeCell ref="AX35:BB35"/>
    <mergeCell ref="AX36:BB36"/>
    <mergeCell ref="AX37:BB37"/>
    <mergeCell ref="AX38:BB38"/>
    <mergeCell ref="AX39:BB39"/>
    <mergeCell ref="AW42:AY42"/>
    <mergeCell ref="AW49:BD49"/>
    <mergeCell ref="AW51:AX51"/>
    <mergeCell ref="AW52:AX52"/>
    <mergeCell ref="AO42:AQ42"/>
    <mergeCell ref="AO49:AV49"/>
    <mergeCell ref="AO51:AP51"/>
    <mergeCell ref="AO52:AP52"/>
    <mergeCell ref="AO53:AP53"/>
    <mergeCell ref="AW1:BD1"/>
    <mergeCell ref="AW2:BD2"/>
    <mergeCell ref="AX3:BB3"/>
    <mergeCell ref="BC3:BD3"/>
    <mergeCell ref="BA5:BB5"/>
    <mergeCell ref="BC5:BD5"/>
    <mergeCell ref="AW8:AX8"/>
    <mergeCell ref="AW9:AX9"/>
    <mergeCell ref="AW14:AX14"/>
    <mergeCell ref="AW15:AX15"/>
    <mergeCell ref="AW24:AX24"/>
    <mergeCell ref="AW25:AX25"/>
    <mergeCell ref="AW26:AX26"/>
    <mergeCell ref="AX29:BB29"/>
    <mergeCell ref="AX30:BB30"/>
    <mergeCell ref="AX31:BB31"/>
    <mergeCell ref="AX32:BB32"/>
    <mergeCell ref="AX33:BB33"/>
    <mergeCell ref="AX34:BB34"/>
    <mergeCell ref="AP31:AT31"/>
    <mergeCell ref="AP32:AT32"/>
    <mergeCell ref="AP33:AT33"/>
    <mergeCell ref="AP34:AT34"/>
    <mergeCell ref="AP35:AT35"/>
    <mergeCell ref="AP36:AT36"/>
    <mergeCell ref="AP37:AT37"/>
    <mergeCell ref="AP38:AT38"/>
    <mergeCell ref="AP39:AT39"/>
    <mergeCell ref="AO8:AP8"/>
    <mergeCell ref="AO9:AP9"/>
    <mergeCell ref="AO14:AP14"/>
    <mergeCell ref="AO15:AP15"/>
    <mergeCell ref="AO24:AP24"/>
    <mergeCell ref="AO25:AP25"/>
    <mergeCell ref="AO26:AP26"/>
    <mergeCell ref="AP29:AT29"/>
    <mergeCell ref="AP30:AT30"/>
    <mergeCell ref="A1:H1"/>
    <mergeCell ref="A2:H2"/>
    <mergeCell ref="B3:F3"/>
    <mergeCell ref="G3:H3"/>
    <mergeCell ref="E5:F5"/>
    <mergeCell ref="G5:H5"/>
    <mergeCell ref="AO1:AV1"/>
    <mergeCell ref="AO2:AV2"/>
    <mergeCell ref="AP3:AT3"/>
    <mergeCell ref="AU3:AV3"/>
    <mergeCell ref="AS5:AT5"/>
    <mergeCell ref="AU5:AV5"/>
    <mergeCell ref="A16:B16"/>
    <mergeCell ref="A17:B17"/>
    <mergeCell ref="A18:B18"/>
    <mergeCell ref="A19:B19"/>
    <mergeCell ref="A21:B21"/>
    <mergeCell ref="A22:B22"/>
    <mergeCell ref="A8:B8"/>
    <mergeCell ref="A9:B9"/>
    <mergeCell ref="A10:B10"/>
    <mergeCell ref="A11:B11"/>
    <mergeCell ref="A14:B14"/>
    <mergeCell ref="A15:B15"/>
    <mergeCell ref="B31:F31"/>
    <mergeCell ref="B32:F32"/>
    <mergeCell ref="B33:F33"/>
    <mergeCell ref="B34:C34"/>
    <mergeCell ref="B35:C35"/>
    <mergeCell ref="D35:F35"/>
    <mergeCell ref="A23:B23"/>
    <mergeCell ref="B26:F26"/>
    <mergeCell ref="B27:F27"/>
    <mergeCell ref="B28:E28"/>
    <mergeCell ref="B29:E29"/>
    <mergeCell ref="B30:D30"/>
    <mergeCell ref="B36:F36"/>
    <mergeCell ref="B37:F37"/>
    <mergeCell ref="B38:F38"/>
    <mergeCell ref="B39:F39"/>
    <mergeCell ref="B40:C40"/>
    <mergeCell ref="B41:C41"/>
    <mergeCell ref="D41:F41"/>
    <mergeCell ref="A112:B112"/>
    <mergeCell ref="A113:B113"/>
    <mergeCell ref="B105:C105"/>
    <mergeCell ref="A110:H110"/>
    <mergeCell ref="B101:C101"/>
    <mergeCell ref="B95:C95"/>
    <mergeCell ref="B97:F97"/>
    <mergeCell ref="B98:F98"/>
    <mergeCell ref="B99:F99"/>
    <mergeCell ref="B96:C96"/>
    <mergeCell ref="D96:F96"/>
    <mergeCell ref="A78:B78"/>
    <mergeCell ref="A79:B79"/>
    <mergeCell ref="B88:F88"/>
    <mergeCell ref="B94:F94"/>
    <mergeCell ref="B100:F100"/>
    <mergeCell ref="B107:F107"/>
    <mergeCell ref="I8:J8"/>
    <mergeCell ref="I9:J9"/>
    <mergeCell ref="I10:J10"/>
    <mergeCell ref="I11:J11"/>
    <mergeCell ref="I14:J14"/>
    <mergeCell ref="I15:J15"/>
    <mergeCell ref="I1:P1"/>
    <mergeCell ref="I2:P2"/>
    <mergeCell ref="J3:N3"/>
    <mergeCell ref="O3:P3"/>
    <mergeCell ref="M5:N5"/>
    <mergeCell ref="O5:P5"/>
    <mergeCell ref="I23:J23"/>
    <mergeCell ref="J26:N26"/>
    <mergeCell ref="J27:N27"/>
    <mergeCell ref="J28:M28"/>
    <mergeCell ref="J29:M29"/>
    <mergeCell ref="J30:L30"/>
    <mergeCell ref="I16:J16"/>
    <mergeCell ref="I17:J17"/>
    <mergeCell ref="I18:J18"/>
    <mergeCell ref="I19:J19"/>
    <mergeCell ref="I21:J21"/>
    <mergeCell ref="I22:J22"/>
    <mergeCell ref="J36:N36"/>
    <mergeCell ref="J37:N37"/>
    <mergeCell ref="J38:N38"/>
    <mergeCell ref="J39:N39"/>
    <mergeCell ref="J40:K40"/>
    <mergeCell ref="J41:K41"/>
    <mergeCell ref="L41:N41"/>
    <mergeCell ref="J31:N31"/>
    <mergeCell ref="J32:N32"/>
    <mergeCell ref="J33:N33"/>
    <mergeCell ref="J34:K34"/>
    <mergeCell ref="J35:K35"/>
    <mergeCell ref="L35:N35"/>
    <mergeCell ref="Y9:Z9"/>
    <mergeCell ref="Y10:Z10"/>
    <mergeCell ref="Y11:Z11"/>
    <mergeCell ref="Y14:Z14"/>
    <mergeCell ref="Y15:Z15"/>
    <mergeCell ref="Y16:Z16"/>
    <mergeCell ref="Y1:AF1"/>
    <mergeCell ref="Y2:AF2"/>
    <mergeCell ref="Z3:AD3"/>
    <mergeCell ref="AE3:AF3"/>
    <mergeCell ref="AC5:AD5"/>
    <mergeCell ref="AE5:AF5"/>
    <mergeCell ref="Y8:Z8"/>
    <mergeCell ref="Z26:AD26"/>
    <mergeCell ref="Z27:AD27"/>
    <mergeCell ref="Z28:AC28"/>
    <mergeCell ref="Z29:AC29"/>
    <mergeCell ref="Z30:AB30"/>
    <mergeCell ref="Z31:AD31"/>
    <mergeCell ref="Y17:Z17"/>
    <mergeCell ref="Y18:Z18"/>
    <mergeCell ref="Y19:Z19"/>
    <mergeCell ref="Y21:Z21"/>
    <mergeCell ref="Y22:Z22"/>
    <mergeCell ref="Y23:Z23"/>
    <mergeCell ref="Z37:AD37"/>
    <mergeCell ref="Z38:AD38"/>
    <mergeCell ref="Z39:AD39"/>
    <mergeCell ref="Z40:AA40"/>
    <mergeCell ref="Z41:AA41"/>
    <mergeCell ref="AB41:AD41"/>
    <mergeCell ref="Z32:AD32"/>
    <mergeCell ref="Z33:AD33"/>
    <mergeCell ref="Z34:AA34"/>
    <mergeCell ref="Z35:AA35"/>
    <mergeCell ref="AB35:AD35"/>
    <mergeCell ref="Z36:AD36"/>
    <mergeCell ref="Y51:Z51"/>
    <mergeCell ref="Y52:Z52"/>
    <mergeCell ref="Y53:Z53"/>
    <mergeCell ref="A62:H62"/>
    <mergeCell ref="I62:P62"/>
    <mergeCell ref="Y62:AF62"/>
    <mergeCell ref="Z42:AC42"/>
    <mergeCell ref="Z43:AB43"/>
    <mergeCell ref="Z44:AA44"/>
    <mergeCell ref="Z45:AB45"/>
    <mergeCell ref="Z46:AD46"/>
    <mergeCell ref="Y49:AF49"/>
    <mergeCell ref="I51:J51"/>
    <mergeCell ref="I52:J52"/>
    <mergeCell ref="I53:J53"/>
    <mergeCell ref="J42:M42"/>
    <mergeCell ref="J43:L43"/>
    <mergeCell ref="J44:K44"/>
    <mergeCell ref="J45:L45"/>
    <mergeCell ref="J46:N46"/>
    <mergeCell ref="I49:P49"/>
    <mergeCell ref="A51:B51"/>
    <mergeCell ref="A52:B52"/>
    <mergeCell ref="A53:B53"/>
    <mergeCell ref="B42:E42"/>
    <mergeCell ref="B43:D43"/>
    <mergeCell ref="B44:C44"/>
    <mergeCell ref="B45:D45"/>
    <mergeCell ref="B46:F46"/>
    <mergeCell ref="A49:H49"/>
    <mergeCell ref="M66:N66"/>
    <mergeCell ref="O66:P66"/>
    <mergeCell ref="AC66:AD66"/>
    <mergeCell ref="AE66:AF66"/>
    <mergeCell ref="I69:J69"/>
    <mergeCell ref="Y69:Z69"/>
    <mergeCell ref="A63:H63"/>
    <mergeCell ref="I63:P63"/>
    <mergeCell ref="Y63:AF63"/>
    <mergeCell ref="B64:F64"/>
    <mergeCell ref="G64:H64"/>
    <mergeCell ref="J64:N64"/>
    <mergeCell ref="O64:P64"/>
    <mergeCell ref="Z64:AD64"/>
    <mergeCell ref="AE64:AF64"/>
    <mergeCell ref="A69:B69"/>
    <mergeCell ref="E66:F66"/>
    <mergeCell ref="G66:H66"/>
    <mergeCell ref="W66:X66"/>
    <mergeCell ref="Q69:R69"/>
    <mergeCell ref="I70:J70"/>
    <mergeCell ref="Y70:Z70"/>
    <mergeCell ref="I71:J71"/>
    <mergeCell ref="Y71:Z71"/>
    <mergeCell ref="A72:B72"/>
    <mergeCell ref="I72:J72"/>
    <mergeCell ref="Y72:Z72"/>
    <mergeCell ref="Q70:R70"/>
    <mergeCell ref="Q71:R71"/>
    <mergeCell ref="Q72:R72"/>
    <mergeCell ref="A70:B70"/>
    <mergeCell ref="A71:B71"/>
    <mergeCell ref="I79:J79"/>
    <mergeCell ref="Y79:Z79"/>
    <mergeCell ref="A80:B80"/>
    <mergeCell ref="I80:J80"/>
    <mergeCell ref="Y80:Z80"/>
    <mergeCell ref="Q78:R78"/>
    <mergeCell ref="Q79:R79"/>
    <mergeCell ref="Q80:R80"/>
    <mergeCell ref="I75:J75"/>
    <mergeCell ref="Y75:Z75"/>
    <mergeCell ref="I76:J76"/>
    <mergeCell ref="Y76:Z76"/>
    <mergeCell ref="I77:J77"/>
    <mergeCell ref="Y77:Z77"/>
    <mergeCell ref="Q75:R75"/>
    <mergeCell ref="Q76:R76"/>
    <mergeCell ref="Q77:R77"/>
    <mergeCell ref="A75:B75"/>
    <mergeCell ref="A76:B76"/>
    <mergeCell ref="A77:B77"/>
    <mergeCell ref="R87:V87"/>
    <mergeCell ref="R88:V88"/>
    <mergeCell ref="R89:U89"/>
    <mergeCell ref="I82:J82"/>
    <mergeCell ref="Y82:Z82"/>
    <mergeCell ref="I83:J83"/>
    <mergeCell ref="Y83:Z83"/>
    <mergeCell ref="A84:B84"/>
    <mergeCell ref="I84:J84"/>
    <mergeCell ref="Y84:Z84"/>
    <mergeCell ref="Q82:R82"/>
    <mergeCell ref="Q83:R83"/>
    <mergeCell ref="Q84:R84"/>
    <mergeCell ref="B89:E89"/>
    <mergeCell ref="A82:B82"/>
    <mergeCell ref="A83:B83"/>
    <mergeCell ref="B87:F87"/>
    <mergeCell ref="J87:N87"/>
    <mergeCell ref="Z87:AD87"/>
    <mergeCell ref="R93:V93"/>
    <mergeCell ref="R94:V94"/>
    <mergeCell ref="R95:S95"/>
    <mergeCell ref="J90:M90"/>
    <mergeCell ref="Z90:AC90"/>
    <mergeCell ref="B91:D91"/>
    <mergeCell ref="J91:L91"/>
    <mergeCell ref="Z91:AB91"/>
    <mergeCell ref="J92:N92"/>
    <mergeCell ref="Z92:AD92"/>
    <mergeCell ref="R90:U90"/>
    <mergeCell ref="R91:T91"/>
    <mergeCell ref="R92:V92"/>
    <mergeCell ref="B92:F92"/>
    <mergeCell ref="B93:F93"/>
    <mergeCell ref="B90:E90"/>
    <mergeCell ref="J88:N88"/>
    <mergeCell ref="Z88:AD88"/>
    <mergeCell ref="J89:M89"/>
    <mergeCell ref="Z89:AC89"/>
    <mergeCell ref="R98:V98"/>
    <mergeCell ref="R99:V99"/>
    <mergeCell ref="R100:V100"/>
    <mergeCell ref="J96:K96"/>
    <mergeCell ref="L96:N96"/>
    <mergeCell ref="Z96:AA96"/>
    <mergeCell ref="AB96:AD96"/>
    <mergeCell ref="J97:N97"/>
    <mergeCell ref="Z97:AD97"/>
    <mergeCell ref="R96:S96"/>
    <mergeCell ref="T96:V96"/>
    <mergeCell ref="R97:V97"/>
    <mergeCell ref="B106:D106"/>
    <mergeCell ref="J106:L106"/>
    <mergeCell ref="Z106:AB106"/>
    <mergeCell ref="J94:N94"/>
    <mergeCell ref="Z94:AD94"/>
    <mergeCell ref="J95:K95"/>
    <mergeCell ref="Z95:AA95"/>
    <mergeCell ref="AB102:AD102"/>
    <mergeCell ref="B103:E103"/>
    <mergeCell ref="J103:M103"/>
    <mergeCell ref="Z103:AC103"/>
    <mergeCell ref="B104:D104"/>
    <mergeCell ref="J104:L104"/>
    <mergeCell ref="Z104:AB104"/>
    <mergeCell ref="R102:S102"/>
    <mergeCell ref="T102:V102"/>
    <mergeCell ref="R103:U103"/>
    <mergeCell ref="B102:C102"/>
    <mergeCell ref="D102:F102"/>
    <mergeCell ref="J102:K102"/>
    <mergeCell ref="L102:N102"/>
    <mergeCell ref="Z102:AA102"/>
    <mergeCell ref="J100:N100"/>
    <mergeCell ref="Z100:AD100"/>
    <mergeCell ref="I78:J78"/>
    <mergeCell ref="Y78:Z78"/>
    <mergeCell ref="Q114:R114"/>
    <mergeCell ref="AG1:AN1"/>
    <mergeCell ref="AG2:AN2"/>
    <mergeCell ref="AH3:AL3"/>
    <mergeCell ref="AM3:AN3"/>
    <mergeCell ref="AK5:AL5"/>
    <mergeCell ref="AM5:AN5"/>
    <mergeCell ref="AG8:AH8"/>
    <mergeCell ref="R104:T104"/>
    <mergeCell ref="R105:S105"/>
    <mergeCell ref="R106:T106"/>
    <mergeCell ref="R107:V107"/>
    <mergeCell ref="Q110:X110"/>
    <mergeCell ref="Q112:R112"/>
    <mergeCell ref="AH27:AL27"/>
    <mergeCell ref="AH28:AK28"/>
    <mergeCell ref="AH29:AK29"/>
    <mergeCell ref="AH30:AJ30"/>
    <mergeCell ref="AH31:AL31"/>
    <mergeCell ref="AH42:AK42"/>
    <mergeCell ref="AH37:AL37"/>
    <mergeCell ref="AH38:AL38"/>
    <mergeCell ref="AH39:AL39"/>
    <mergeCell ref="AH40:AI40"/>
    <mergeCell ref="AH41:AI41"/>
    <mergeCell ref="AJ41:AL41"/>
    <mergeCell ref="A114:B114"/>
    <mergeCell ref="I114:J114"/>
    <mergeCell ref="Y114:Z114"/>
    <mergeCell ref="Q62:X62"/>
    <mergeCell ref="Q63:X63"/>
    <mergeCell ref="R64:V64"/>
    <mergeCell ref="W64:X64"/>
    <mergeCell ref="U66:V66"/>
    <mergeCell ref="AG17:AH17"/>
    <mergeCell ref="AG18:AH18"/>
    <mergeCell ref="AG19:AH19"/>
    <mergeCell ref="AG21:AH21"/>
    <mergeCell ref="AG22:AH22"/>
    <mergeCell ref="AG23:AH23"/>
    <mergeCell ref="AG9:AH9"/>
    <mergeCell ref="AG10:AH10"/>
    <mergeCell ref="AM64:AN64"/>
    <mergeCell ref="AG75:AH75"/>
    <mergeCell ref="AG76:AH76"/>
    <mergeCell ref="AG77:AH77"/>
    <mergeCell ref="AG78:AH78"/>
    <mergeCell ref="AG11:AH11"/>
    <mergeCell ref="AG14:AH14"/>
    <mergeCell ref="AG15:AH15"/>
    <mergeCell ref="AG16:AH16"/>
    <mergeCell ref="AH32:AL32"/>
    <mergeCell ref="AH33:AL33"/>
    <mergeCell ref="AH34:AI34"/>
    <mergeCell ref="AH35:AI35"/>
    <mergeCell ref="AJ35:AL35"/>
    <mergeCell ref="AH36:AL36"/>
    <mergeCell ref="AH26:AL26"/>
    <mergeCell ref="AG79:AH79"/>
    <mergeCell ref="AG80:AH80"/>
    <mergeCell ref="AG110:AN110"/>
    <mergeCell ref="AG112:AH112"/>
    <mergeCell ref="AG113:AH113"/>
    <mergeCell ref="AG114:AH114"/>
    <mergeCell ref="AH101:AI101"/>
    <mergeCell ref="AH102:AI102"/>
    <mergeCell ref="AJ102:AL102"/>
    <mergeCell ref="AH103:AK103"/>
    <mergeCell ref="AH104:AJ104"/>
    <mergeCell ref="AH105:AI105"/>
    <mergeCell ref="AH43:AJ43"/>
    <mergeCell ref="AH44:AI44"/>
    <mergeCell ref="AH45:AJ45"/>
    <mergeCell ref="AH46:AL46"/>
    <mergeCell ref="AG49:AN49"/>
    <mergeCell ref="AH87:AL87"/>
    <mergeCell ref="AH88:AL88"/>
    <mergeCell ref="AH89:AK89"/>
    <mergeCell ref="AK66:AL66"/>
    <mergeCell ref="AM66:AN66"/>
    <mergeCell ref="AG69:AH69"/>
    <mergeCell ref="AG70:AH70"/>
    <mergeCell ref="AG71:AH71"/>
    <mergeCell ref="AG72:AH72"/>
    <mergeCell ref="AG51:AH51"/>
    <mergeCell ref="AG52:AH52"/>
    <mergeCell ref="AG53:AH53"/>
    <mergeCell ref="AG62:AN62"/>
    <mergeCell ref="AG63:AN63"/>
    <mergeCell ref="AH64:AL64"/>
    <mergeCell ref="GC1:GJ1"/>
    <mergeCell ref="GC2:GJ2"/>
    <mergeCell ref="GC3:GD3"/>
    <mergeCell ref="GE3:GH3"/>
    <mergeCell ref="GI3:GJ3"/>
    <mergeCell ref="GG5:GH5"/>
    <mergeCell ref="GI5:GJ5"/>
    <mergeCell ref="AH106:AJ106"/>
    <mergeCell ref="AH107:AL107"/>
    <mergeCell ref="AH96:AI96"/>
    <mergeCell ref="AJ96:AL96"/>
    <mergeCell ref="AH97:AL97"/>
    <mergeCell ref="AH98:AL98"/>
    <mergeCell ref="AH99:AL99"/>
    <mergeCell ref="AH100:AL100"/>
    <mergeCell ref="AH90:AK90"/>
    <mergeCell ref="AH91:AJ91"/>
    <mergeCell ref="AH92:AL92"/>
    <mergeCell ref="AH93:AL93"/>
    <mergeCell ref="AH94:AL94"/>
    <mergeCell ref="AH95:AI95"/>
    <mergeCell ref="AG82:AH82"/>
    <mergeCell ref="AG83:AH83"/>
    <mergeCell ref="AG84:AH84"/>
    <mergeCell ref="GI14:GJ14"/>
    <mergeCell ref="GC16:GD16"/>
    <mergeCell ref="GG16:GH16"/>
    <mergeCell ref="GG6:GH6"/>
    <mergeCell ref="GI6:GJ6"/>
    <mergeCell ref="GC8:GD8"/>
    <mergeCell ref="GC9:GD9"/>
    <mergeCell ref="GC10:GD10"/>
    <mergeCell ref="GC11:GD11"/>
    <mergeCell ref="GC17:GD17"/>
    <mergeCell ref="GG17:GH17"/>
    <mergeCell ref="GC18:GD18"/>
    <mergeCell ref="GG18:GH18"/>
    <mergeCell ref="GC19:GD19"/>
    <mergeCell ref="GG19:GH19"/>
    <mergeCell ref="GC12:GD12"/>
    <mergeCell ref="GC13:GD13"/>
    <mergeCell ref="GC14:GD14"/>
    <mergeCell ref="GE14:GH14"/>
    <mergeCell ref="GC26:GD26"/>
    <mergeCell ref="GG26:GH26"/>
    <mergeCell ref="GC27:GD27"/>
    <mergeCell ref="GC28:GD28"/>
    <mergeCell ref="GG28:GH28"/>
    <mergeCell ref="GC29:GD29"/>
    <mergeCell ref="GG29:GH29"/>
    <mergeCell ref="GC22:GD22"/>
    <mergeCell ref="GG22:GH22"/>
    <mergeCell ref="GC24:GD24"/>
    <mergeCell ref="GG24:GH24"/>
    <mergeCell ref="GC25:GD25"/>
    <mergeCell ref="GG25:GH25"/>
    <mergeCell ref="GD39:GG39"/>
    <mergeCell ref="GD40:GG40"/>
    <mergeCell ref="GD41:GG41"/>
    <mergeCell ref="GD42:GG42"/>
    <mergeCell ref="GC49:GJ49"/>
    <mergeCell ref="GC51:GD51"/>
    <mergeCell ref="GG51:GH51"/>
    <mergeCell ref="GC31:GD31"/>
    <mergeCell ref="GC32:GD32"/>
    <mergeCell ref="GC33:GD33"/>
    <mergeCell ref="GD36:GH36"/>
    <mergeCell ref="GD37:GE37"/>
    <mergeCell ref="GD38:GF38"/>
    <mergeCell ref="GC62:GJ62"/>
    <mergeCell ref="GC63:GJ63"/>
    <mergeCell ref="GC64:GD64"/>
    <mergeCell ref="GE64:GH64"/>
    <mergeCell ref="GI64:GJ64"/>
    <mergeCell ref="GG66:GH66"/>
    <mergeCell ref="GI66:GJ66"/>
    <mergeCell ref="GC52:GD52"/>
    <mergeCell ref="GG52:GH52"/>
    <mergeCell ref="GC53:GD53"/>
    <mergeCell ref="GG53:GH53"/>
    <mergeCell ref="GG54:GH54"/>
    <mergeCell ref="GG55:GH55"/>
    <mergeCell ref="GC73:GD73"/>
    <mergeCell ref="GC74:GD74"/>
    <mergeCell ref="GC75:GD75"/>
    <mergeCell ref="GE75:GH75"/>
    <mergeCell ref="GI75:GJ75"/>
    <mergeCell ref="GC77:GD77"/>
    <mergeCell ref="GG77:GH77"/>
    <mergeCell ref="GG67:GH67"/>
    <mergeCell ref="GI67:GJ67"/>
    <mergeCell ref="GC69:GD69"/>
    <mergeCell ref="GC70:GD70"/>
    <mergeCell ref="GC71:GD71"/>
    <mergeCell ref="GC72:GD72"/>
    <mergeCell ref="GC85:GD85"/>
    <mergeCell ref="GG85:GH85"/>
    <mergeCell ref="GC86:GD86"/>
    <mergeCell ref="GG86:GH86"/>
    <mergeCell ref="GC78:GD78"/>
    <mergeCell ref="GG78:GH78"/>
    <mergeCell ref="GC79:GD79"/>
    <mergeCell ref="GG79:GH79"/>
    <mergeCell ref="GC80:GD80"/>
    <mergeCell ref="GG80:GH80"/>
    <mergeCell ref="GC114:GD114"/>
    <mergeCell ref="GG114:GH114"/>
    <mergeCell ref="GG115:GH115"/>
    <mergeCell ref="GG116:GH116"/>
    <mergeCell ref="GD100:GG100"/>
    <mergeCell ref="GD101:GG101"/>
    <mergeCell ref="GD102:GG102"/>
    <mergeCell ref="GD103:GG103"/>
    <mergeCell ref="GC110:GJ110"/>
    <mergeCell ref="GC112:GD112"/>
    <mergeCell ref="GG112:GH112"/>
    <mergeCell ref="GK1:GR1"/>
    <mergeCell ref="GK2:GR2"/>
    <mergeCell ref="GK3:GL3"/>
    <mergeCell ref="GM3:GP3"/>
    <mergeCell ref="GQ3:GR3"/>
    <mergeCell ref="GO5:GP5"/>
    <mergeCell ref="GQ5:GR5"/>
    <mergeCell ref="GC113:GD113"/>
    <mergeCell ref="GG113:GH113"/>
    <mergeCell ref="GC92:GD92"/>
    <mergeCell ref="GC93:GD93"/>
    <mergeCell ref="GC94:GD94"/>
    <mergeCell ref="GD97:GH97"/>
    <mergeCell ref="GD98:GE98"/>
    <mergeCell ref="GD99:GF99"/>
    <mergeCell ref="GC87:GD87"/>
    <mergeCell ref="GG87:GH87"/>
    <mergeCell ref="GC88:GD88"/>
    <mergeCell ref="GC89:GD89"/>
    <mergeCell ref="GG89:GH89"/>
    <mergeCell ref="GC90:GD90"/>
    <mergeCell ref="GG90:GH90"/>
    <mergeCell ref="GC83:GD83"/>
    <mergeCell ref="GG83:GH83"/>
    <mergeCell ref="GQ14:GR14"/>
    <mergeCell ref="GK16:GL16"/>
    <mergeCell ref="GO16:GP16"/>
    <mergeCell ref="GO6:GP6"/>
    <mergeCell ref="GQ6:GR6"/>
    <mergeCell ref="GK8:GL8"/>
    <mergeCell ref="GK9:GL9"/>
    <mergeCell ref="GK10:GL10"/>
    <mergeCell ref="GK11:GL11"/>
    <mergeCell ref="GK17:GL17"/>
    <mergeCell ref="GO17:GP17"/>
    <mergeCell ref="GK18:GL18"/>
    <mergeCell ref="GO18:GP18"/>
    <mergeCell ref="GK19:GL19"/>
    <mergeCell ref="GO19:GP19"/>
    <mergeCell ref="GK12:GL12"/>
    <mergeCell ref="GK13:GL13"/>
    <mergeCell ref="GK14:GL14"/>
    <mergeCell ref="GM14:GP14"/>
    <mergeCell ref="GK26:GL26"/>
    <mergeCell ref="GO26:GP26"/>
    <mergeCell ref="GK27:GL27"/>
    <mergeCell ref="GK28:GL28"/>
    <mergeCell ref="GO28:GP28"/>
    <mergeCell ref="GK29:GL29"/>
    <mergeCell ref="GO29:GP29"/>
    <mergeCell ref="GK22:GL22"/>
    <mergeCell ref="GO22:GP22"/>
    <mergeCell ref="GK24:GL24"/>
    <mergeCell ref="GO24:GP24"/>
    <mergeCell ref="GK25:GL25"/>
    <mergeCell ref="GO25:GP25"/>
    <mergeCell ref="GL39:GO39"/>
    <mergeCell ref="GL40:GO40"/>
    <mergeCell ref="GL41:GO41"/>
    <mergeCell ref="GL42:GO42"/>
    <mergeCell ref="GK49:GR49"/>
    <mergeCell ref="GK51:GL51"/>
    <mergeCell ref="GO51:GP51"/>
    <mergeCell ref="GK31:GL31"/>
    <mergeCell ref="GK32:GL32"/>
    <mergeCell ref="GK33:GL33"/>
    <mergeCell ref="GL36:GP36"/>
    <mergeCell ref="GL37:GM37"/>
    <mergeCell ref="GL38:GN38"/>
    <mergeCell ref="GK62:GR62"/>
    <mergeCell ref="GK63:GR63"/>
    <mergeCell ref="GK64:GL64"/>
    <mergeCell ref="GM64:GP64"/>
    <mergeCell ref="GQ64:GR64"/>
    <mergeCell ref="GO66:GP66"/>
    <mergeCell ref="GQ66:GR66"/>
    <mergeCell ref="GK52:GL52"/>
    <mergeCell ref="GO52:GP52"/>
    <mergeCell ref="GK53:GL53"/>
    <mergeCell ref="GO53:GP53"/>
    <mergeCell ref="GO54:GP54"/>
    <mergeCell ref="GO55:GP55"/>
    <mergeCell ref="GK73:GL73"/>
    <mergeCell ref="GK74:GL74"/>
    <mergeCell ref="GK75:GL75"/>
    <mergeCell ref="GM75:GP75"/>
    <mergeCell ref="GQ75:GR75"/>
    <mergeCell ref="GK77:GL77"/>
    <mergeCell ref="GO77:GP77"/>
    <mergeCell ref="GO67:GP67"/>
    <mergeCell ref="GQ67:GR67"/>
    <mergeCell ref="GK69:GL69"/>
    <mergeCell ref="GK70:GL70"/>
    <mergeCell ref="GK71:GL71"/>
    <mergeCell ref="GK72:GL72"/>
    <mergeCell ref="GO115:GP115"/>
    <mergeCell ref="GO116:GP116"/>
    <mergeCell ref="GL100:GO100"/>
    <mergeCell ref="GL101:GO101"/>
    <mergeCell ref="GL102:GO102"/>
    <mergeCell ref="GL103:GO103"/>
    <mergeCell ref="GK110:GR110"/>
    <mergeCell ref="GK112:GL112"/>
    <mergeCell ref="GO112:GP112"/>
    <mergeCell ref="GK83:GL83"/>
    <mergeCell ref="GO83:GP83"/>
    <mergeCell ref="GK85:GL85"/>
    <mergeCell ref="GO85:GP85"/>
    <mergeCell ref="GK86:GL86"/>
    <mergeCell ref="GO86:GP86"/>
    <mergeCell ref="GK78:GL78"/>
    <mergeCell ref="GO78:GP78"/>
    <mergeCell ref="GK79:GL79"/>
    <mergeCell ref="GO79:GP79"/>
    <mergeCell ref="GK80:GL80"/>
    <mergeCell ref="GO80:GP80"/>
    <mergeCell ref="GK92:GL92"/>
    <mergeCell ref="GK93:GL93"/>
    <mergeCell ref="GK94:GL94"/>
    <mergeCell ref="GL97:GP97"/>
    <mergeCell ref="GL98:GM98"/>
    <mergeCell ref="I110:P110"/>
    <mergeCell ref="Y110:AF110"/>
    <mergeCell ref="I112:J112"/>
    <mergeCell ref="Y112:Z112"/>
    <mergeCell ref="I113:J113"/>
    <mergeCell ref="Y113:Z113"/>
    <mergeCell ref="GL99:GN99"/>
    <mergeCell ref="GK87:GL87"/>
    <mergeCell ref="GO87:GP87"/>
    <mergeCell ref="GK88:GL88"/>
    <mergeCell ref="GK89:GL89"/>
    <mergeCell ref="GO89:GP89"/>
    <mergeCell ref="GK90:GL90"/>
    <mergeCell ref="GO90:GP90"/>
    <mergeCell ref="GK113:GL113"/>
    <mergeCell ref="GO113:GP113"/>
    <mergeCell ref="GK114:GL114"/>
    <mergeCell ref="GO114:GP114"/>
    <mergeCell ref="Q113:R113"/>
    <mergeCell ref="J105:K105"/>
    <mergeCell ref="Z105:AA105"/>
    <mergeCell ref="J101:K101"/>
    <mergeCell ref="Z101:AA101"/>
    <mergeCell ref="R101:S101"/>
    <mergeCell ref="J98:N98"/>
    <mergeCell ref="Z98:AD98"/>
    <mergeCell ref="J99:N99"/>
    <mergeCell ref="Z99:AD99"/>
    <mergeCell ref="J93:N93"/>
    <mergeCell ref="Z93:AD93"/>
    <mergeCell ref="J107:N107"/>
    <mergeCell ref="Z107:AD107"/>
  </mergeCells>
  <dataValidations count="12">
    <dataValidation type="list" allowBlank="1" showInputMessage="1" showErrorMessage="1" sqref="GH38 GH99 GP38 GP99 HF38 HN38 HF99 HN99 GX38 GX99">
      <formula1>"2,5,10,15,20,25,30"</formula1>
    </dataValidation>
    <dataValidation type="list" allowBlank="1" showInputMessage="1" showErrorMessage="1" sqref="GH37 GH98 GP37 GP98 HF37 HN37 HF98 HN98 GX37 GX98">
      <formula1>"Residential/Other, Commercial/Industrial/Institutional"</formula1>
    </dataValidation>
    <dataValidation type="list" allowBlank="1" showInputMessage="1" showErrorMessage="1" sqref="GG37 GG98 GO37 GO98 HE37 HM37 HE98 HM98 GW37 GW98">
      <formula1>"None, Parallel, Angle"</formula1>
    </dataValidation>
    <dataValidation type="list" allowBlank="1" showInputMessage="1" showErrorMessage="1" sqref="GI6:GJ6 GI67:GJ67 GY6:GZ6 HO67:HP67 HG6:HH6 HO6:HP6 HG67:HH67 GQ67:GR67 GQ6:GR6 GY67:GZ67">
      <formula1>"30 MPH or Lower, Greater Than 30 MPH"</formula1>
    </dataValidation>
    <dataValidation type="list" allowBlank="1" showInputMessage="1" showErrorMessage="1" sqref="GH40:GH41 GH101:GH102 GP40:GP41 GP101:GP102 EL31:EL34 EL44 FZ31:FZ34 ET44 FB92:FB95 FB105 FJ92:FJ95 FJ105 FR31:FR34 FR44 ET31:ET34 FZ44 EL92:EL95 EL105 ET105 ET92:ET95 FZ92:FZ95 FR92:FR95 FR105 FZ105 HF40:HF41 HN40:HN41 HF101:HF102 HN101:HN102 GX40:GX41 GX101:GX102">
      <formula1>"Present, Not Present"</formula1>
    </dataValidation>
    <dataValidation type="list" allowBlank="1" showInputMessage="1" showErrorMessage="1" sqref="AR6 AZ6 BH6 BP6 BX67 CF67 CN67 CV67 DD6 DL6 DT6 EB6 AR67 AZ67 BH67 BP67 DD67 DL67 DT67 EB67">
      <formula1>"Right, Left"</formula1>
    </dataValidation>
    <dataValidation type="list" allowBlank="1" showInputMessage="1" showErrorMessage="1" sqref="EL41:EL43 ET41:ET43 FB102:FB104 FJ102:FJ104 FR41:FR43 FZ41:FZ43 EL102:EL104 ET102:ET104 FR102:FR104 FZ102:FZ104">
      <formula1>"Channelized, Not Channelized"</formula1>
    </dataValidation>
    <dataValidation type="list" allowBlank="1" showInputMessage="1" showErrorMessage="1" sqref="EL39:EL40 ET39:ET40 FB100:FB101 FJ100:FJ101 FR39:FR40 FZ39:FZ40 EL100:EL101 ET100:ET101 FR100:FR101 FZ100:FZ101">
      <formula1>"Protected Only, Permissive"</formula1>
    </dataValidation>
    <dataValidation type="list" allowBlank="1" showInputMessage="1" showErrorMessage="1" sqref="EL30 FZ30 FB91 FJ91 FR30 ET30 EL91 ET91 FZ91 FR91">
      <formula1>"Merge/Freeflow,Signal/Stop/Yield"</formula1>
    </dataValidation>
    <dataValidation type="list" allowBlank="1" showInputMessage="1" showErrorMessage="1" sqref="EK9 FY9 FA70 FI70 FQ9 ES9 EK70 ES70 FY70 FQ70">
      <formula1>"Signalized, Unsignalized"</formula1>
    </dataValidation>
    <dataValidation type="whole" allowBlank="1" showInputMessage="1" showErrorMessage="1" sqref="EK7 FY7 FA68 FI68 FQ7 ES7 EK68 ES68 FY68 FQ68">
      <formula1>2</formula1>
      <formula2>6</formula2>
    </dataValidation>
    <dataValidation type="list" allowBlank="1" showInputMessage="1" showErrorMessage="1" sqref="EK5 ES5 FA66 FI66 FQ5 FY5 EK66 ES66 FQ66 FY66">
      <formula1>"Rural,Urban"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Reference!$A$249:$A$252</xm:f>
          </x14:formula1>
          <xm:sqref>G5:H5 O5:P5 AE5:AF5 AE66:AF66 W66:X66 O66:P66 G66:H66 AM5:AN5 AM66:AN66</xm:sqref>
        </x14:dataValidation>
        <x14:dataValidation type="list" allowBlank="1" showInputMessage="1" showErrorMessage="1">
          <x14:formula1>
            <xm:f>Reference!$A$142:$A$154</xm:f>
          </x14:formula1>
          <xm:sqref>GX39 HN39 HF39 HN100 HF100 GX100 GH39 GH100 GP39 GP100</xm:sqref>
        </x14:dataValidation>
        <x14:dataValidation type="list" allowBlank="1" showInputMessage="1" showErrorMessage="1">
          <x14:formula1>
            <xm:f>Reference!$A$81:$A$85</xm:f>
          </x14:formula1>
          <xm:sqref>GI5:GJ5 GI66:GJ66 GQ66:GR66 GQ5:GR5 GY5:GZ5 GY66:GZ66 HG66:HH66 HG5:HH5 HO5:HP5 HO66:HP66</xm:sqref>
        </x14:dataValidation>
        <x14:dataValidation type="list" allowBlank="1" showInputMessage="1" showErrorMessage="1">
          <x14:formula1>
            <xm:f>Reference!$A$197:$A$204</xm:f>
          </x14:formula1>
          <xm:sqref>AU66:AV66 AU5:AV5 BC5:BD5 BC66:BD66 BK66:BL66 BK5:BL5 BS5:BT5 BS66:BT66 CA66:CB66 CI66:CJ66 CQ66:CR66 CY66:CZ66 DG66:DH66 DG5:DH5 DW5:DX5 DO66:DP66 DO5:DP5 DW66:DX66 EE66:EF66 EE5:EF5</xm:sqref>
        </x14:dataValidation>
        <x14:dataValidation type="list" allowBlank="1" showInputMessage="1" showErrorMessage="1">
          <x14:formula1>
            <xm:f>Reference!$A$269:$A$275</xm:f>
          </x14:formula1>
          <xm:sqref>EM5:EN5 EU5:EV5 EU66:EV66 EM66:EN66 FK66:FL66 FC66:FD66 FS66:FT66 GA66:GB66 GA5:GB5 FS5:FT5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opLeftCell="A43" workbookViewId="0">
      <selection activeCell="C73" sqref="C73"/>
    </sheetView>
  </sheetViews>
  <sheetFormatPr defaultRowHeight="15" x14ac:dyDescent="0.25"/>
  <cols>
    <col min="1" max="1" width="33.85546875" bestFit="1" customWidth="1"/>
    <col min="2" max="2" width="23" bestFit="1" customWidth="1"/>
  </cols>
  <sheetData>
    <row r="1" spans="1:5" x14ac:dyDescent="0.25">
      <c r="A1" s="238" t="s">
        <v>294</v>
      </c>
      <c r="B1" s="238"/>
      <c r="C1" s="238"/>
      <c r="D1" s="238"/>
      <c r="E1" s="238"/>
    </row>
    <row r="2" spans="1:5" x14ac:dyDescent="0.25">
      <c r="A2" s="127" t="s">
        <v>299</v>
      </c>
      <c r="B2" s="127" t="s">
        <v>300</v>
      </c>
      <c r="C2" s="127" t="s">
        <v>19</v>
      </c>
      <c r="D2" s="127" t="s">
        <v>20</v>
      </c>
      <c r="E2" s="127" t="s">
        <v>18</v>
      </c>
    </row>
    <row r="3" spans="1:5" x14ac:dyDescent="0.25">
      <c r="A3" s="126" t="str">
        <f>SPFs!A1</f>
        <v>North of 44, No Build</v>
      </c>
      <c r="B3" s="125" t="str">
        <f>SPFs!A2</f>
        <v>Urban Freeway Segment</v>
      </c>
      <c r="C3" s="128">
        <f>SPFs!C52</f>
        <v>2.7755668904889417</v>
      </c>
      <c r="D3" s="128">
        <f>SPFs!C53</f>
        <v>7.6412972684054754</v>
      </c>
      <c r="E3" s="129">
        <f>D3+C3</f>
        <v>10.416864158894416</v>
      </c>
    </row>
    <row r="4" spans="1:5" x14ac:dyDescent="0.25">
      <c r="A4" s="126" t="str">
        <f>SPFs!I1</f>
        <v>Between Turnpike and 470, No Build</v>
      </c>
      <c r="B4" s="125" t="str">
        <f>SPFs!I2</f>
        <v>Urban Freeway Segment</v>
      </c>
      <c r="C4" s="128">
        <f>SPFs!K52</f>
        <v>18.947882173168004</v>
      </c>
      <c r="D4" s="128">
        <f>SPFs!K53</f>
        <v>44.952812159386802</v>
      </c>
      <c r="E4" s="129">
        <f>D4+C4</f>
        <v>63.900694332554806</v>
      </c>
    </row>
    <row r="5" spans="1:5" x14ac:dyDescent="0.25">
      <c r="A5" s="126"/>
      <c r="B5" s="125"/>
      <c r="C5" s="128"/>
      <c r="D5" s="128"/>
      <c r="E5" s="129"/>
    </row>
    <row r="6" spans="1:5" x14ac:dyDescent="0.25">
      <c r="A6" s="126" t="str">
        <f>SPFs!Y1</f>
        <v>South of 470, No Build</v>
      </c>
      <c r="B6" s="125" t="str">
        <f>SPFs!Y2</f>
        <v>Urban Freeway Segment</v>
      </c>
      <c r="C6" s="128">
        <f>SPFs!AA52</f>
        <v>1.8858979476849891</v>
      </c>
      <c r="D6" s="128">
        <f>SPFs!AA53</f>
        <v>4.76224682128663</v>
      </c>
      <c r="E6" s="129">
        <f t="shared" ref="E6:E11" si="0">D6+C6</f>
        <v>6.6481447689716191</v>
      </c>
    </row>
    <row r="7" spans="1:5" x14ac:dyDescent="0.25">
      <c r="A7" s="126" t="str">
        <f>SPFs!AG1</f>
        <v>Turnpike, East of I-75, No  Build</v>
      </c>
      <c r="B7" s="125" t="str">
        <f>SPFs!AG2</f>
        <v>Urban Freeway Segment</v>
      </c>
      <c r="C7" s="128">
        <f>SPFs!AI52</f>
        <v>8.0548026090626834</v>
      </c>
      <c r="D7" s="128">
        <f>SPFs!AI53</f>
        <v>20.157573410482428</v>
      </c>
      <c r="E7" s="129">
        <f t="shared" si="0"/>
        <v>28.212376019545111</v>
      </c>
    </row>
    <row r="8" spans="1:5" x14ac:dyDescent="0.25">
      <c r="A8" s="126" t="str">
        <f>SPFs!AO1</f>
        <v>NB Diverge to 470, No Build</v>
      </c>
      <c r="B8" s="125" t="s">
        <v>301</v>
      </c>
      <c r="C8" s="128">
        <f>SPFs!AQ52</f>
        <v>0.48333121990120159</v>
      </c>
      <c r="D8" s="128">
        <f>SPFs!AQ53</f>
        <v>1.2377125299963361</v>
      </c>
      <c r="E8" s="129">
        <f t="shared" si="0"/>
        <v>1.7210437498975377</v>
      </c>
    </row>
    <row r="9" spans="1:5" x14ac:dyDescent="0.25">
      <c r="A9" s="126" t="str">
        <f>SPFs!AW1</f>
        <v>NB Merge from 470, No Build</v>
      </c>
      <c r="B9" s="125" t="s">
        <v>302</v>
      </c>
      <c r="C9" s="128">
        <f>SPFs!AY52</f>
        <v>0.40578012813643466</v>
      </c>
      <c r="D9" s="128">
        <f>SPFs!AY53</f>
        <v>0.842433803669415</v>
      </c>
      <c r="E9" s="129">
        <f t="shared" si="0"/>
        <v>1.2482139318058496</v>
      </c>
    </row>
    <row r="10" spans="1:5" x14ac:dyDescent="0.25">
      <c r="A10" s="126" t="str">
        <f>SPFs!BE1</f>
        <v>SB Diverge to 470, No Build</v>
      </c>
      <c r="B10" s="125" t="s">
        <v>301</v>
      </c>
      <c r="C10" s="128">
        <f>SPFs!BG52</f>
        <v>0.381826121500699</v>
      </c>
      <c r="D10" s="128">
        <f>SPFs!BG53</f>
        <v>0.97040415882372777</v>
      </c>
      <c r="E10" s="129">
        <f t="shared" si="0"/>
        <v>1.3522302803244268</v>
      </c>
    </row>
    <row r="11" spans="1:5" x14ac:dyDescent="0.25">
      <c r="A11" s="126" t="str">
        <f>SPFs!BM1</f>
        <v>SB Merge from 470, No Build</v>
      </c>
      <c r="B11" s="125" t="s">
        <v>302</v>
      </c>
      <c r="C11" s="128">
        <f>SPFs!BO52</f>
        <v>0.65652947236753822</v>
      </c>
      <c r="D11" s="128">
        <f>SPFs!BO53</f>
        <v>1.1568806205765458</v>
      </c>
      <c r="E11" s="129">
        <f t="shared" si="0"/>
        <v>1.8134100929440842</v>
      </c>
    </row>
    <row r="12" spans="1:5" x14ac:dyDescent="0.25">
      <c r="A12" s="126"/>
      <c r="B12" s="125"/>
      <c r="C12" s="128"/>
      <c r="D12" s="128"/>
      <c r="E12" s="129"/>
    </row>
    <row r="13" spans="1:5" x14ac:dyDescent="0.25">
      <c r="A13" s="126"/>
      <c r="B13" s="125"/>
      <c r="C13" s="128"/>
      <c r="D13" s="128"/>
      <c r="E13" s="129"/>
    </row>
    <row r="14" spans="1:5" x14ac:dyDescent="0.25">
      <c r="A14" s="126"/>
      <c r="B14" s="125"/>
      <c r="C14" s="128"/>
      <c r="D14" s="128"/>
      <c r="E14" s="129"/>
    </row>
    <row r="15" spans="1:5" x14ac:dyDescent="0.25">
      <c r="A15" s="126"/>
      <c r="B15" s="125"/>
      <c r="C15" s="128"/>
      <c r="D15" s="128"/>
      <c r="E15" s="129"/>
    </row>
    <row r="16" spans="1:5" x14ac:dyDescent="0.25">
      <c r="A16" s="126" t="str">
        <f>SPFs!DA1</f>
        <v>NB Diverge to 44, No Build</v>
      </c>
      <c r="B16" s="125" t="s">
        <v>301</v>
      </c>
      <c r="C16" s="128">
        <f>SPFs!DC52</f>
        <v>0.65361170463629636</v>
      </c>
      <c r="D16" s="128">
        <f>SPFs!DC53</f>
        <v>1.6900682966151368</v>
      </c>
      <c r="E16" s="129">
        <f t="shared" ref="E16:E21" si="1">D16+C16</f>
        <v>2.3436800012514332</v>
      </c>
    </row>
    <row r="17" spans="1:5" x14ac:dyDescent="0.25">
      <c r="A17" s="126" t="str">
        <f>SPFs!DI1</f>
        <v>NB Merge from 44, No Build</v>
      </c>
      <c r="B17" s="125" t="s">
        <v>302</v>
      </c>
      <c r="C17" s="128">
        <f>SPFs!DK52</f>
        <v>0.86278476799067849</v>
      </c>
      <c r="D17" s="128">
        <f>SPFs!DK53</f>
        <v>1.7009819881297121</v>
      </c>
      <c r="E17" s="129">
        <f t="shared" si="1"/>
        <v>2.5637667561203905</v>
      </c>
    </row>
    <row r="18" spans="1:5" x14ac:dyDescent="0.25">
      <c r="A18" s="126" t="str">
        <f>SPFs!DQ1</f>
        <v>SB Diverge to 44, No Build</v>
      </c>
      <c r="B18" s="125" t="s">
        <v>301</v>
      </c>
      <c r="C18" s="128">
        <f>SPFs!DS52</f>
        <v>0.64367476419254965</v>
      </c>
      <c r="D18" s="128">
        <f>SPFs!DS53</f>
        <v>1.6635553056483425</v>
      </c>
      <c r="E18" s="129">
        <f t="shared" si="1"/>
        <v>2.3072300698408923</v>
      </c>
    </row>
    <row r="19" spans="1:5" x14ac:dyDescent="0.25">
      <c r="A19" s="126" t="str">
        <f>SPFs!DY1</f>
        <v>SB Merge from 44, No Build</v>
      </c>
      <c r="B19" s="125" t="s">
        <v>302</v>
      </c>
      <c r="C19" s="128">
        <f>SPFs!EA52</f>
        <v>0.89671613029320174</v>
      </c>
      <c r="D19" s="128">
        <f>SPFs!EA53</f>
        <v>1.7364084110164129</v>
      </c>
      <c r="E19" s="129">
        <f t="shared" si="1"/>
        <v>2.6331245413096145</v>
      </c>
    </row>
    <row r="20" spans="1:5" x14ac:dyDescent="0.25">
      <c r="A20" s="126" t="str">
        <f>SPFs!EG1</f>
        <v>470 at SB Ramps, No Build</v>
      </c>
      <c r="B20" s="125" t="str">
        <f>SPFs!EG2</f>
        <v>Ramp Terminal</v>
      </c>
      <c r="C20" s="128">
        <f>SPFs!EI52</f>
        <v>8.2824450727660484</v>
      </c>
      <c r="D20" s="128">
        <f>SPFs!EI53</f>
        <v>18.109575009526399</v>
      </c>
      <c r="E20" s="129">
        <f t="shared" si="1"/>
        <v>26.392020082292447</v>
      </c>
    </row>
    <row r="21" spans="1:5" x14ac:dyDescent="0.25">
      <c r="A21" s="126" t="str">
        <f>SPFs!EO1</f>
        <v>470 at NB Ramps, No Build</v>
      </c>
      <c r="B21" s="125" t="str">
        <f>SPFs!EO2</f>
        <v>Ramp Terminal</v>
      </c>
      <c r="C21" s="128">
        <f>SPFs!EQ52</f>
        <v>27.522364506935599</v>
      </c>
      <c r="D21" s="128">
        <f>SPFs!EQ53</f>
        <v>51.605453845783927</v>
      </c>
      <c r="E21" s="129">
        <f t="shared" si="1"/>
        <v>79.12781835271953</v>
      </c>
    </row>
    <row r="22" spans="1:5" x14ac:dyDescent="0.25">
      <c r="A22" s="126"/>
      <c r="B22" s="125"/>
      <c r="C22" s="128"/>
      <c r="D22" s="128"/>
      <c r="E22" s="129"/>
    </row>
    <row r="23" spans="1:5" x14ac:dyDescent="0.25">
      <c r="A23" s="126"/>
      <c r="B23" s="125"/>
      <c r="C23" s="128"/>
      <c r="D23" s="128"/>
      <c r="E23" s="129"/>
    </row>
    <row r="24" spans="1:5" x14ac:dyDescent="0.25">
      <c r="A24" s="126" t="str">
        <f>SPFs!FM1</f>
        <v>44 at SB Ramps, No Build</v>
      </c>
      <c r="B24" s="125" t="str">
        <f>SPFs!FM2</f>
        <v>Ramp Terminal</v>
      </c>
      <c r="C24" s="128">
        <f>SPFs!FO52</f>
        <v>9.7728263196945502</v>
      </c>
      <c r="D24" s="128">
        <f>SPFs!FO53</f>
        <v>15.16776273049865</v>
      </c>
      <c r="E24" s="129">
        <f t="shared" ref="E24:E30" si="2">D24+C24</f>
        <v>24.9405890501932</v>
      </c>
    </row>
    <row r="25" spans="1:5" x14ac:dyDescent="0.25">
      <c r="A25" s="126" t="str">
        <f>SPFs!FU1</f>
        <v>44 at NB Ramps, No Build</v>
      </c>
      <c r="B25" s="125" t="str">
        <f>SPFs!FU2</f>
        <v>Ramp Terminal</v>
      </c>
      <c r="C25" s="128">
        <f>SPFs!FW52</f>
        <v>8.385690979116605</v>
      </c>
      <c r="D25" s="128">
        <f>SPFs!FW53</f>
        <v>15.316025972647836</v>
      </c>
      <c r="E25" s="129">
        <f t="shared" si="2"/>
        <v>23.701716951764439</v>
      </c>
    </row>
    <row r="26" spans="1:5" x14ac:dyDescent="0.25">
      <c r="A26" s="126" t="str">
        <f>SPFs!GC1</f>
        <v>470, West of I-75, No Build</v>
      </c>
      <c r="B26" s="125" t="str">
        <f>SPFs!GC2</f>
        <v>Urban Arterial</v>
      </c>
      <c r="C26" s="128">
        <f>SPFs!GE52</f>
        <v>1.0187490770840362</v>
      </c>
      <c r="D26" s="128">
        <f>SPFs!GE53</f>
        <v>2.0809607017880536</v>
      </c>
      <c r="E26" s="129">
        <f t="shared" si="2"/>
        <v>3.0997097788720898</v>
      </c>
    </row>
    <row r="27" spans="1:5" x14ac:dyDescent="0.25">
      <c r="A27" s="126" t="str">
        <f>SPFs!GK1</f>
        <v>470, East of I-74, No Build</v>
      </c>
      <c r="B27" s="125" t="str">
        <f>SPFs!GK2</f>
        <v>Urban Arterial</v>
      </c>
      <c r="C27" s="128">
        <f>SPFs!GM52</f>
        <v>12.48317711638507</v>
      </c>
      <c r="D27" s="128">
        <f>SPFs!GM53</f>
        <v>29.184625661877678</v>
      </c>
      <c r="E27" s="129">
        <f t="shared" si="2"/>
        <v>41.667802778262747</v>
      </c>
    </row>
    <row r="28" spans="1:5" x14ac:dyDescent="0.25">
      <c r="A28" s="126" t="str">
        <f>SPFs!GS1</f>
        <v>514, East of I-75, No Build</v>
      </c>
      <c r="B28" s="125" t="str">
        <f>SPFs!GS2</f>
        <v>Urban Arterial</v>
      </c>
      <c r="C28" s="128">
        <f>SPFs!GU52</f>
        <v>0.48717915840901327</v>
      </c>
      <c r="D28" s="128">
        <f>SPFs!GU53</f>
        <v>1.0478712354302311</v>
      </c>
      <c r="E28" s="129">
        <f t="shared" si="2"/>
        <v>1.5350503938392444</v>
      </c>
    </row>
    <row r="29" spans="1:5" x14ac:dyDescent="0.25">
      <c r="A29" s="126" t="str">
        <f>SPFs!HA1</f>
        <v>44, East of I-75, No Build</v>
      </c>
      <c r="B29" s="125" t="str">
        <f>SPFs!HA2</f>
        <v>Urban Arterial</v>
      </c>
      <c r="C29" s="128">
        <f>SPFs!HC52</f>
        <v>4.9562220539203352</v>
      </c>
      <c r="D29" s="128">
        <f>SPFs!HC53</f>
        <v>12.123219478177043</v>
      </c>
      <c r="E29" s="129">
        <f t="shared" si="2"/>
        <v>17.079441532097377</v>
      </c>
    </row>
    <row r="30" spans="1:5" x14ac:dyDescent="0.25">
      <c r="A30" s="126" t="str">
        <f>SPFs!HI1</f>
        <v>44, West of I-75, No Build</v>
      </c>
      <c r="B30" s="125" t="str">
        <f>SPFs!HI2</f>
        <v>Urban Arterial</v>
      </c>
      <c r="C30" s="128">
        <f>SPFs!HK52</f>
        <v>2.379749292050799</v>
      </c>
      <c r="D30" s="128">
        <f>SPFs!HK53</f>
        <v>5.8220237561382593</v>
      </c>
      <c r="E30" s="129">
        <f t="shared" si="2"/>
        <v>8.2017730481890574</v>
      </c>
    </row>
    <row r="31" spans="1:5" x14ac:dyDescent="0.25">
      <c r="A31" s="239" t="s">
        <v>18</v>
      </c>
      <c r="B31" s="240"/>
      <c r="C31" s="129">
        <f>SUM(C3:C30)</f>
        <v>111.93680750578525</v>
      </c>
      <c r="D31" s="129">
        <f>SUM(D3:D30)</f>
        <v>238.96989316590506</v>
      </c>
      <c r="E31" s="129">
        <f>SUM(E3:E30)</f>
        <v>350.90670067169032</v>
      </c>
    </row>
    <row r="32" spans="1:5" x14ac:dyDescent="0.25">
      <c r="B32" s="90"/>
    </row>
    <row r="33" spans="1:5" x14ac:dyDescent="0.25">
      <c r="B33" s="90"/>
    </row>
    <row r="34" spans="1:5" x14ac:dyDescent="0.25">
      <c r="B34" s="90"/>
    </row>
    <row r="35" spans="1:5" x14ac:dyDescent="0.25">
      <c r="B35" s="90"/>
    </row>
    <row r="36" spans="1:5" x14ac:dyDescent="0.25">
      <c r="B36" s="90"/>
    </row>
    <row r="37" spans="1:5" x14ac:dyDescent="0.25">
      <c r="B37" s="90"/>
    </row>
    <row r="38" spans="1:5" x14ac:dyDescent="0.25">
      <c r="B38" s="90"/>
    </row>
    <row r="39" spans="1:5" x14ac:dyDescent="0.25">
      <c r="A39" s="238" t="s">
        <v>295</v>
      </c>
      <c r="B39" s="238"/>
      <c r="C39" s="238"/>
      <c r="D39" s="238"/>
      <c r="E39" s="238"/>
    </row>
    <row r="40" spans="1:5" x14ac:dyDescent="0.25">
      <c r="A40" s="127" t="s">
        <v>299</v>
      </c>
      <c r="B40" s="127" t="s">
        <v>300</v>
      </c>
      <c r="C40" s="127" t="s">
        <v>19</v>
      </c>
      <c r="D40" s="127" t="s">
        <v>20</v>
      </c>
      <c r="E40" s="127" t="s">
        <v>18</v>
      </c>
    </row>
    <row r="41" spans="1:5" x14ac:dyDescent="0.25">
      <c r="A41" s="126" t="str">
        <f>SPFs!A62</f>
        <v>North of 44, Build</v>
      </c>
      <c r="B41" s="130" t="str">
        <f>SPFs!A63</f>
        <v>Urban Freeway Segment</v>
      </c>
      <c r="C41" s="128">
        <f>SPFs!C113</f>
        <v>2.7624632130297586</v>
      </c>
      <c r="D41" s="128">
        <f>SPFs!C114</f>
        <v>7.5968072351741203</v>
      </c>
      <c r="E41" s="129">
        <f t="shared" ref="E41:E68" si="3">D41+C41</f>
        <v>10.35927044820388</v>
      </c>
    </row>
    <row r="42" spans="1:5" x14ac:dyDescent="0.25">
      <c r="A42" s="126" t="str">
        <f>SPFs!I62</f>
        <v>Between Turnpike and 514, Build</v>
      </c>
      <c r="B42" s="125" t="str">
        <f>SPFs!I63</f>
        <v>Urban Freeway Segment</v>
      </c>
      <c r="C42" s="128">
        <f>SPFs!K113</f>
        <v>9.8550746604461175</v>
      </c>
      <c r="D42" s="128">
        <f>SPFs!K114</f>
        <v>23.645618199816841</v>
      </c>
      <c r="E42" s="129">
        <f t="shared" si="3"/>
        <v>33.500692860262959</v>
      </c>
    </row>
    <row r="43" spans="1:5" x14ac:dyDescent="0.25">
      <c r="A43" s="126" t="str">
        <f>SPFs!Q62</f>
        <v>Between 514 and 470, Build</v>
      </c>
      <c r="B43" s="125" t="str">
        <f>SPFs!Q63</f>
        <v>Urban Freeway Segment</v>
      </c>
      <c r="C43" s="128">
        <f>SPFs!S113</f>
        <v>13.251463526162098</v>
      </c>
      <c r="D43" s="128">
        <f>SPFs!S114</f>
        <v>33.551005569365792</v>
      </c>
      <c r="E43" s="129">
        <f t="shared" si="3"/>
        <v>46.80246909552789</v>
      </c>
    </row>
    <row r="44" spans="1:5" x14ac:dyDescent="0.25">
      <c r="A44" s="126" t="str">
        <f>SPFs!Y62</f>
        <v>South of 470, Build</v>
      </c>
      <c r="B44" s="125" t="str">
        <f>SPFs!Y63</f>
        <v>Urban Freeway Segment</v>
      </c>
      <c r="C44" s="128">
        <f>SPFs!AA113</f>
        <v>1.8858979476849891</v>
      </c>
      <c r="D44" s="128">
        <f>SPFs!AA114</f>
        <v>4.76224682128663</v>
      </c>
      <c r="E44" s="129">
        <f t="shared" si="3"/>
        <v>6.6481447689716191</v>
      </c>
    </row>
    <row r="45" spans="1:5" x14ac:dyDescent="0.25">
      <c r="A45" s="126" t="str">
        <f>SPFs!AG62</f>
        <v>Turnpike, East of I-75, Build</v>
      </c>
      <c r="B45" s="125" t="str">
        <f>SPFs!AG63</f>
        <v>Urban Freeway Segment</v>
      </c>
      <c r="C45" s="128">
        <f>SPFs!AI113</f>
        <v>7.2898432579579371</v>
      </c>
      <c r="D45" s="128">
        <f>SPFs!AI114</f>
        <v>17.900017519608504</v>
      </c>
      <c r="E45" s="129">
        <f t="shared" si="3"/>
        <v>25.189860777566441</v>
      </c>
    </row>
    <row r="46" spans="1:5" x14ac:dyDescent="0.25">
      <c r="A46" s="126" t="str">
        <f>SPFs!AO62</f>
        <v>NB Diverge to 470, Build</v>
      </c>
      <c r="B46" s="125" t="s">
        <v>301</v>
      </c>
      <c r="C46" s="128">
        <f>SPFs!AQ113</f>
        <v>0.48902538518363509</v>
      </c>
      <c r="D46" s="128">
        <f>SPFs!AQ114</f>
        <v>1.2527652509220695</v>
      </c>
      <c r="E46" s="129">
        <f t="shared" si="3"/>
        <v>1.7417906361057045</v>
      </c>
    </row>
    <row r="47" spans="1:5" x14ac:dyDescent="0.25">
      <c r="A47" s="126" t="str">
        <f>SPFs!AW62</f>
        <v>NB Merge from 470, Build</v>
      </c>
      <c r="B47" s="125" t="s">
        <v>302</v>
      </c>
      <c r="C47" s="128">
        <f>SPFs!AY113</f>
        <v>0.54086338247031185</v>
      </c>
      <c r="D47" s="128">
        <f>SPFs!AY114</f>
        <v>1.1715770567257164</v>
      </c>
      <c r="E47" s="129">
        <f t="shared" si="3"/>
        <v>1.7124404391960284</v>
      </c>
    </row>
    <row r="48" spans="1:5" x14ac:dyDescent="0.25">
      <c r="A48" s="126" t="str">
        <f>SPFs!BE62</f>
        <v>SB Diverge to 470, Build</v>
      </c>
      <c r="B48" s="125" t="s">
        <v>301</v>
      </c>
      <c r="C48" s="128">
        <f>SPFs!BG113</f>
        <v>0.48788712442679727</v>
      </c>
      <c r="D48" s="128">
        <f>SPFs!BG114</f>
        <v>1.2497557673619482</v>
      </c>
      <c r="E48" s="129">
        <f t="shared" si="3"/>
        <v>1.7376428917887454</v>
      </c>
    </row>
    <row r="49" spans="1:5" x14ac:dyDescent="0.25">
      <c r="A49" s="126" t="str">
        <f>SPFs!BM62</f>
        <v>SB Merge from 470, Build</v>
      </c>
      <c r="B49" s="125" t="s">
        <v>302</v>
      </c>
      <c r="C49" s="128">
        <f>SPFs!BO113</f>
        <v>0.63778381873479184</v>
      </c>
      <c r="D49" s="128">
        <f>SPFs!BO114</f>
        <v>1.1752562847984167</v>
      </c>
      <c r="E49" s="129">
        <f t="shared" si="3"/>
        <v>1.8130401035332087</v>
      </c>
    </row>
    <row r="50" spans="1:5" x14ac:dyDescent="0.25">
      <c r="A50" s="126" t="str">
        <f>SPFs!BU62</f>
        <v>NB Diverge to 514, Build</v>
      </c>
      <c r="B50" s="125" t="s">
        <v>301</v>
      </c>
      <c r="C50" s="128">
        <f>SPFs!BW113</f>
        <v>0.48788712442679727</v>
      </c>
      <c r="D50" s="128">
        <f>SPFs!BW114</f>
        <v>1.2497557673619482</v>
      </c>
      <c r="E50" s="129">
        <f t="shared" si="3"/>
        <v>1.7376428917887454</v>
      </c>
    </row>
    <row r="51" spans="1:5" x14ac:dyDescent="0.25">
      <c r="A51" s="126" t="str">
        <f>SPFs!CC62</f>
        <v>NB Merge from 514, Build</v>
      </c>
      <c r="B51" s="125" t="s">
        <v>302</v>
      </c>
      <c r="C51" s="128">
        <f>SPFs!CE113</f>
        <v>0.40002765539992047</v>
      </c>
      <c r="D51" s="128">
        <f>SPFs!CE114</f>
        <v>0.89475986168960953</v>
      </c>
      <c r="E51" s="129">
        <f t="shared" si="3"/>
        <v>1.29478751708953</v>
      </c>
    </row>
    <row r="52" spans="1:5" x14ac:dyDescent="0.25">
      <c r="A52" s="126" t="str">
        <f>SPFs!CK62</f>
        <v>SB Diverge to 514, Build</v>
      </c>
      <c r="B52" s="125" t="s">
        <v>301</v>
      </c>
      <c r="C52" s="128">
        <f>SPFs!CM113</f>
        <v>0.39931531322627806</v>
      </c>
      <c r="D52" s="128">
        <f>SPFs!CM114</f>
        <v>1.0163133464427851</v>
      </c>
      <c r="E52" s="129">
        <f t="shared" si="3"/>
        <v>1.4156286596690633</v>
      </c>
    </row>
    <row r="53" spans="1:5" x14ac:dyDescent="0.25">
      <c r="A53" s="126" t="str">
        <f>SPFs!CS62</f>
        <v>SB Merge from 514, Build</v>
      </c>
      <c r="B53" s="125" t="s">
        <v>302</v>
      </c>
      <c r="C53" s="128">
        <f>SPFs!CU113</f>
        <v>0.63585610348695421</v>
      </c>
      <c r="D53" s="128">
        <f>SPFs!CU114</f>
        <v>1.1715770567257164</v>
      </c>
      <c r="E53" s="129">
        <f t="shared" si="3"/>
        <v>1.8074331602126708</v>
      </c>
    </row>
    <row r="54" spans="1:5" x14ac:dyDescent="0.25">
      <c r="A54" s="126" t="str">
        <f>SPFs!DA62</f>
        <v>NB Diverge to 44, Build</v>
      </c>
      <c r="B54" s="125" t="s">
        <v>301</v>
      </c>
      <c r="C54" s="128">
        <f>SPFs!DC113</f>
        <v>8.1028437785308119E-2</v>
      </c>
      <c r="D54" s="128">
        <f>SPFs!DC114</f>
        <v>0.19593121908803063</v>
      </c>
      <c r="E54" s="129">
        <f t="shared" si="3"/>
        <v>0.27695965687333873</v>
      </c>
    </row>
    <row r="55" spans="1:5" x14ac:dyDescent="0.25">
      <c r="A55" s="126" t="str">
        <f>SPFs!DI62</f>
        <v>NB Merge from 44, Build</v>
      </c>
      <c r="B55" s="125" t="s">
        <v>302</v>
      </c>
      <c r="C55" s="128">
        <f>SPFs!DK113</f>
        <v>0.82001808315334257</v>
      </c>
      <c r="D55" s="128">
        <f>SPFs!DK114</f>
        <v>1.6931270545833557</v>
      </c>
      <c r="E55" s="129">
        <f t="shared" si="3"/>
        <v>2.5131451377366982</v>
      </c>
    </row>
    <row r="56" spans="1:5" x14ac:dyDescent="0.25">
      <c r="A56" s="126" t="str">
        <f>SPFs!DQ62</f>
        <v>SB Diverge to 44, Build</v>
      </c>
      <c r="B56" s="125" t="s">
        <v>301</v>
      </c>
      <c r="C56" s="128">
        <f>SPFs!DS113</f>
        <v>0.6414643244665984</v>
      </c>
      <c r="D56" s="128">
        <f>SPFs!DS114</f>
        <v>1.6576593579183516</v>
      </c>
      <c r="E56" s="129">
        <f t="shared" si="3"/>
        <v>2.2991236823849501</v>
      </c>
    </row>
    <row r="57" spans="1:5" x14ac:dyDescent="0.25">
      <c r="A57" s="126" t="str">
        <f>SPFs!DY62</f>
        <v>SB Merge from 44, Build</v>
      </c>
      <c r="B57" s="125" t="s">
        <v>302</v>
      </c>
      <c r="C57" s="128">
        <f>SPFs!EA113</f>
        <v>5.66899823871213E-2</v>
      </c>
      <c r="D57" s="128">
        <f>SPFs!EA114</f>
        <v>0.10463987622470501</v>
      </c>
      <c r="E57" s="129">
        <f t="shared" si="3"/>
        <v>0.1613298586118263</v>
      </c>
    </row>
    <row r="58" spans="1:5" x14ac:dyDescent="0.25">
      <c r="A58" s="126" t="str">
        <f>SPFs!EG62</f>
        <v>470 at SB Ramps, Build</v>
      </c>
      <c r="B58" s="125" t="str">
        <f>SPFs!EG63</f>
        <v>Ramp Terminal</v>
      </c>
      <c r="C58" s="128">
        <f>SPFs!EI113</f>
        <v>4.3462248663407834</v>
      </c>
      <c r="D58" s="128">
        <f>SPFs!EI114</f>
        <v>8.9412096873916624</v>
      </c>
      <c r="E58" s="129">
        <f t="shared" si="3"/>
        <v>13.287434553732446</v>
      </c>
    </row>
    <row r="59" spans="1:5" x14ac:dyDescent="0.25">
      <c r="A59" s="126" t="str">
        <f>SPFs!EO62</f>
        <v>470 at NB Ramps, Build</v>
      </c>
      <c r="B59" s="125" t="str">
        <f>SPFs!EO63</f>
        <v>Ramp Terminal</v>
      </c>
      <c r="C59" s="128">
        <f>SPFs!EQ113</f>
        <v>20.194081579777293</v>
      </c>
      <c r="D59" s="128">
        <f>SPFs!EQ114</f>
        <v>31.223842359440699</v>
      </c>
      <c r="E59" s="129">
        <f t="shared" si="3"/>
        <v>51.417923939217992</v>
      </c>
    </row>
    <row r="60" spans="1:5" x14ac:dyDescent="0.25">
      <c r="A60" s="126" t="str">
        <f>SPFs!EW62</f>
        <v>514 at SB Ramps, Build</v>
      </c>
      <c r="B60" s="125" t="str">
        <f>SPFs!EW63</f>
        <v>Ramp Terminal</v>
      </c>
      <c r="C60" s="128">
        <f>SPFs!EY113</f>
        <v>2.7342347467097596</v>
      </c>
      <c r="D60" s="128">
        <f>SPFs!EY114</f>
        <v>2.8333091874358107</v>
      </c>
      <c r="E60" s="129">
        <f t="shared" si="3"/>
        <v>5.5675439341455704</v>
      </c>
    </row>
    <row r="61" spans="1:5" x14ac:dyDescent="0.25">
      <c r="A61" s="126" t="str">
        <f>SPFs!FE62</f>
        <v>514 at NB Ramps, Build</v>
      </c>
      <c r="B61" s="125" t="str">
        <f>SPFs!FE63</f>
        <v>Ramp Terminal</v>
      </c>
      <c r="C61" s="128">
        <f>SPFs!FG113</f>
        <v>1.2060096688773083</v>
      </c>
      <c r="D61" s="128">
        <f>SPFs!FG114</f>
        <v>3.7203383634889495</v>
      </c>
      <c r="E61" s="129">
        <f t="shared" si="3"/>
        <v>4.9263480323662581</v>
      </c>
    </row>
    <row r="62" spans="1:5" x14ac:dyDescent="0.25">
      <c r="A62" s="126" t="str">
        <f>SPFs!FM62</f>
        <v>44 at SB Ramps, Build</v>
      </c>
      <c r="B62" s="125" t="str">
        <f>SPFs!FM63</f>
        <v>Ramp Terminal</v>
      </c>
      <c r="C62" s="128">
        <f>SPFs!FO113</f>
        <v>7.6473722719344579</v>
      </c>
      <c r="D62" s="128">
        <f>SPFs!FO114</f>
        <v>12.252859242429686</v>
      </c>
      <c r="E62" s="129">
        <f t="shared" si="3"/>
        <v>19.900231514364144</v>
      </c>
    </row>
    <row r="63" spans="1:5" x14ac:dyDescent="0.25">
      <c r="A63" s="126" t="str">
        <f>SPFs!FU62</f>
        <v>44 at NB Ramps, Build</v>
      </c>
      <c r="B63" s="125" t="str">
        <f>SPFs!FU63</f>
        <v>Ramp Terminal</v>
      </c>
      <c r="C63" s="128">
        <f>SPFs!FW113</f>
        <v>6.0109289180778873</v>
      </c>
      <c r="D63" s="128">
        <f>SPFs!FW114</f>
        <v>11.647856175343392</v>
      </c>
      <c r="E63" s="129">
        <f t="shared" si="3"/>
        <v>17.65878509342128</v>
      </c>
    </row>
    <row r="64" spans="1:5" x14ac:dyDescent="0.25">
      <c r="A64" s="126" t="str">
        <f>SPFs!GC62</f>
        <v>470, West of I-75, Build</v>
      </c>
      <c r="B64" s="125" t="str">
        <f>SPFs!GC63</f>
        <v>Urban Arterial</v>
      </c>
      <c r="C64" s="128">
        <f>SPFs!GE113</f>
        <v>0.59152820501929559</v>
      </c>
      <c r="D64" s="128">
        <f>SPFs!GE114</f>
        <v>1.1933617353466279</v>
      </c>
      <c r="E64" s="129">
        <f t="shared" si="3"/>
        <v>1.7848899403659235</v>
      </c>
    </row>
    <row r="65" spans="1:5" x14ac:dyDescent="0.25">
      <c r="A65" s="126" t="str">
        <f>SPFs!GK62</f>
        <v>470, East of I-74, Build</v>
      </c>
      <c r="B65" s="125" t="str">
        <f>SPFs!GK63</f>
        <v>Urban Arterial</v>
      </c>
      <c r="C65" s="128">
        <f>SPFs!GM113</f>
        <v>6.0903775893434862</v>
      </c>
      <c r="D65" s="128">
        <f>SPFs!GM114</f>
        <v>13.374978970376645</v>
      </c>
      <c r="E65" s="129">
        <f t="shared" si="3"/>
        <v>19.465356559720131</v>
      </c>
    </row>
    <row r="66" spans="1:5" x14ac:dyDescent="0.25">
      <c r="A66" s="126" t="str">
        <f>SPFs!GS62</f>
        <v>514, East of I-75, Build</v>
      </c>
      <c r="B66" s="125" t="str">
        <f>SPFs!GS63</f>
        <v>Urban Arterial</v>
      </c>
      <c r="C66" s="128">
        <f>SPFs!GU113</f>
        <v>3.4713699492915433</v>
      </c>
      <c r="D66" s="128">
        <f>SPFs!GU114</f>
        <v>7.7375796899819154</v>
      </c>
      <c r="E66" s="129">
        <f t="shared" si="3"/>
        <v>11.20894963927346</v>
      </c>
    </row>
    <row r="67" spans="1:5" x14ac:dyDescent="0.25">
      <c r="A67" s="126" t="str">
        <f>SPFs!HA62</f>
        <v>44, East of I-75, Build</v>
      </c>
      <c r="B67" s="125" t="str">
        <f>SPFs!HA63</f>
        <v>Urban Arterial</v>
      </c>
      <c r="C67" s="128">
        <f>SPFs!HC113</f>
        <v>4.2027325079626099</v>
      </c>
      <c r="D67" s="128">
        <f>SPFs!HC114</f>
        <v>10.261582274680304</v>
      </c>
      <c r="E67" s="129">
        <f t="shared" si="3"/>
        <v>14.464314782642914</v>
      </c>
    </row>
    <row r="68" spans="1:5" x14ac:dyDescent="0.25">
      <c r="A68" s="126" t="str">
        <f>SPFs!HI62</f>
        <v>44, West of I-75, Build</v>
      </c>
      <c r="B68" s="125" t="str">
        <f>SPFs!HI63</f>
        <v>Urban Arterial</v>
      </c>
      <c r="C68" s="128">
        <f>SPFs!HK113</f>
        <v>1.8781586085074746</v>
      </c>
      <c r="D68" s="128">
        <f>SPFs!HK114</f>
        <v>4.5727944412927934</v>
      </c>
      <c r="E68" s="129">
        <f t="shared" si="3"/>
        <v>6.4509530498002681</v>
      </c>
    </row>
    <row r="69" spans="1:5" x14ac:dyDescent="0.25">
      <c r="A69" s="238" t="s">
        <v>18</v>
      </c>
      <c r="B69" s="238"/>
      <c r="C69" s="129">
        <f>SUM(C41:C68)</f>
        <v>99.095608252270665</v>
      </c>
      <c r="D69" s="129">
        <f t="shared" ref="D69:E69" si="4">SUM(D41:D68)</f>
        <v>208.04852537230303</v>
      </c>
      <c r="E69" s="129">
        <f t="shared" si="4"/>
        <v>307.14413362457367</v>
      </c>
    </row>
    <row r="72" spans="1:5" x14ac:dyDescent="0.25">
      <c r="A72" s="241"/>
      <c r="B72" s="242"/>
      <c r="C72" s="127" t="s">
        <v>19</v>
      </c>
      <c r="D72" s="127" t="s">
        <v>20</v>
      </c>
      <c r="E72" s="127" t="s">
        <v>18</v>
      </c>
    </row>
    <row r="73" spans="1:5" x14ac:dyDescent="0.25">
      <c r="A73" s="238" t="s">
        <v>303</v>
      </c>
      <c r="B73" s="238"/>
      <c r="C73" s="129">
        <f>C31-C69</f>
        <v>12.841199253514588</v>
      </c>
      <c r="D73" s="129">
        <f>D31-D69</f>
        <v>30.92136779360203</v>
      </c>
      <c r="E73" s="129">
        <f>E31-E69</f>
        <v>43.762567047116647</v>
      </c>
    </row>
  </sheetData>
  <mergeCells count="6">
    <mergeCell ref="A1:E1"/>
    <mergeCell ref="A39:E39"/>
    <mergeCell ref="A31:B31"/>
    <mergeCell ref="A69:B69"/>
    <mergeCell ref="A73:B73"/>
    <mergeCell ref="A72:B7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B13" sqref="B13"/>
    </sheetView>
  </sheetViews>
  <sheetFormatPr defaultRowHeight="15" x14ac:dyDescent="0.25"/>
  <cols>
    <col min="1" max="1" width="33.85546875" bestFit="1" customWidth="1"/>
    <col min="2" max="2" width="23" bestFit="1" customWidth="1"/>
    <col min="3" max="3" width="14.28515625" bestFit="1" customWidth="1"/>
    <col min="4" max="4" width="12.5703125" bestFit="1" customWidth="1"/>
  </cols>
  <sheetData>
    <row r="1" spans="1:12" x14ac:dyDescent="0.25">
      <c r="A1" s="241"/>
      <c r="B1" s="242"/>
      <c r="C1" s="186" t="s">
        <v>19</v>
      </c>
      <c r="D1" s="186" t="s">
        <v>20</v>
      </c>
    </row>
    <row r="2" spans="1:12" x14ac:dyDescent="0.25">
      <c r="A2" s="238" t="s">
        <v>303</v>
      </c>
      <c r="B2" s="238"/>
      <c r="C2" s="129">
        <f>'Summary Table'!C73</f>
        <v>12.841199253514588</v>
      </c>
      <c r="D2" s="129">
        <f>'Summary Table'!D73</f>
        <v>30.92136779360203</v>
      </c>
    </row>
    <row r="3" spans="1:12" x14ac:dyDescent="0.25">
      <c r="A3" s="238" t="s">
        <v>416</v>
      </c>
      <c r="B3" s="238"/>
      <c r="C3" s="187">
        <v>450000</v>
      </c>
      <c r="D3" s="187">
        <v>30000</v>
      </c>
    </row>
    <row r="4" spans="1:12" x14ac:dyDescent="0.25">
      <c r="A4" s="238" t="s">
        <v>417</v>
      </c>
      <c r="B4" s="238"/>
      <c r="C4" s="187">
        <f>C2*C3</f>
        <v>5778539.6640815651</v>
      </c>
      <c r="D4" s="187">
        <f>D2*D3</f>
        <v>927641.03380806092</v>
      </c>
    </row>
    <row r="9" spans="1:12" x14ac:dyDescent="0.25">
      <c r="A9" s="90"/>
      <c r="B9" s="90" t="s">
        <v>418</v>
      </c>
      <c r="C9" s="90" t="s">
        <v>419</v>
      </c>
      <c r="D9" s="90" t="s">
        <v>420</v>
      </c>
      <c r="E9" s="90"/>
      <c r="F9" s="90"/>
      <c r="G9" s="90"/>
      <c r="H9" s="90"/>
      <c r="I9" s="90"/>
      <c r="J9" s="90"/>
      <c r="K9" s="90"/>
      <c r="L9" s="90"/>
    </row>
    <row r="10" spans="1:12" x14ac:dyDescent="0.25">
      <c r="A10" s="90" t="s">
        <v>421</v>
      </c>
      <c r="B10" s="243">
        <v>10100000</v>
      </c>
      <c r="C10" s="243">
        <v>4008900</v>
      </c>
      <c r="D10" s="244">
        <f>B10/C10</f>
        <v>2.5193943475766418</v>
      </c>
      <c r="E10" s="90"/>
      <c r="F10" s="90"/>
      <c r="G10" s="90"/>
      <c r="H10" s="90"/>
      <c r="I10" s="90"/>
      <c r="J10" s="90"/>
      <c r="K10" s="90"/>
      <c r="L10" s="245"/>
    </row>
    <row r="11" spans="1:12" x14ac:dyDescent="0.25">
      <c r="A11" s="90" t="s">
        <v>422</v>
      </c>
      <c r="B11" s="243">
        <v>818636</v>
      </c>
      <c r="C11" s="243">
        <v>216000</v>
      </c>
      <c r="D11" s="244">
        <f t="shared" ref="D11:D12" si="0">B11/C11</f>
        <v>3.7899814814814814</v>
      </c>
      <c r="E11" s="90"/>
      <c r="F11" s="90"/>
      <c r="G11" s="90"/>
      <c r="H11" s="90"/>
      <c r="I11" s="90"/>
      <c r="J11" s="90"/>
      <c r="K11" s="90"/>
      <c r="L11" s="245"/>
    </row>
    <row r="12" spans="1:12" x14ac:dyDescent="0.25">
      <c r="A12" s="90" t="s">
        <v>423</v>
      </c>
      <c r="B12" s="243">
        <v>163254</v>
      </c>
      <c r="C12" s="243">
        <v>79000</v>
      </c>
      <c r="D12" s="244">
        <f t="shared" si="0"/>
        <v>2.0665063291139241</v>
      </c>
      <c r="E12" s="90"/>
      <c r="F12" s="90"/>
      <c r="G12" s="90"/>
      <c r="H12" s="90"/>
      <c r="I12" s="90"/>
      <c r="J12" s="90"/>
      <c r="K12" s="90"/>
      <c r="L12" s="245"/>
    </row>
    <row r="13" spans="1:12" x14ac:dyDescent="0.25">
      <c r="A13" s="90" t="s">
        <v>424</v>
      </c>
      <c r="B13" s="246">
        <f>MROUND(D13*158200,50000)</f>
        <v>450000</v>
      </c>
      <c r="C13" s="247">
        <v>158200</v>
      </c>
      <c r="D13" s="244">
        <f>AVERAGE(D10:D12)</f>
        <v>2.7919607193906821</v>
      </c>
      <c r="E13" s="90" t="s">
        <v>425</v>
      </c>
      <c r="F13" s="90"/>
      <c r="G13" s="90"/>
      <c r="H13" s="90"/>
      <c r="I13" s="90"/>
      <c r="J13" s="90"/>
      <c r="K13" s="90"/>
      <c r="L13" s="90"/>
    </row>
    <row r="14" spans="1:12" x14ac:dyDescent="0.25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</row>
    <row r="15" spans="1:12" x14ac:dyDescent="0.25">
      <c r="A15" s="90"/>
      <c r="B15" s="90" t="s">
        <v>418</v>
      </c>
      <c r="C15" s="90" t="s">
        <v>426</v>
      </c>
      <c r="D15" s="90"/>
      <c r="E15" s="90"/>
      <c r="F15" s="90"/>
      <c r="G15" s="90"/>
      <c r="H15" s="90"/>
      <c r="I15" s="90"/>
      <c r="J15" s="90"/>
      <c r="K15" s="90"/>
      <c r="L15" s="90"/>
    </row>
    <row r="16" spans="1:12" x14ac:dyDescent="0.25">
      <c r="A16" s="90" t="s">
        <v>427</v>
      </c>
      <c r="B16" s="248">
        <v>99645</v>
      </c>
      <c r="C16" s="90">
        <v>0.219</v>
      </c>
      <c r="D16" s="244"/>
      <c r="E16" s="90"/>
      <c r="F16" s="90"/>
      <c r="G16" s="90"/>
      <c r="H16" s="90"/>
      <c r="I16" s="90"/>
      <c r="J16" s="90"/>
      <c r="K16" s="90"/>
      <c r="L16" s="90"/>
    </row>
    <row r="17" spans="1:12" x14ac:dyDescent="0.25">
      <c r="A17" s="90" t="s">
        <v>20</v>
      </c>
      <c r="B17" s="248">
        <v>6500</v>
      </c>
      <c r="C17" s="90">
        <v>0.59599999999999997</v>
      </c>
      <c r="D17" s="244"/>
      <c r="E17" s="90"/>
      <c r="F17" s="90"/>
      <c r="G17" s="90"/>
      <c r="H17" s="90"/>
      <c r="I17" s="90"/>
      <c r="J17" s="90"/>
      <c r="K17" s="90"/>
      <c r="L17" s="90"/>
    </row>
    <row r="18" spans="1:12" x14ac:dyDescent="0.25">
      <c r="A18" s="90" t="s">
        <v>428</v>
      </c>
      <c r="B18" s="249">
        <f>MROUND((B16*C16+B17*C17)/C18,10000)</f>
        <v>30000</v>
      </c>
      <c r="C18" s="90">
        <f>SUM(C16:C17)</f>
        <v>0.81499999999999995</v>
      </c>
      <c r="D18" s="244"/>
      <c r="E18" s="90"/>
      <c r="F18" s="90"/>
      <c r="G18" s="90"/>
      <c r="H18" s="90"/>
      <c r="I18" s="90"/>
      <c r="J18" s="90"/>
      <c r="K18" s="90"/>
      <c r="L18" s="90"/>
    </row>
    <row r="19" spans="1:12" x14ac:dyDescent="0.25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</row>
  </sheetData>
  <mergeCells count="4">
    <mergeCell ref="A1:B1"/>
    <mergeCell ref="A2:B2"/>
    <mergeCell ref="A3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Reference</vt:lpstr>
      <vt:lpstr>Templates</vt:lpstr>
      <vt:lpstr>SPFs</vt:lpstr>
      <vt:lpstr>Summary Table</vt:lpstr>
      <vt:lpstr>Benefit Cost</vt:lpstr>
      <vt:lpstr>_2__3_Leg_Signalized</vt:lpstr>
      <vt:lpstr>ds</vt:lpstr>
    </vt:vector>
  </TitlesOfParts>
  <Company>Hanson Professional Services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Becca Wagner</dc:creator>
  <cp:lastModifiedBy>Bikram Wadhawan</cp:lastModifiedBy>
  <dcterms:created xsi:type="dcterms:W3CDTF">2014-12-11T18:51:45Z</dcterms:created>
  <dcterms:modified xsi:type="dcterms:W3CDTF">2018-03-21T13:28:46Z</dcterms:modified>
</cp:coreProperties>
</file>