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16jobs\16H0030\Admin\Interchanges\Safety\Safety Procedure Presentation and Worksheets\Project Spreadsheets\"/>
    </mc:Choice>
  </mc:AlternateContent>
  <bookViews>
    <workbookView xWindow="0" yWindow="0" windowWidth="28800" windowHeight="12435"/>
  </bookViews>
  <sheets>
    <sheet name="Reference" sheetId="3" r:id="rId1"/>
    <sheet name="Templates" sheetId="2" r:id="rId2"/>
    <sheet name="SPFs" sheetId="28" r:id="rId3"/>
    <sheet name="EB Method" sheetId="32" r:id="rId4"/>
    <sheet name="NB Terminal Reconfiguration CMF" sheetId="30" r:id="rId5"/>
    <sheet name="NB Mainline Reconfiguration CMF" sheetId="31" r:id="rId6"/>
    <sheet name="CMFs" sheetId="33" r:id="rId7"/>
    <sheet name="Benefit Cost" sheetId="34" r:id="rId8"/>
  </sheets>
  <definedNames>
    <definedName name="_2__3_Leg_Signalized">Templates!$G$5</definedName>
    <definedName name="ds">#REF!</definedName>
  </definedNames>
  <calcPr calcId="152511" concurrentCalc="0"/>
</workbook>
</file>

<file path=xl/calcChain.xml><?xml version="1.0" encoding="utf-8"?>
<calcChain xmlns="http://schemas.openxmlformats.org/spreadsheetml/2006/main">
  <c r="C18" i="34" l="1"/>
  <c r="B18" i="34"/>
  <c r="D10" i="34"/>
  <c r="D11" i="34"/>
  <c r="D12" i="34"/>
  <c r="D13" i="34"/>
  <c r="B13" i="34"/>
  <c r="D2" i="34"/>
  <c r="C2" i="34"/>
  <c r="D4" i="34"/>
  <c r="C4" i="34"/>
  <c r="O37" i="30"/>
  <c r="H11" i="32"/>
  <c r="G11" i="32"/>
  <c r="H10" i="32"/>
  <c r="G10" i="32"/>
  <c r="H9" i="32"/>
  <c r="G9" i="32"/>
  <c r="G8" i="32"/>
  <c r="H8" i="32"/>
  <c r="H7" i="32"/>
  <c r="G7" i="32"/>
  <c r="H6" i="32"/>
  <c r="G6" i="32"/>
  <c r="H5" i="32"/>
  <c r="G5" i="32"/>
  <c r="I9" i="32"/>
  <c r="I5" i="32"/>
  <c r="M5" i="32"/>
  <c r="I6" i="32"/>
  <c r="M6" i="32"/>
  <c r="M4" i="32"/>
  <c r="I8" i="32"/>
  <c r="M8" i="32"/>
  <c r="M9" i="32"/>
  <c r="I10" i="32"/>
  <c r="M10" i="32"/>
  <c r="M7" i="32"/>
  <c r="I11" i="32"/>
  <c r="M11" i="32"/>
  <c r="M12" i="32"/>
  <c r="H3" i="33"/>
  <c r="C3" i="33"/>
  <c r="D3" i="33"/>
  <c r="E3" i="33"/>
  <c r="F3" i="33"/>
  <c r="G3" i="33"/>
  <c r="I3" i="33"/>
  <c r="O38" i="30"/>
  <c r="G38" i="30"/>
  <c r="G37" i="30"/>
  <c r="J9" i="32"/>
  <c r="J10" i="32"/>
  <c r="N9" i="32"/>
  <c r="N10" i="32"/>
  <c r="J8" i="32"/>
  <c r="N8" i="32"/>
  <c r="N7" i="32"/>
  <c r="J5" i="32"/>
  <c r="N5" i="32"/>
  <c r="J6" i="32"/>
  <c r="N6" i="32"/>
  <c r="N4" i="32"/>
  <c r="J11" i="32"/>
  <c r="N11" i="32"/>
  <c r="N12" i="32"/>
  <c r="H40" i="2"/>
  <c r="G40" i="2"/>
  <c r="H39" i="2"/>
  <c r="G39" i="2"/>
  <c r="AU38" i="28"/>
  <c r="AU37" i="28"/>
  <c r="BC38" i="28"/>
  <c r="BC37" i="28"/>
  <c r="AU38" i="2"/>
  <c r="AU37" i="2"/>
  <c r="W40" i="31"/>
  <c r="G40" i="31"/>
  <c r="G40" i="28"/>
  <c r="E11" i="32"/>
  <c r="E5" i="32"/>
  <c r="AI11" i="31"/>
  <c r="AJ11" i="31"/>
  <c r="AK11" i="31"/>
  <c r="AL11" i="31"/>
  <c r="AN11" i="31"/>
  <c r="AI25" i="31"/>
  <c r="AI9" i="31"/>
  <c r="AJ9" i="31"/>
  <c r="AK9" i="31"/>
  <c r="AL9" i="31"/>
  <c r="AN9" i="31"/>
  <c r="AI22" i="31"/>
  <c r="AI53" i="31"/>
  <c r="AO53" i="31"/>
  <c r="H8" i="33"/>
  <c r="G47" i="31"/>
  <c r="C52" i="31"/>
  <c r="W47" i="31"/>
  <c r="S52" i="31"/>
  <c r="AI10" i="31"/>
  <c r="AJ10" i="31"/>
  <c r="AK10" i="31"/>
  <c r="AL10" i="31"/>
  <c r="AN10" i="31"/>
  <c r="AI24" i="31"/>
  <c r="AI8" i="31"/>
  <c r="AJ8" i="31"/>
  <c r="AK8" i="31"/>
  <c r="AL8" i="31"/>
  <c r="AN8" i="31"/>
  <c r="AI21" i="31"/>
  <c r="AI52" i="31"/>
  <c r="AO52" i="31"/>
  <c r="H7" i="33"/>
  <c r="H10" i="33"/>
  <c r="G10" i="33"/>
  <c r="C10" i="33"/>
  <c r="E10" i="33"/>
  <c r="G46" i="30"/>
  <c r="C52" i="30"/>
  <c r="C51" i="30"/>
  <c r="O46" i="30"/>
  <c r="K52" i="30"/>
  <c r="K51" i="30"/>
  <c r="Q51" i="30"/>
  <c r="F7" i="33"/>
  <c r="F10" i="33"/>
  <c r="D10" i="33"/>
  <c r="I10" i="33"/>
  <c r="F8" i="33"/>
  <c r="H4" i="33"/>
  <c r="G4" i="33"/>
  <c r="F4" i="33"/>
  <c r="E4" i="33"/>
  <c r="D4" i="33"/>
  <c r="C4" i="33"/>
  <c r="C5" i="33"/>
  <c r="D5" i="33"/>
  <c r="E5" i="33"/>
  <c r="F5" i="33"/>
  <c r="G5" i="33"/>
  <c r="H5" i="33"/>
  <c r="I5" i="33"/>
  <c r="C11" i="33"/>
  <c r="C12" i="33"/>
  <c r="D11" i="33"/>
  <c r="D12" i="33"/>
  <c r="E11" i="33"/>
  <c r="E12" i="33"/>
  <c r="F11" i="33"/>
  <c r="F12" i="33"/>
  <c r="G11" i="33"/>
  <c r="G12" i="33"/>
  <c r="H11" i="33"/>
  <c r="H12" i="33"/>
  <c r="I12" i="33"/>
  <c r="I4" i="33"/>
  <c r="I11" i="33"/>
  <c r="F11" i="32"/>
  <c r="F10" i="32"/>
  <c r="E10" i="32"/>
  <c r="F9" i="32"/>
  <c r="E9" i="32"/>
  <c r="F8" i="32"/>
  <c r="E8" i="32"/>
  <c r="F7" i="32"/>
  <c r="E7" i="32"/>
  <c r="F6" i="32"/>
  <c r="E6" i="32"/>
  <c r="F5" i="32"/>
  <c r="L11" i="32"/>
  <c r="L10" i="32"/>
  <c r="K11" i="32"/>
  <c r="K10" i="32"/>
  <c r="L4" i="32"/>
  <c r="L7" i="32"/>
  <c r="L12" i="32"/>
  <c r="K4" i="32"/>
  <c r="K7" i="32"/>
  <c r="K12" i="32"/>
  <c r="F4" i="32"/>
  <c r="F12" i="32"/>
  <c r="E4" i="32"/>
  <c r="E12" i="32"/>
  <c r="J7" i="32"/>
  <c r="I7" i="32"/>
  <c r="C51" i="31"/>
  <c r="S51" i="31"/>
  <c r="AI51" i="31"/>
  <c r="AO51" i="31"/>
  <c r="X36" i="31"/>
  <c r="AF33" i="31"/>
  <c r="W36" i="31"/>
  <c r="Z8" i="31"/>
  <c r="AB6" i="31"/>
  <c r="AB5" i="31"/>
  <c r="AF24" i="31"/>
  <c r="AF27" i="31"/>
  <c r="AF25" i="31"/>
  <c r="AF30" i="31"/>
  <c r="AE24" i="31"/>
  <c r="AE27" i="31"/>
  <c r="AE25" i="31"/>
  <c r="AE30" i="31"/>
  <c r="AE33" i="31"/>
  <c r="S8" i="31"/>
  <c r="T8" i="31"/>
  <c r="U8" i="31"/>
  <c r="X8" i="31"/>
  <c r="S15" i="31"/>
  <c r="S10" i="31"/>
  <c r="T10" i="31"/>
  <c r="U10" i="31"/>
  <c r="X10" i="31"/>
  <c r="S18" i="31"/>
  <c r="W38" i="31"/>
  <c r="S9" i="31"/>
  <c r="T9" i="31"/>
  <c r="U9" i="31"/>
  <c r="X9" i="31"/>
  <c r="S16" i="31"/>
  <c r="S11" i="31"/>
  <c r="T11" i="31"/>
  <c r="U11" i="31"/>
  <c r="X11" i="31"/>
  <c r="S19" i="31"/>
  <c r="X38" i="31"/>
  <c r="S53" i="31"/>
  <c r="C8" i="31"/>
  <c r="D8" i="31"/>
  <c r="E8" i="31"/>
  <c r="H8" i="31"/>
  <c r="C15" i="31"/>
  <c r="C10" i="31"/>
  <c r="D10" i="31"/>
  <c r="E10" i="31"/>
  <c r="H10" i="31"/>
  <c r="C18" i="31"/>
  <c r="C9" i="31"/>
  <c r="D9" i="31"/>
  <c r="E9" i="31"/>
  <c r="H9" i="31"/>
  <c r="C16" i="31"/>
  <c r="C11" i="31"/>
  <c r="D11" i="31"/>
  <c r="E11" i="31"/>
  <c r="H11" i="31"/>
  <c r="C19" i="31"/>
  <c r="C53" i="31"/>
  <c r="BJ10" i="2"/>
  <c r="BI10" i="2"/>
  <c r="BH10" i="2"/>
  <c r="BG10" i="2"/>
  <c r="BJ8" i="2"/>
  <c r="BI8" i="2"/>
  <c r="BH8" i="2"/>
  <c r="BG8" i="2"/>
  <c r="AM35" i="31"/>
  <c r="AN35" i="31"/>
  <c r="AM36" i="31"/>
  <c r="AN36" i="31"/>
  <c r="AN37" i="31"/>
  <c r="AN38" i="31"/>
  <c r="AN41" i="31"/>
  <c r="AN45" i="31"/>
  <c r="AM34" i="31"/>
  <c r="AM37" i="31"/>
  <c r="AM38" i="31"/>
  <c r="AM41" i="31"/>
  <c r="AM43" i="31"/>
  <c r="AM45" i="31"/>
  <c r="AM39" i="31"/>
  <c r="AI29" i="31"/>
  <c r="AI28" i="31"/>
  <c r="AI27" i="31"/>
  <c r="AI23" i="31"/>
  <c r="AI20" i="31"/>
  <c r="BJ11" i="2"/>
  <c r="BI11" i="2"/>
  <c r="BH11" i="2"/>
  <c r="BG11" i="2"/>
  <c r="BJ9" i="2"/>
  <c r="BI9" i="2"/>
  <c r="BH9" i="2"/>
  <c r="BG9" i="2"/>
  <c r="BK35" i="2"/>
  <c r="BL35" i="2"/>
  <c r="BK36" i="2"/>
  <c r="BL36" i="2"/>
  <c r="BL37" i="2"/>
  <c r="BL38" i="2"/>
  <c r="BL41" i="2"/>
  <c r="BL11" i="2"/>
  <c r="BG25" i="2"/>
  <c r="BL45" i="2"/>
  <c r="BL9" i="2"/>
  <c r="BG22" i="2"/>
  <c r="BG53" i="2"/>
  <c r="BK34" i="2"/>
  <c r="BK37" i="2"/>
  <c r="BK38" i="2"/>
  <c r="BK41" i="2"/>
  <c r="BL10" i="2"/>
  <c r="BG24" i="2"/>
  <c r="BK43" i="2"/>
  <c r="BK45" i="2"/>
  <c r="BL8" i="2"/>
  <c r="BG21" i="2"/>
  <c r="BG52" i="2"/>
  <c r="BG51" i="2"/>
  <c r="BK39" i="2"/>
  <c r="BG29" i="2"/>
  <c r="BG28" i="2"/>
  <c r="BG27" i="2"/>
  <c r="BG23" i="2"/>
  <c r="BG20" i="2"/>
  <c r="G38" i="31"/>
  <c r="S8" i="28"/>
  <c r="L6" i="31"/>
  <c r="L5" i="31"/>
  <c r="X29" i="31"/>
  <c r="X30" i="31"/>
  <c r="X32" i="31"/>
  <c r="X34" i="31"/>
  <c r="X35" i="31"/>
  <c r="X42" i="31"/>
  <c r="X45" i="31"/>
  <c r="X41" i="31"/>
  <c r="X40" i="31"/>
  <c r="X47" i="31"/>
  <c r="W28" i="31"/>
  <c r="W29" i="31"/>
  <c r="W30" i="31"/>
  <c r="W32" i="31"/>
  <c r="W34" i="31"/>
  <c r="W35" i="31"/>
  <c r="W43" i="31"/>
  <c r="W42" i="31"/>
  <c r="W45" i="31"/>
  <c r="W44" i="31"/>
  <c r="W41" i="31"/>
  <c r="S23" i="31"/>
  <c r="S22" i="31"/>
  <c r="S21" i="31"/>
  <c r="S17" i="31"/>
  <c r="S14" i="31"/>
  <c r="J8" i="28"/>
  <c r="L5" i="28"/>
  <c r="P24" i="28"/>
  <c r="P27" i="28"/>
  <c r="L6" i="28"/>
  <c r="P25" i="28"/>
  <c r="P30" i="28"/>
  <c r="P33" i="28"/>
  <c r="H36" i="28"/>
  <c r="O24" i="28"/>
  <c r="O27" i="28"/>
  <c r="O25" i="28"/>
  <c r="O30" i="28"/>
  <c r="O33" i="28"/>
  <c r="G36" i="28"/>
  <c r="P24" i="31"/>
  <c r="P27" i="31"/>
  <c r="P25" i="31"/>
  <c r="P30" i="31"/>
  <c r="P33" i="31"/>
  <c r="H36" i="31"/>
  <c r="O24" i="31"/>
  <c r="O27" i="31"/>
  <c r="O25" i="31"/>
  <c r="O30" i="31"/>
  <c r="O33" i="31"/>
  <c r="G36" i="31"/>
  <c r="H29" i="31"/>
  <c r="H30" i="31"/>
  <c r="H32" i="31"/>
  <c r="H34" i="31"/>
  <c r="H35" i="31"/>
  <c r="H38" i="31"/>
  <c r="H42" i="31"/>
  <c r="H45" i="31"/>
  <c r="H41" i="31"/>
  <c r="H40" i="31"/>
  <c r="H47" i="31"/>
  <c r="G28" i="31"/>
  <c r="G29" i="31"/>
  <c r="G30" i="31"/>
  <c r="G32" i="31"/>
  <c r="G34" i="31"/>
  <c r="G35" i="31"/>
  <c r="G43" i="31"/>
  <c r="G42" i="31"/>
  <c r="G45" i="31"/>
  <c r="G44" i="31"/>
  <c r="G41" i="31"/>
  <c r="C23" i="31"/>
  <c r="C22" i="31"/>
  <c r="C21" i="31"/>
  <c r="C17" i="31"/>
  <c r="C14" i="31"/>
  <c r="Q53" i="30"/>
  <c r="Q52" i="30"/>
  <c r="K14" i="30"/>
  <c r="L14" i="30"/>
  <c r="M14" i="30"/>
  <c r="J5" i="30"/>
  <c r="N14" i="30"/>
  <c r="K19" i="30"/>
  <c r="P30" i="30"/>
  <c r="P31" i="30"/>
  <c r="P32" i="30"/>
  <c r="P33" i="30"/>
  <c r="P34" i="30"/>
  <c r="P35" i="30"/>
  <c r="M36" i="30"/>
  <c r="P36" i="30"/>
  <c r="P37" i="30"/>
  <c r="P38" i="30"/>
  <c r="P39" i="30"/>
  <c r="P40" i="30"/>
  <c r="P41" i="30"/>
  <c r="P42" i="30"/>
  <c r="P43" i="30"/>
  <c r="P44" i="30"/>
  <c r="P46" i="30"/>
  <c r="K53" i="30"/>
  <c r="K13" i="30"/>
  <c r="L13" i="30"/>
  <c r="M13" i="30"/>
  <c r="N13" i="30"/>
  <c r="K18" i="30"/>
  <c r="O30" i="30"/>
  <c r="O31" i="30"/>
  <c r="O32" i="30"/>
  <c r="O33" i="30"/>
  <c r="O34" i="30"/>
  <c r="O35" i="30"/>
  <c r="O36" i="30"/>
  <c r="O39" i="30"/>
  <c r="O40" i="30"/>
  <c r="O41" i="30"/>
  <c r="O42" i="30"/>
  <c r="O43" i="30"/>
  <c r="O44" i="30"/>
  <c r="O45" i="30"/>
  <c r="K17" i="30"/>
  <c r="C14" i="30"/>
  <c r="D14" i="30"/>
  <c r="E14" i="30"/>
  <c r="B5" i="30"/>
  <c r="F14" i="30"/>
  <c r="C19" i="30"/>
  <c r="H30" i="30"/>
  <c r="H31" i="30"/>
  <c r="H32" i="30"/>
  <c r="H33" i="30"/>
  <c r="H34" i="30"/>
  <c r="H35" i="30"/>
  <c r="E36" i="30"/>
  <c r="H36" i="30"/>
  <c r="H37" i="30"/>
  <c r="H38" i="30"/>
  <c r="H39" i="30"/>
  <c r="H40" i="30"/>
  <c r="H41" i="30"/>
  <c r="H42" i="30"/>
  <c r="H43" i="30"/>
  <c r="H44" i="30"/>
  <c r="H46" i="30"/>
  <c r="C53" i="30"/>
  <c r="C13" i="30"/>
  <c r="D13" i="30"/>
  <c r="E13" i="30"/>
  <c r="F13" i="30"/>
  <c r="C18" i="30"/>
  <c r="G30" i="30"/>
  <c r="G31" i="30"/>
  <c r="G32" i="30"/>
  <c r="G33" i="30"/>
  <c r="G34" i="30"/>
  <c r="G35" i="30"/>
  <c r="G36" i="30"/>
  <c r="G39" i="30"/>
  <c r="G40" i="30"/>
  <c r="G41" i="30"/>
  <c r="G42" i="30"/>
  <c r="G43" i="30"/>
  <c r="G44" i="30"/>
  <c r="G45" i="30"/>
  <c r="C17" i="30"/>
  <c r="H38" i="28"/>
  <c r="H9" i="28"/>
  <c r="C16" i="28"/>
  <c r="H11" i="28"/>
  <c r="C19" i="28"/>
  <c r="C53" i="28"/>
  <c r="BH3" i="28"/>
  <c r="G38" i="28"/>
  <c r="H8" i="28"/>
  <c r="C15" i="28"/>
  <c r="H10" i="28"/>
  <c r="C18" i="28"/>
  <c r="G47" i="28"/>
  <c r="C52" i="28"/>
  <c r="BG3" i="28"/>
  <c r="BI3" i="28"/>
  <c r="S9" i="28"/>
  <c r="T9" i="28"/>
  <c r="U9" i="28"/>
  <c r="X9" i="28"/>
  <c r="S26" i="28"/>
  <c r="S15" i="28"/>
  <c r="T15" i="28"/>
  <c r="X30" i="28"/>
  <c r="X40" i="28"/>
  <c r="S53" i="28"/>
  <c r="BH4" i="28"/>
  <c r="T8" i="28"/>
  <c r="U8" i="28"/>
  <c r="X8" i="28"/>
  <c r="S25" i="28"/>
  <c r="S14" i="28"/>
  <c r="T14" i="28"/>
  <c r="W30" i="28"/>
  <c r="W40" i="28"/>
  <c r="S52" i="28"/>
  <c r="BG4" i="28"/>
  <c r="BI4" i="28"/>
  <c r="BH5" i="28"/>
  <c r="AA8" i="28"/>
  <c r="AF8" i="28"/>
  <c r="AA25" i="28"/>
  <c r="AA52" i="28"/>
  <c r="BG5" i="28"/>
  <c r="BI5" i="28"/>
  <c r="BH6" i="28"/>
  <c r="AI8" i="28"/>
  <c r="AN8" i="28"/>
  <c r="AI25" i="28"/>
  <c r="AI52" i="28"/>
  <c r="BG6" i="28"/>
  <c r="BI6" i="28"/>
  <c r="AQ14" i="28"/>
  <c r="AR14" i="28"/>
  <c r="AS14" i="28"/>
  <c r="AT14" i="28"/>
  <c r="AQ19" i="28"/>
  <c r="AQ53" i="28"/>
  <c r="BH7" i="28"/>
  <c r="AQ13" i="28"/>
  <c r="AR13" i="28"/>
  <c r="AS13" i="28"/>
  <c r="AT13" i="28"/>
  <c r="AQ18" i="28"/>
  <c r="AU46" i="28"/>
  <c r="AQ52" i="28"/>
  <c r="BG7" i="28"/>
  <c r="BI7" i="28"/>
  <c r="BH8" i="28"/>
  <c r="BC46" i="28"/>
  <c r="AY52" i="28"/>
  <c r="BG8" i="28"/>
  <c r="BI8" i="28"/>
  <c r="BI9" i="28"/>
  <c r="BH9" i="28"/>
  <c r="BG9" i="28"/>
  <c r="BF8" i="28"/>
  <c r="BF7" i="28"/>
  <c r="BF6" i="28"/>
  <c r="BF5" i="28"/>
  <c r="BF4" i="28"/>
  <c r="BF3" i="28"/>
  <c r="BB36" i="28"/>
  <c r="BA36" i="28"/>
  <c r="AS36" i="28"/>
  <c r="AY13" i="28"/>
  <c r="AQ14" i="2"/>
  <c r="AQ13" i="2"/>
  <c r="AX5" i="28"/>
  <c r="AY14" i="28"/>
  <c r="AZ14" i="28"/>
  <c r="BA14" i="28"/>
  <c r="BB14" i="28"/>
  <c r="AY19" i="28"/>
  <c r="BD30" i="28"/>
  <c r="BD31" i="28"/>
  <c r="BD32" i="28"/>
  <c r="BD33" i="28"/>
  <c r="BD34" i="28"/>
  <c r="BD35" i="28"/>
  <c r="BD36" i="28"/>
  <c r="BD37" i="28"/>
  <c r="BD38" i="28"/>
  <c r="BD39" i="28"/>
  <c r="BD40" i="28"/>
  <c r="BD41" i="28"/>
  <c r="BD42" i="28"/>
  <c r="BD43" i="28"/>
  <c r="BD44" i="28"/>
  <c r="BD46" i="28"/>
  <c r="AY53" i="28"/>
  <c r="AZ13" i="28"/>
  <c r="BA13" i="28"/>
  <c r="BB13" i="28"/>
  <c r="AY18" i="28"/>
  <c r="BC30" i="28"/>
  <c r="BC31" i="28"/>
  <c r="BC32" i="28"/>
  <c r="BC33" i="28"/>
  <c r="BC34" i="28"/>
  <c r="BC35" i="28"/>
  <c r="BC36" i="28"/>
  <c r="BC39" i="28"/>
  <c r="BC40" i="28"/>
  <c r="BC41" i="28"/>
  <c r="BC42" i="28"/>
  <c r="BC43" i="28"/>
  <c r="BC44" i="28"/>
  <c r="BC45" i="28"/>
  <c r="AY51" i="28"/>
  <c r="AY17" i="28"/>
  <c r="AP5" i="28"/>
  <c r="AV30" i="28"/>
  <c r="AV31" i="28"/>
  <c r="AV32" i="28"/>
  <c r="AV33" i="28"/>
  <c r="AV34" i="28"/>
  <c r="AV35" i="28"/>
  <c r="AV36" i="28"/>
  <c r="AV37" i="28"/>
  <c r="AV38" i="28"/>
  <c r="AV39" i="28"/>
  <c r="AV40" i="28"/>
  <c r="AV41" i="28"/>
  <c r="AV42" i="28"/>
  <c r="AV43" i="28"/>
  <c r="AV44" i="28"/>
  <c r="AV46" i="28"/>
  <c r="AU30" i="28"/>
  <c r="AU31" i="28"/>
  <c r="AU32" i="28"/>
  <c r="AU33" i="28"/>
  <c r="AU34" i="28"/>
  <c r="AU35" i="28"/>
  <c r="AU36" i="28"/>
  <c r="AU39" i="28"/>
  <c r="AU40" i="28"/>
  <c r="AU41" i="28"/>
  <c r="AU42" i="28"/>
  <c r="AU43" i="28"/>
  <c r="AU44" i="28"/>
  <c r="AU45" i="28"/>
  <c r="AQ51" i="28"/>
  <c r="AQ17" i="28"/>
  <c r="AI9" i="28"/>
  <c r="AJ9" i="28"/>
  <c r="AK9" i="28"/>
  <c r="AN9" i="28"/>
  <c r="AI26" i="28"/>
  <c r="AI15" i="28"/>
  <c r="AJ15" i="28"/>
  <c r="AL15" i="28"/>
  <c r="AK15" i="28"/>
  <c r="AN30" i="28"/>
  <c r="AN40" i="28"/>
  <c r="AI53" i="28"/>
  <c r="AJ8" i="28"/>
  <c r="AK8" i="28"/>
  <c r="AI14" i="28"/>
  <c r="AJ14" i="28"/>
  <c r="AL14" i="28"/>
  <c r="AK14" i="28"/>
  <c r="AM30" i="28"/>
  <c r="AM40" i="28"/>
  <c r="AI51" i="28"/>
  <c r="AI24" i="28"/>
  <c r="AA9" i="28"/>
  <c r="AB9" i="28"/>
  <c r="AC9" i="28"/>
  <c r="AF9" i="28"/>
  <c r="AA26" i="28"/>
  <c r="AA15" i="28"/>
  <c r="AB15" i="28"/>
  <c r="AF30" i="28"/>
  <c r="AF40" i="28"/>
  <c r="AA53" i="28"/>
  <c r="AB8" i="28"/>
  <c r="AC8" i="28"/>
  <c r="AA14" i="28"/>
  <c r="AB14" i="28"/>
  <c r="AE30" i="28"/>
  <c r="AE40" i="28"/>
  <c r="AA51" i="28"/>
  <c r="AA24" i="28"/>
  <c r="AD15" i="28"/>
  <c r="AC15" i="28"/>
  <c r="AD14" i="28"/>
  <c r="AC14" i="28"/>
  <c r="S51" i="28"/>
  <c r="S24" i="28"/>
  <c r="V15" i="28"/>
  <c r="U15" i="28"/>
  <c r="V14" i="28"/>
  <c r="U14" i="28"/>
  <c r="C9" i="28"/>
  <c r="D9" i="28"/>
  <c r="E9" i="28"/>
  <c r="H29" i="28"/>
  <c r="H30" i="28"/>
  <c r="H32" i="28"/>
  <c r="H34" i="28"/>
  <c r="H35" i="28"/>
  <c r="C11" i="28"/>
  <c r="D11" i="28"/>
  <c r="E11" i="28"/>
  <c r="H42" i="28"/>
  <c r="H45" i="28"/>
  <c r="H41" i="28"/>
  <c r="H40" i="28"/>
  <c r="H47" i="28"/>
  <c r="C8" i="28"/>
  <c r="D8" i="28"/>
  <c r="E8" i="28"/>
  <c r="G28" i="28"/>
  <c r="G29" i="28"/>
  <c r="G30" i="28"/>
  <c r="G32" i="28"/>
  <c r="G34" i="28"/>
  <c r="G35" i="28"/>
  <c r="C10" i="28"/>
  <c r="D10" i="28"/>
  <c r="E10" i="28"/>
  <c r="G43" i="28"/>
  <c r="G42" i="28"/>
  <c r="G45" i="28"/>
  <c r="G44" i="28"/>
  <c r="G41" i="28"/>
  <c r="C51" i="28"/>
  <c r="C23" i="28"/>
  <c r="C22" i="28"/>
  <c r="C21" i="28"/>
  <c r="C17" i="28"/>
  <c r="C14" i="28"/>
  <c r="E158" i="3"/>
  <c r="AY12" i="2"/>
  <c r="AZ12" i="2"/>
  <c r="BD12" i="2"/>
  <c r="BD19" i="2"/>
  <c r="E162" i="3"/>
  <c r="E160" i="3"/>
  <c r="AY8" i="2"/>
  <c r="AZ8" i="2"/>
  <c r="BD8" i="2"/>
  <c r="AY9" i="2"/>
  <c r="AZ9" i="2"/>
  <c r="BD9" i="2"/>
  <c r="AY10" i="2"/>
  <c r="AZ10" i="2"/>
  <c r="BD10" i="2"/>
  <c r="AY25" i="2"/>
  <c r="AY11" i="2"/>
  <c r="AZ11" i="2"/>
  <c r="BD11" i="2"/>
  <c r="AY13" i="2"/>
  <c r="AZ13" i="2"/>
  <c r="BD13" i="2"/>
  <c r="AY28" i="2"/>
  <c r="C8" i="2"/>
  <c r="D8" i="2"/>
  <c r="E8" i="2"/>
  <c r="H8" i="2"/>
  <c r="C9" i="2"/>
  <c r="D9" i="2"/>
  <c r="E9" i="2"/>
  <c r="H9" i="2"/>
  <c r="C10" i="2"/>
  <c r="D10" i="2"/>
  <c r="E10" i="2"/>
  <c r="H10" i="2"/>
  <c r="C25" i="2"/>
  <c r="C12" i="2"/>
  <c r="C11" i="2"/>
  <c r="D11" i="2"/>
  <c r="E11" i="2"/>
  <c r="H11" i="2"/>
  <c r="D12" i="2"/>
  <c r="E12" i="2"/>
  <c r="H12" i="2"/>
  <c r="C13" i="2"/>
  <c r="D13" i="2"/>
  <c r="E13" i="2"/>
  <c r="H13" i="2"/>
  <c r="C28" i="2"/>
  <c r="C32" i="2"/>
  <c r="G37" i="2"/>
  <c r="G38" i="2"/>
  <c r="G41" i="2"/>
  <c r="G42" i="2"/>
  <c r="G43" i="2"/>
  <c r="G44" i="2"/>
  <c r="G47" i="2"/>
  <c r="G52" i="2"/>
  <c r="C24" i="2"/>
  <c r="C26" i="2"/>
  <c r="C27" i="2"/>
  <c r="C29" i="2"/>
  <c r="C33" i="2"/>
  <c r="H37" i="2"/>
  <c r="H38" i="2"/>
  <c r="H41" i="2"/>
  <c r="H42" i="2"/>
  <c r="H43" i="2"/>
  <c r="H44" i="2"/>
  <c r="H47" i="2"/>
  <c r="G53" i="2"/>
  <c r="G51" i="2"/>
  <c r="G22" i="2"/>
  <c r="G28" i="2"/>
  <c r="G55" i="2"/>
  <c r="AY24" i="2"/>
  <c r="AY26" i="2"/>
  <c r="AY27" i="2"/>
  <c r="AY29" i="2"/>
  <c r="BD25" i="2"/>
  <c r="BD26" i="2"/>
  <c r="AR14" i="2"/>
  <c r="AS14" i="2"/>
  <c r="AT14" i="2"/>
  <c r="AQ19" i="2"/>
  <c r="AQ53" i="2"/>
  <c r="AA9" i="2"/>
  <c r="AB9" i="2"/>
  <c r="AC9" i="2"/>
  <c r="AF9" i="2"/>
  <c r="AA16" i="2"/>
  <c r="AA11" i="2"/>
  <c r="AB11" i="2"/>
  <c r="AC11" i="2"/>
  <c r="AF11" i="2"/>
  <c r="AA19" i="2"/>
  <c r="AA53" i="2"/>
  <c r="S9" i="2"/>
  <c r="T9" i="2"/>
  <c r="U9" i="2"/>
  <c r="X9" i="2"/>
  <c r="S26" i="2"/>
  <c r="S15" i="2"/>
  <c r="T15" i="2"/>
  <c r="X30" i="2"/>
  <c r="X40" i="2"/>
  <c r="S53" i="2"/>
  <c r="K11" i="2"/>
  <c r="L11" i="2"/>
  <c r="M11" i="2"/>
  <c r="N11" i="2"/>
  <c r="P11" i="2"/>
  <c r="K25" i="2"/>
  <c r="K9" i="2"/>
  <c r="L9" i="2"/>
  <c r="M9" i="2"/>
  <c r="N9" i="2"/>
  <c r="P9" i="2"/>
  <c r="K22" i="2"/>
  <c r="K53" i="2"/>
  <c r="C53" i="2"/>
  <c r="AR13" i="2"/>
  <c r="AS13" i="2"/>
  <c r="AT13" i="2"/>
  <c r="AQ18" i="2"/>
  <c r="AU46" i="2"/>
  <c r="AQ52" i="2"/>
  <c r="AA8" i="2"/>
  <c r="AB8" i="2"/>
  <c r="AC8" i="2"/>
  <c r="AF8" i="2"/>
  <c r="AA15" i="2"/>
  <c r="AA10" i="2"/>
  <c r="AB10" i="2"/>
  <c r="AC10" i="2"/>
  <c r="AF10" i="2"/>
  <c r="AA18" i="2"/>
  <c r="AE47" i="2"/>
  <c r="AA52" i="2"/>
  <c r="S8" i="2"/>
  <c r="T8" i="2"/>
  <c r="U8" i="2"/>
  <c r="X8" i="2"/>
  <c r="S25" i="2"/>
  <c r="S14" i="2"/>
  <c r="T14" i="2"/>
  <c r="W30" i="2"/>
  <c r="W40" i="2"/>
  <c r="S52" i="2"/>
  <c r="AQ51" i="2"/>
  <c r="AA51" i="2"/>
  <c r="S51" i="2"/>
  <c r="AF47" i="2"/>
  <c r="AV46" i="2"/>
  <c r="AU45" i="2"/>
  <c r="AF45" i="2"/>
  <c r="AE45" i="2"/>
  <c r="P45" i="2"/>
  <c r="O45" i="2"/>
  <c r="AV44" i="2"/>
  <c r="AU44" i="2"/>
  <c r="AE44" i="2"/>
  <c r="BD37" i="2"/>
  <c r="BD38" i="2"/>
  <c r="BD39" i="2"/>
  <c r="BD40" i="2"/>
  <c r="BD43" i="2"/>
  <c r="BC37" i="2"/>
  <c r="BC38" i="2"/>
  <c r="BC39" i="2"/>
  <c r="BC40" i="2"/>
  <c r="BC43" i="2"/>
  <c r="AV43" i="2"/>
  <c r="AU43" i="2"/>
  <c r="AE43" i="2"/>
  <c r="O43" i="2"/>
  <c r="AV42" i="2"/>
  <c r="AU42" i="2"/>
  <c r="AF42" i="2"/>
  <c r="AE42" i="2"/>
  <c r="BC41" i="2"/>
  <c r="AV41" i="2"/>
  <c r="AU41" i="2"/>
  <c r="AF41" i="2"/>
  <c r="AE41" i="2"/>
  <c r="P41" i="2"/>
  <c r="O41" i="2"/>
  <c r="AV40" i="2"/>
  <c r="AU40" i="2"/>
  <c r="AF40" i="2"/>
  <c r="AV39" i="2"/>
  <c r="AU39" i="2"/>
  <c r="O39" i="2"/>
  <c r="AV38" i="2"/>
  <c r="AF38" i="2"/>
  <c r="AE38" i="2"/>
  <c r="P38" i="2"/>
  <c r="O38" i="2"/>
  <c r="AV37" i="2"/>
  <c r="P37" i="2"/>
  <c r="O37" i="2"/>
  <c r="AV36" i="2"/>
  <c r="AU36" i="2"/>
  <c r="P36" i="2"/>
  <c r="O36" i="2"/>
  <c r="AV35" i="2"/>
  <c r="AU35" i="2"/>
  <c r="AF35" i="2"/>
  <c r="AE35" i="2"/>
  <c r="P35" i="2"/>
  <c r="O35" i="2"/>
  <c r="AV34" i="2"/>
  <c r="AU34" i="2"/>
  <c r="AF34" i="2"/>
  <c r="AE34" i="2"/>
  <c r="O34" i="2"/>
  <c r="AV33" i="2"/>
  <c r="AU33" i="2"/>
  <c r="AN33" i="2"/>
  <c r="AM33" i="2"/>
  <c r="AV32" i="2"/>
  <c r="AU32" i="2"/>
  <c r="AF32" i="2"/>
  <c r="AE32" i="2"/>
  <c r="AV31" i="2"/>
  <c r="AU31" i="2"/>
  <c r="C31" i="2"/>
  <c r="AV30" i="2"/>
  <c r="AU30" i="2"/>
  <c r="AN30" i="2"/>
  <c r="AM30" i="2"/>
  <c r="AF30" i="2"/>
  <c r="AE30" i="2"/>
  <c r="AF29" i="2"/>
  <c r="AE29" i="2"/>
  <c r="K29" i="2"/>
  <c r="AE28" i="2"/>
  <c r="AN27" i="2"/>
  <c r="AM27" i="2"/>
  <c r="AN25" i="2"/>
  <c r="AM25" i="2"/>
  <c r="AN24" i="2"/>
  <c r="AM24" i="2"/>
  <c r="S24" i="2"/>
  <c r="AA23" i="2"/>
  <c r="BC22" i="2"/>
  <c r="AY22" i="2"/>
  <c r="AA22" i="2"/>
  <c r="C22" i="2"/>
  <c r="C20" i="2"/>
  <c r="D20" i="2"/>
  <c r="E20" i="2"/>
  <c r="F20" i="2"/>
  <c r="G20" i="2"/>
  <c r="G25" i="2"/>
  <c r="G54" i="2"/>
  <c r="C52" i="2"/>
  <c r="C51" i="2"/>
  <c r="AA21" i="2"/>
  <c r="AZ19" i="2"/>
  <c r="BD18" i="2"/>
  <c r="AZ18" i="2"/>
  <c r="BD17" i="2"/>
  <c r="AZ17" i="2"/>
  <c r="AQ17" i="2"/>
  <c r="AA17" i="2"/>
  <c r="BD16" i="2"/>
  <c r="AZ16" i="2"/>
  <c r="V15" i="2"/>
  <c r="U15" i="2"/>
  <c r="AA14" i="2"/>
  <c r="V14" i="2"/>
  <c r="U14" i="2"/>
  <c r="N10" i="2"/>
  <c r="M10" i="2"/>
  <c r="L10" i="2"/>
  <c r="K10" i="2"/>
  <c r="N8" i="2"/>
  <c r="M8" i="2"/>
  <c r="L8" i="2"/>
  <c r="K8" i="2"/>
  <c r="AP5" i="2"/>
  <c r="C345" i="3"/>
  <c r="C344" i="3"/>
  <c r="C337" i="3"/>
  <c r="C336" i="3"/>
  <c r="C329" i="3"/>
  <c r="C328" i="3"/>
  <c r="C321" i="3"/>
  <c r="C320" i="3"/>
  <c r="C313" i="3"/>
  <c r="C312" i="3"/>
  <c r="C305" i="3"/>
  <c r="C304" i="3"/>
  <c r="C297" i="3"/>
  <c r="C296" i="3"/>
  <c r="C289" i="3"/>
  <c r="C288" i="3"/>
  <c r="C281" i="3"/>
  <c r="C280" i="3"/>
  <c r="C273" i="3"/>
  <c r="C272" i="3"/>
  <c r="E161" i="3"/>
  <c r="E159" i="3"/>
  <c r="P8" i="2"/>
  <c r="K21" i="2"/>
  <c r="K20" i="2"/>
  <c r="P10" i="2"/>
  <c r="K24" i="2"/>
  <c r="K23" i="2"/>
  <c r="K28" i="2"/>
  <c r="K27" i="2"/>
  <c r="K52" i="2"/>
  <c r="K51" i="2"/>
  <c r="BC24" i="2"/>
  <c r="AY31" i="2"/>
  <c r="BC25" i="2"/>
  <c r="AY32" i="2"/>
  <c r="BC52" i="2"/>
  <c r="BC26" i="2"/>
  <c r="AY33" i="2"/>
  <c r="BC53" i="2"/>
  <c r="BC51" i="2"/>
  <c r="BC28" i="2"/>
  <c r="BC54" i="2"/>
  <c r="BC29" i="2"/>
  <c r="BC55" i="2"/>
  <c r="AY52" i="2"/>
  <c r="AY53" i="2"/>
  <c r="AY51" i="2"/>
</calcChain>
</file>

<file path=xl/comments1.xml><?xml version="1.0" encoding="utf-8"?>
<comments xmlns="http://schemas.openxmlformats.org/spreadsheetml/2006/main">
  <authors>
    <author>Andrew W. Ladage</author>
  </authors>
  <commentList>
    <comment ref="C7" authorId="0" shapeId="0">
      <text>
        <r>
          <rPr>
            <b/>
            <sz val="9"/>
            <color indexed="81"/>
            <rFont val="Tahoma"/>
            <charset val="1"/>
          </rPr>
          <t>Andrew W. Ladage:</t>
        </r>
        <r>
          <rPr>
            <sz val="9"/>
            <color indexed="81"/>
            <rFont val="Tahoma"/>
            <charset val="1"/>
          </rPr>
          <t xml:space="preserve">
CMF for Diamond Interchange to DDI: http://www.cmfclearinghouse.org/detail.cfm?facid=9104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Andrew W. Ladage:</t>
        </r>
        <r>
          <rPr>
            <sz val="9"/>
            <color indexed="81"/>
            <rFont val="Tahoma"/>
            <charset val="1"/>
          </rPr>
          <t xml:space="preserve">
CMF for Diamond Interchange to DDI: http://www.cmfclearinghouse.org/detail.cfm?facid=9104</t>
        </r>
      </text>
    </comment>
    <comment ref="E7" authorId="0" shapeId="0">
      <text>
        <r>
          <rPr>
            <b/>
            <sz val="9"/>
            <color indexed="81"/>
            <rFont val="Tahoma"/>
            <charset val="1"/>
          </rPr>
          <t>Andrew W. Ladage:</t>
        </r>
        <r>
          <rPr>
            <sz val="9"/>
            <color indexed="81"/>
            <rFont val="Tahoma"/>
            <charset val="1"/>
          </rPr>
          <t xml:space="preserve">
CMF for Diamond Interchange to DDI: http://www.cmfclearinghouse.org/detail.cfm?facid=9104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Andrew W. Ladage:</t>
        </r>
        <r>
          <rPr>
            <sz val="9"/>
            <color indexed="81"/>
            <rFont val="Tahoma"/>
            <family val="2"/>
          </rPr>
          <t xml:space="preserve">
CMF for Diamond Interchange to DDI: http://www.cmfclearinghouse.org/detail.cfm?facid=9104</t>
        </r>
      </text>
    </comment>
    <comment ref="C8" authorId="0" shapeId="0">
      <text>
        <r>
          <rPr>
            <b/>
            <sz val="9"/>
            <color indexed="81"/>
            <rFont val="Tahoma"/>
            <charset val="1"/>
          </rPr>
          <t>Andrew W. Ladage:</t>
        </r>
        <r>
          <rPr>
            <sz val="9"/>
            <color indexed="81"/>
            <rFont val="Tahoma"/>
            <charset val="1"/>
          </rPr>
          <t xml:space="preserve">
CMF for Diamond Interchange to DDI: http://www.cmfclearinghouse.org/detail.cfm?facid=9104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Andrew W. Ladage:</t>
        </r>
        <r>
          <rPr>
            <sz val="9"/>
            <color indexed="81"/>
            <rFont val="Tahoma"/>
            <charset val="1"/>
          </rPr>
          <t xml:space="preserve">
CMF for Diamond Interchange to DDI: http://www.cmfclearinghouse.org/detail.cfm?facid=9104</t>
        </r>
      </text>
    </comment>
    <comment ref="E8" authorId="0" shapeId="0">
      <text>
        <r>
          <rPr>
            <b/>
            <sz val="9"/>
            <color indexed="81"/>
            <rFont val="Tahoma"/>
            <charset val="1"/>
          </rPr>
          <t>Andrew W. Ladage:</t>
        </r>
        <r>
          <rPr>
            <sz val="9"/>
            <color indexed="81"/>
            <rFont val="Tahoma"/>
            <charset val="1"/>
          </rPr>
          <t xml:space="preserve">
CMF for Diamond Interchange to DDI: http://www.cmfclearinghouse.org/detail.cfm?facid=9104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Andrew W. Ladage:</t>
        </r>
        <r>
          <rPr>
            <sz val="9"/>
            <color indexed="81"/>
            <rFont val="Tahoma"/>
            <family val="2"/>
          </rPr>
          <t xml:space="preserve">
CMF for Diamond Interchange to DDI: http://www.cmfclearinghouse.org/detail.cfm?facid=9104</t>
        </r>
      </text>
    </comment>
  </commentList>
</comments>
</file>

<file path=xl/sharedStrings.xml><?xml version="1.0" encoding="utf-8"?>
<sst xmlns="http://schemas.openxmlformats.org/spreadsheetml/2006/main" count="1711" uniqueCount="409">
  <si>
    <t>Equation</t>
  </si>
  <si>
    <t>Multile Vehicle Total</t>
  </si>
  <si>
    <t>Multiple Vehicle FI</t>
  </si>
  <si>
    <t>Multiple Vehicle PDO</t>
  </si>
  <si>
    <t>Single Vehicle Total</t>
  </si>
  <si>
    <t>Single Vehicle FI</t>
  </si>
  <si>
    <t>Single Vehicle PDO</t>
  </si>
  <si>
    <t>b</t>
  </si>
  <si>
    <t>a</t>
  </si>
  <si>
    <t>c</t>
  </si>
  <si>
    <t>Intersection Type</t>
  </si>
  <si>
    <t>Intersection Type Drop Down</t>
  </si>
  <si>
    <t>Intercept Look Up</t>
  </si>
  <si>
    <t>Multiple (a)</t>
  </si>
  <si>
    <t>Multiple (b)</t>
  </si>
  <si>
    <t>Multiple (c)</t>
  </si>
  <si>
    <t>Single (a)</t>
  </si>
  <si>
    <t>Single (b)</t>
  </si>
  <si>
    <t>Single (c)</t>
  </si>
  <si>
    <t>Total</t>
  </si>
  <si>
    <t>FI</t>
  </si>
  <si>
    <t>PDO</t>
  </si>
  <si>
    <t>Multiple Vehicle Total</t>
  </si>
  <si>
    <t>1 (3-Leg, Unsignalized)</t>
  </si>
  <si>
    <t>2 (3-Leg Signalized)</t>
  </si>
  <si>
    <t>3 (4-Leg Unsignalized)</t>
  </si>
  <si>
    <t>4 (4-Leg Signalized)</t>
  </si>
  <si>
    <r>
      <t>f</t>
    </r>
    <r>
      <rPr>
        <sz val="8"/>
        <color theme="1"/>
        <rFont val="Calibri"/>
        <family val="2"/>
        <scheme val="minor"/>
      </rPr>
      <t>bisv</t>
    </r>
  </si>
  <si>
    <t>Ramp Segment</t>
  </si>
  <si>
    <r>
      <t>N=exp(a+b*ln(AADT</t>
    </r>
    <r>
      <rPr>
        <sz val="9"/>
        <color theme="1"/>
        <rFont val="Calibri"/>
        <family val="2"/>
        <scheme val="minor"/>
      </rPr>
      <t>maj</t>
    </r>
    <r>
      <rPr>
        <sz val="11"/>
        <color theme="1"/>
        <rFont val="Calibri"/>
        <family val="2"/>
        <scheme val="minor"/>
      </rPr>
      <t>)+c*ln(AADT</t>
    </r>
    <r>
      <rPr>
        <sz val="9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)</t>
    </r>
  </si>
  <si>
    <r>
      <t>AADT</t>
    </r>
    <r>
      <rPr>
        <b/>
        <sz val="9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=</t>
    </r>
  </si>
  <si>
    <t>Ramp Type</t>
  </si>
  <si>
    <t>3 (2-Lane Entrance)</t>
  </si>
  <si>
    <t>Multiple (d)</t>
  </si>
  <si>
    <t>Single (d)</t>
  </si>
  <si>
    <t>Ramp Look Up</t>
  </si>
  <si>
    <t>Ramp Drop Down</t>
  </si>
  <si>
    <r>
      <t>AADT</t>
    </r>
    <r>
      <rPr>
        <b/>
        <sz val="9"/>
        <color theme="1"/>
        <rFont val="Calibri"/>
        <family val="2"/>
        <scheme val="minor"/>
      </rPr>
      <t>maj</t>
    </r>
    <r>
      <rPr>
        <b/>
        <sz val="11"/>
        <color theme="1"/>
        <rFont val="Calibri"/>
        <family val="2"/>
        <scheme val="minor"/>
      </rPr>
      <t>=</t>
    </r>
  </si>
  <si>
    <r>
      <t>AADT</t>
    </r>
    <r>
      <rPr>
        <b/>
        <sz val="9"/>
        <color theme="1"/>
        <rFont val="Calibri"/>
        <family val="2"/>
        <scheme val="minor"/>
      </rPr>
      <t>min</t>
    </r>
    <r>
      <rPr>
        <b/>
        <sz val="11"/>
        <color theme="1"/>
        <rFont val="Calibri"/>
        <family val="2"/>
        <scheme val="minor"/>
      </rPr>
      <t>=</t>
    </r>
  </si>
  <si>
    <t>d</t>
  </si>
  <si>
    <r>
      <t>L</t>
    </r>
    <r>
      <rPr>
        <sz val="9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=</t>
    </r>
  </si>
  <si>
    <r>
      <t>N=L</t>
    </r>
    <r>
      <rPr>
        <sz val="8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*exp(a+b*ln(c*AADT</t>
    </r>
    <r>
      <rPr>
        <sz val="9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)+d(c*AADT</t>
    </r>
    <r>
      <rPr>
        <sz val="9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))</t>
    </r>
  </si>
  <si>
    <t>TABLE 12-10</t>
  </si>
  <si>
    <t>TABLE 12-12</t>
  </si>
  <si>
    <t>TABLE 19-5</t>
  </si>
  <si>
    <t>TABLE 19-8</t>
  </si>
  <si>
    <t>Crash Modification Factor</t>
  </si>
  <si>
    <t>Ramp Speed Change Lane (Merge or Diverge)</t>
  </si>
  <si>
    <r>
      <t>N=L</t>
    </r>
    <r>
      <rPr>
        <sz val="9"/>
        <color theme="1"/>
        <rFont val="Calibri"/>
        <family val="2"/>
        <scheme val="minor"/>
      </rPr>
      <t>en</t>
    </r>
    <r>
      <rPr>
        <sz val="11"/>
        <color theme="1"/>
        <rFont val="Calibri"/>
        <family val="2"/>
        <scheme val="minor"/>
      </rPr>
      <t>*exp(a+b*ln(c*AADT</t>
    </r>
    <r>
      <rPr>
        <sz val="9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</si>
  <si>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b/>
        <sz val="9"/>
        <color theme="1"/>
        <rFont val="Calibri"/>
        <family val="2"/>
        <scheme val="minor"/>
      </rPr>
      <t>en</t>
    </r>
    <r>
      <rPr>
        <sz val="11"/>
        <color theme="1"/>
        <rFont val="Calibri"/>
        <family val="2"/>
        <scheme val="minor"/>
      </rPr>
      <t>=</t>
    </r>
  </si>
  <si>
    <r>
      <t>AADT</t>
    </r>
    <r>
      <rPr>
        <b/>
        <sz val="9"/>
        <color theme="1"/>
        <rFont val="Calibri"/>
        <family val="2"/>
        <scheme val="minor"/>
      </rPr>
      <t>fs</t>
    </r>
    <r>
      <rPr>
        <b/>
        <sz val="11"/>
        <color theme="1"/>
        <rFont val="Calibri"/>
        <family val="2"/>
        <scheme val="minor"/>
      </rPr>
      <t>=</t>
    </r>
  </si>
  <si>
    <t>Speed Change Lane</t>
  </si>
  <si>
    <t>Speed Change Drop Down</t>
  </si>
  <si>
    <t>Speed Change Look Up</t>
  </si>
  <si>
    <t>(b)</t>
  </si>
  <si>
    <t>(c)</t>
  </si>
  <si>
    <t>(a)</t>
  </si>
  <si>
    <t>TABLE 18-9 &amp; 18-11</t>
  </si>
  <si>
    <t>EQN 18-20 &amp; 18-22</t>
  </si>
  <si>
    <t>EQN 19-20 &amp; 19-24</t>
  </si>
  <si>
    <t>EQN 12-21 &amp; 12-24</t>
  </si>
  <si>
    <t>1 (Merge, 4 Through Lanes)</t>
  </si>
  <si>
    <t>2 (Merge, 6 Through Lanes)</t>
  </si>
  <si>
    <t>3 (Diverge, 4 Through Lanes)</t>
  </si>
  <si>
    <t>Freeway Segment</t>
  </si>
  <si>
    <r>
      <t>L</t>
    </r>
    <r>
      <rPr>
        <b/>
        <sz val="9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=</t>
    </r>
  </si>
  <si>
    <t>Number of Through Lanes</t>
  </si>
  <si>
    <r>
      <t>N=L</t>
    </r>
    <r>
      <rPr>
        <sz val="9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*exp(a+b*ln(c*AADT</t>
    </r>
    <r>
      <rPr>
        <sz val="9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</t>
    </r>
  </si>
  <si>
    <t>CMF Weaving Segment - Apply to Freeway Segment</t>
  </si>
  <si>
    <r>
      <t>CMF=(0.5*f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*f</t>
    </r>
    <r>
      <rPr>
        <sz val="8"/>
        <color theme="1"/>
        <rFont val="Calibri"/>
        <family val="2"/>
        <scheme val="minor"/>
      </rPr>
      <t>lc,inc</t>
    </r>
    <r>
      <rPr>
        <sz val="11"/>
        <color theme="1"/>
        <rFont val="Calibri"/>
        <family val="2"/>
        <scheme val="minor"/>
      </rPr>
      <t>)+(0.5*f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*f</t>
    </r>
    <r>
      <rPr>
        <sz val="8"/>
        <color theme="1"/>
        <rFont val="Calibri"/>
        <family val="2"/>
        <scheme val="minor"/>
      </rPr>
      <t>lc,dec</t>
    </r>
    <r>
      <rPr>
        <sz val="11"/>
        <color theme="1"/>
        <rFont val="Calibri"/>
        <family val="2"/>
        <scheme val="minor"/>
      </rPr>
      <t>)</t>
    </r>
  </si>
  <si>
    <t>EQN 18-30</t>
  </si>
  <si>
    <r>
      <t>P</t>
    </r>
    <r>
      <rPr>
        <b/>
        <sz val="8"/>
        <color theme="1"/>
        <rFont val="Calibri"/>
        <family val="2"/>
        <scheme val="minor"/>
      </rPr>
      <t>wev,inc</t>
    </r>
  </si>
  <si>
    <r>
      <t>L</t>
    </r>
    <r>
      <rPr>
        <b/>
        <sz val="8"/>
        <color theme="1"/>
        <rFont val="Calibri"/>
        <family val="2"/>
        <scheme val="minor"/>
      </rPr>
      <t>wev,inc</t>
    </r>
  </si>
  <si>
    <r>
      <t>X</t>
    </r>
    <r>
      <rPr>
        <b/>
        <sz val="8"/>
        <color theme="1"/>
        <rFont val="Calibri"/>
        <family val="2"/>
        <scheme val="minor"/>
      </rPr>
      <t>b,ent</t>
    </r>
  </si>
  <si>
    <r>
      <t>X</t>
    </r>
    <r>
      <rPr>
        <b/>
        <sz val="8"/>
        <color theme="1"/>
        <rFont val="Calibri"/>
        <family val="2"/>
        <scheme val="minor"/>
      </rPr>
      <t>e,ent</t>
    </r>
  </si>
  <si>
    <r>
      <t>P</t>
    </r>
    <r>
      <rPr>
        <b/>
        <sz val="8"/>
        <color theme="1"/>
        <rFont val="Calibri"/>
        <family val="2"/>
        <scheme val="minor"/>
      </rPr>
      <t>wev,dec</t>
    </r>
  </si>
  <si>
    <r>
      <t>L</t>
    </r>
    <r>
      <rPr>
        <b/>
        <sz val="8"/>
        <color theme="1"/>
        <rFont val="Calibri"/>
        <family val="2"/>
        <scheme val="minor"/>
      </rPr>
      <t>wev,dec</t>
    </r>
  </si>
  <si>
    <r>
      <t>X</t>
    </r>
    <r>
      <rPr>
        <b/>
        <sz val="8"/>
        <color theme="1"/>
        <rFont val="Calibri"/>
        <family val="2"/>
        <scheme val="minor"/>
      </rPr>
      <t>b,ext</t>
    </r>
  </si>
  <si>
    <r>
      <t>X</t>
    </r>
    <r>
      <rPr>
        <b/>
        <sz val="8"/>
        <color theme="1"/>
        <rFont val="Calibri"/>
        <family val="2"/>
        <scheme val="minor"/>
      </rPr>
      <t>e,ext</t>
    </r>
  </si>
  <si>
    <r>
      <t>AADT</t>
    </r>
    <r>
      <rPr>
        <b/>
        <sz val="8"/>
        <color theme="1"/>
        <rFont val="Calibri"/>
        <family val="2"/>
        <scheme val="minor"/>
      </rPr>
      <t>b, ent</t>
    </r>
  </si>
  <si>
    <r>
      <t>AADT</t>
    </r>
    <r>
      <rPr>
        <b/>
        <sz val="8"/>
        <color theme="1"/>
        <rFont val="Calibri"/>
        <family val="2"/>
        <scheme val="minor"/>
      </rPr>
      <t>b,ext</t>
    </r>
  </si>
  <si>
    <r>
      <t>AADT</t>
    </r>
    <r>
      <rPr>
        <b/>
        <sz val="8"/>
        <color theme="1"/>
        <rFont val="Calibri"/>
        <family val="2"/>
        <scheme val="minor"/>
      </rPr>
      <t>e,ent</t>
    </r>
  </si>
  <si>
    <r>
      <t>AADT</t>
    </r>
    <r>
      <rPr>
        <b/>
        <sz val="8"/>
        <color theme="1"/>
        <rFont val="Calibri"/>
        <family val="2"/>
        <scheme val="minor"/>
      </rPr>
      <t>e,ext</t>
    </r>
  </si>
  <si>
    <r>
      <t>L</t>
    </r>
    <r>
      <rPr>
        <b/>
        <sz val="8"/>
        <color theme="1"/>
        <rFont val="Calibri"/>
        <family val="2"/>
        <scheme val="minor"/>
      </rPr>
      <t>fs</t>
    </r>
  </si>
  <si>
    <r>
      <t>f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=</t>
    </r>
  </si>
  <si>
    <r>
      <t>(1.0-P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)+P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*exp(a/L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)</t>
    </r>
  </si>
  <si>
    <r>
      <t>f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=</t>
    </r>
  </si>
  <si>
    <r>
      <t>(1.0-P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)+P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*exp(a/L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)</t>
    </r>
  </si>
  <si>
    <r>
      <t>f</t>
    </r>
    <r>
      <rPr>
        <sz val="8"/>
        <color theme="1"/>
        <rFont val="Calibri"/>
        <family val="2"/>
        <scheme val="minor"/>
      </rPr>
      <t>lc,inc</t>
    </r>
    <r>
      <rPr>
        <sz val="11"/>
        <color theme="1"/>
        <rFont val="Calibri"/>
        <family val="2"/>
        <scheme val="minor"/>
      </rPr>
      <t>=</t>
    </r>
  </si>
  <si>
    <r>
      <t>(1.0+[exp(-b*X</t>
    </r>
    <r>
      <rPr>
        <sz val="8"/>
        <color theme="1"/>
        <rFont val="Calibri"/>
        <family val="2"/>
        <scheme val="minor"/>
      </rPr>
      <t>b,ent</t>
    </r>
    <r>
      <rPr>
        <sz val="11"/>
        <color theme="1"/>
        <rFont val="Calibri"/>
        <family val="2"/>
        <scheme val="minor"/>
      </rPr>
      <t>+d*ln(c*AADT</t>
    </r>
    <r>
      <rPr>
        <sz val="8"/>
        <color theme="1"/>
        <rFont val="Calibri"/>
        <family val="2"/>
        <scheme val="minor"/>
      </rPr>
      <t>b,ent</t>
    </r>
    <r>
      <rPr>
        <sz val="11"/>
        <color theme="1"/>
        <rFont val="Calibri"/>
        <family val="2"/>
        <scheme val="minor"/>
      </rPr>
      <t>)))/b*L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]*(1.0-exp(-b*L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)))*                    (1.0+[exp(-b*X</t>
    </r>
    <r>
      <rPr>
        <sz val="8"/>
        <color theme="1"/>
        <rFont val="Calibri"/>
        <family val="2"/>
        <scheme val="minor"/>
      </rPr>
      <t>e,ext</t>
    </r>
    <r>
      <rPr>
        <sz val="11"/>
        <color theme="1"/>
        <rFont val="Calibri"/>
        <family val="2"/>
        <scheme val="minor"/>
      </rPr>
      <t>+d*ln(c*AADT</t>
    </r>
    <r>
      <rPr>
        <sz val="8"/>
        <color theme="1"/>
        <rFont val="Calibri"/>
        <family val="2"/>
        <scheme val="minor"/>
      </rPr>
      <t>e,ext</t>
    </r>
    <r>
      <rPr>
        <sz val="11"/>
        <color theme="1"/>
        <rFont val="Calibri"/>
        <family val="2"/>
        <scheme val="minor"/>
      </rPr>
      <t>)))/b*Lfs]*(1.0-exp(-b*L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)))</t>
    </r>
  </si>
  <si>
    <r>
      <t>f</t>
    </r>
    <r>
      <rPr>
        <sz val="8"/>
        <color theme="1"/>
        <rFont val="Calibri"/>
        <family val="2"/>
        <scheme val="minor"/>
      </rPr>
      <t>lc,dec</t>
    </r>
    <r>
      <rPr>
        <sz val="11"/>
        <color theme="1"/>
        <rFont val="Calibri"/>
        <family val="2"/>
        <scheme val="minor"/>
      </rPr>
      <t>=</t>
    </r>
  </si>
  <si>
    <r>
      <t>(1.0+[exp(-b*Xe</t>
    </r>
    <r>
      <rPr>
        <sz val="8"/>
        <color theme="1"/>
        <rFont val="Calibri"/>
        <family val="2"/>
        <scheme val="minor"/>
      </rPr>
      <t>,ent</t>
    </r>
    <r>
      <rPr>
        <sz val="11"/>
        <color theme="1"/>
        <rFont val="Calibri"/>
        <family val="2"/>
        <scheme val="minor"/>
      </rPr>
      <t>+d*ln(c*AADTe</t>
    </r>
    <r>
      <rPr>
        <sz val="8"/>
        <color theme="1"/>
        <rFont val="Calibri"/>
        <family val="2"/>
        <scheme val="minor"/>
      </rPr>
      <t>,ent</t>
    </r>
    <r>
      <rPr>
        <sz val="11"/>
        <color theme="1"/>
        <rFont val="Calibri"/>
        <family val="2"/>
        <scheme val="minor"/>
      </rPr>
      <t>)))/b*L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]*(1.0-exp(-b*L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)))*                    (1.0+[exp(-b*Xb</t>
    </r>
    <r>
      <rPr>
        <sz val="8"/>
        <color theme="1"/>
        <rFont val="Calibri"/>
        <family val="2"/>
        <scheme val="minor"/>
      </rPr>
      <t>,ext</t>
    </r>
    <r>
      <rPr>
        <sz val="11"/>
        <color theme="1"/>
        <rFont val="Calibri"/>
        <family val="2"/>
        <scheme val="minor"/>
      </rPr>
      <t>+d*ln(c*AADT</t>
    </r>
    <r>
      <rPr>
        <sz val="8"/>
        <color theme="1"/>
        <rFont val="Calibri"/>
        <family val="2"/>
        <scheme val="minor"/>
      </rPr>
      <t>b,ext</t>
    </r>
    <r>
      <rPr>
        <sz val="11"/>
        <color theme="1"/>
        <rFont val="Calibri"/>
        <family val="2"/>
        <scheme val="minor"/>
      </rPr>
      <t>)))/b*Lfs]*(1.0-exp(-b*L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)))</t>
    </r>
  </si>
  <si>
    <t>CMF=</t>
  </si>
  <si>
    <r>
      <t>(0.5*f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*f</t>
    </r>
    <r>
      <rPr>
        <sz val="8"/>
        <color theme="1"/>
        <rFont val="Calibri"/>
        <family val="2"/>
        <scheme val="minor"/>
      </rPr>
      <t>lc,inc</t>
    </r>
    <r>
      <rPr>
        <sz val="11"/>
        <color theme="1"/>
        <rFont val="Calibri"/>
        <family val="2"/>
        <scheme val="minor"/>
      </rPr>
      <t>) + (0.5*f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*f</t>
    </r>
    <r>
      <rPr>
        <sz val="8"/>
        <color theme="1"/>
        <rFont val="Calibri"/>
        <family val="2"/>
        <scheme val="minor"/>
      </rPr>
      <t>lc,dec</t>
    </r>
    <r>
      <rPr>
        <sz val="11"/>
        <color theme="1"/>
        <rFont val="Calibri"/>
        <family val="2"/>
        <scheme val="minor"/>
      </rPr>
      <t>)</t>
    </r>
  </si>
  <si>
    <t>Vehicle Collision Equation</t>
  </si>
  <si>
    <t>Ped Collision Equation</t>
  </si>
  <si>
    <t>EQN 12-28</t>
  </si>
  <si>
    <t>PedVol=</t>
  </si>
  <si>
    <r>
      <t>N</t>
    </r>
    <r>
      <rPr>
        <b/>
        <vertAlign val="subscript"/>
        <sz val="11"/>
        <color theme="1"/>
        <rFont val="Calibri"/>
        <family val="2"/>
        <scheme val="minor"/>
      </rPr>
      <t>lanesx</t>
    </r>
    <r>
      <rPr>
        <b/>
        <sz val="11"/>
        <color theme="1"/>
        <rFont val="Calibri"/>
        <family val="2"/>
        <scheme val="minor"/>
      </rPr>
      <t>=</t>
    </r>
  </si>
  <si>
    <t>(d)</t>
  </si>
  <si>
    <t>(e)</t>
  </si>
  <si>
    <r>
      <t>f</t>
    </r>
    <r>
      <rPr>
        <vertAlign val="subscript"/>
        <sz val="11"/>
        <color theme="1"/>
        <rFont val="Calibri"/>
        <family val="2"/>
        <scheme val="minor"/>
      </rPr>
      <t>pedi</t>
    </r>
  </si>
  <si>
    <t>e</t>
  </si>
  <si>
    <t>SG Intersection Ped FI</t>
  </si>
  <si>
    <t>ST Intersection Ped FI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</si>
  <si>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pedi</t>
    </r>
  </si>
  <si>
    <t>-</t>
  </si>
  <si>
    <t>Bike FI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</si>
  <si>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bike</t>
    </r>
  </si>
  <si>
    <t>Ped/Bike Intercept Look Up</t>
  </si>
  <si>
    <t>Bike</t>
  </si>
  <si>
    <r>
      <t>f</t>
    </r>
    <r>
      <rPr>
        <vertAlign val="subscript"/>
        <sz val="11"/>
        <color theme="1"/>
        <rFont val="Calibri"/>
        <family val="2"/>
        <scheme val="minor"/>
      </rPr>
      <t>bike</t>
    </r>
  </si>
  <si>
    <t>Total Vehicle Crashes</t>
  </si>
  <si>
    <t>FI Vehicle Crashes</t>
  </si>
  <si>
    <t>PDO Vehicle Crashes</t>
  </si>
  <si>
    <t>Ped FI Crash</t>
  </si>
  <si>
    <t>Bike FI Crash</t>
  </si>
  <si>
    <t>Total FI Crashes</t>
  </si>
  <si>
    <t>Total PDO Crashes</t>
  </si>
  <si>
    <t>Total Crashes</t>
  </si>
  <si>
    <r>
      <t>N=exp(a+b*ln(AADT</t>
    </r>
    <r>
      <rPr>
        <vertAlign val="subscript"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>)+c*ln(AADT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/AADT</t>
    </r>
    <r>
      <rPr>
        <vertAlign val="subscript"/>
        <sz val="11"/>
        <color theme="1"/>
        <rFont val="Calibri"/>
        <family val="2"/>
        <scheme val="minor"/>
      </rPr>
      <t>maj</t>
    </r>
    <r>
      <rPr>
        <sz val="11"/>
        <color theme="1"/>
        <rFont val="Calibri"/>
        <family val="2"/>
        <scheme val="minor"/>
      </rPr>
      <t>)+d*ln(PedVol)+e*n</t>
    </r>
    <r>
      <rPr>
        <vertAlign val="subscript"/>
        <sz val="11"/>
        <color theme="1"/>
        <rFont val="Calibri"/>
        <family val="2"/>
        <scheme val="minor"/>
      </rPr>
      <t>lanesx</t>
    </r>
  </si>
  <si>
    <t>Final Expected Crashes</t>
  </si>
  <si>
    <t>Major Road Approaches with Left Turn Lanes</t>
  </si>
  <si>
    <t>Minor Road Approaches with Left Turn Lanes</t>
  </si>
  <si>
    <t>Minor Road Approaches Left Turn Phasing</t>
  </si>
  <si>
    <t>Major Road Approaches with Right Turn Lanes</t>
  </si>
  <si>
    <t>Minor Road Approaches with Right Turn Lanes</t>
  </si>
  <si>
    <t>Intersection Lighting</t>
  </si>
  <si>
    <t>Red Light Cameras</t>
  </si>
  <si>
    <t>Permissive</t>
  </si>
  <si>
    <t>Protected/Permissive</t>
  </si>
  <si>
    <t>Protected</t>
  </si>
  <si>
    <t>Present</t>
  </si>
  <si>
    <t>Not Present</t>
  </si>
  <si>
    <t>CMF 5 Dropdown</t>
  </si>
  <si>
    <t>Number of Approaches with Right Turn on Red Prohibited</t>
  </si>
  <si>
    <t>Major</t>
  </si>
  <si>
    <t>Minor</t>
  </si>
  <si>
    <t>Ramp Terminal</t>
  </si>
  <si>
    <t>N=exp(a+b*ln(c*AADTxrd)+d*ln(c*AADTex+c*AADTen)</t>
  </si>
  <si>
    <t>1 (3 Leg, Diagonal Exit)</t>
  </si>
  <si>
    <t>2 (3 Leg, Diagonal Entrance)</t>
  </si>
  <si>
    <t>3 (4 Leg, Diagonal Entrance/Exit)</t>
  </si>
  <si>
    <t>5 (4 Leg, 4 Quad ParClo, Loop Exit)</t>
  </si>
  <si>
    <t>4 (4 Leg, 4 Quad ParClo, Loop Entrance)</t>
  </si>
  <si>
    <t>6 (3 Leg, 2 Quad ParClo, Loop Exit)</t>
  </si>
  <si>
    <t>7 (3 Leg, 2 Quad ParClo, Loop Entrance)</t>
  </si>
  <si>
    <t>Fatal Injury - Signal, 2 Through Lanes</t>
  </si>
  <si>
    <t>PDO - Signal, 2 Through Lanes</t>
  </si>
  <si>
    <t>Fatal Injury - Signal,3 Through Lanes</t>
  </si>
  <si>
    <t>PDO - Signal, 3 Through Lanes</t>
  </si>
  <si>
    <t>Fatal Injury - Signal, 4 Through Lanes</t>
  </si>
  <si>
    <t>PDO - Signal, 4 Through Lanes</t>
  </si>
  <si>
    <t>Fatal Injury - Signal, 5 Through Lanes</t>
  </si>
  <si>
    <t>PDO - Signal, 5 Through Lanes</t>
  </si>
  <si>
    <t>Fatal Injury - Signal, 6 Through Lanes</t>
  </si>
  <si>
    <t>PDO - Signal, 6 Through Lanes</t>
  </si>
  <si>
    <t>Fatal Injury - Unsig, Rural</t>
  </si>
  <si>
    <t>PDO - Unsig, Rural</t>
  </si>
  <si>
    <t>Fatal Injury - Unsig, Urban</t>
  </si>
  <si>
    <t>PDO - Unsig, Urban</t>
  </si>
  <si>
    <t>Table 19-17</t>
  </si>
  <si>
    <t>Table 19-18</t>
  </si>
  <si>
    <t>Table 19-19</t>
  </si>
  <si>
    <t>Table 19-20</t>
  </si>
  <si>
    <r>
      <t>AADT</t>
    </r>
    <r>
      <rPr>
        <b/>
        <vertAlign val="subscript"/>
        <sz val="11"/>
        <color theme="1"/>
        <rFont val="Calibri"/>
        <family val="2"/>
        <scheme val="minor"/>
      </rPr>
      <t>xrd</t>
    </r>
    <r>
      <rPr>
        <b/>
        <sz val="11"/>
        <color theme="1"/>
        <rFont val="Calibri"/>
        <family val="2"/>
        <scheme val="minor"/>
      </rPr>
      <t>=</t>
    </r>
  </si>
  <si>
    <r>
      <t>AADT</t>
    </r>
    <r>
      <rPr>
        <b/>
        <vertAlign val="subscript"/>
        <sz val="11"/>
        <color theme="1"/>
        <rFont val="Calibri"/>
        <family val="2"/>
        <scheme val="minor"/>
      </rPr>
      <t>ex</t>
    </r>
    <r>
      <rPr>
        <b/>
        <sz val="11"/>
        <color theme="1"/>
        <rFont val="Calibri"/>
        <family val="2"/>
        <scheme val="minor"/>
      </rPr>
      <t>=</t>
    </r>
  </si>
  <si>
    <r>
      <t>AADT</t>
    </r>
    <r>
      <rPr>
        <b/>
        <vertAlign val="subscript"/>
        <sz val="11"/>
        <color theme="1"/>
        <rFont val="Calibri"/>
        <family val="2"/>
        <scheme val="minor"/>
      </rPr>
      <t>en</t>
    </r>
    <r>
      <rPr>
        <b/>
        <sz val="11"/>
        <color theme="1"/>
        <rFont val="Calibri"/>
        <family val="2"/>
        <scheme val="minor"/>
      </rPr>
      <t>=</t>
    </r>
  </si>
  <si>
    <r>
      <t>AADT</t>
    </r>
    <r>
      <rPr>
        <b/>
        <vertAlign val="subscript"/>
        <sz val="11"/>
        <color theme="1"/>
        <rFont val="Calibri"/>
        <family val="2"/>
        <scheme val="minor"/>
      </rPr>
      <t>in</t>
    </r>
    <r>
      <rPr>
        <b/>
        <sz val="11"/>
        <color theme="1"/>
        <rFont val="Calibri"/>
        <family val="2"/>
        <scheme val="minor"/>
      </rPr>
      <t>=</t>
    </r>
  </si>
  <si>
    <r>
      <t>AADT</t>
    </r>
    <r>
      <rPr>
        <b/>
        <vertAlign val="subscript"/>
        <sz val="11"/>
        <color theme="1"/>
        <rFont val="Calibri"/>
        <family val="2"/>
        <scheme val="minor"/>
      </rPr>
      <t>out</t>
    </r>
    <r>
      <rPr>
        <b/>
        <sz val="11"/>
        <color theme="1"/>
        <rFont val="Calibri"/>
        <family val="2"/>
        <scheme val="minor"/>
      </rPr>
      <t>=</t>
    </r>
  </si>
  <si>
    <t>Urban/Rural</t>
  </si>
  <si>
    <t>Crossroad Through Lanes</t>
  </si>
  <si>
    <t>Terminal Type</t>
  </si>
  <si>
    <t>Control</t>
  </si>
  <si>
    <t>Unsignalized</t>
  </si>
  <si>
    <t>Exit Ramp Capacity</t>
  </si>
  <si>
    <t>Signal/Stop/Yield</t>
  </si>
  <si>
    <t>Crossroad Left Turn Lanes (Out)</t>
  </si>
  <si>
    <t>Crossroad Left Turn Lanes (In)</t>
  </si>
  <si>
    <t>Crossroad Right Turn Lanes (Out)</t>
  </si>
  <si>
    <t>Access Control (Unsig Access  within 250')</t>
  </si>
  <si>
    <t>Segment Length</t>
  </si>
  <si>
    <t>Median Width (Out)</t>
  </si>
  <si>
    <t>Median Width (In)</t>
  </si>
  <si>
    <t>Protected Left Turn Operations (In)</t>
  </si>
  <si>
    <t>Protected Left Turn Operations (Out)</t>
  </si>
  <si>
    <t>Protected Only</t>
  </si>
  <si>
    <t>Channelized Right Turn on Crossroad (In)</t>
  </si>
  <si>
    <t>Channelized</t>
  </si>
  <si>
    <t>Channelized Right Turn on Crossroad (Out)</t>
  </si>
  <si>
    <t>Channelized Right Turn on Exit Ramp</t>
  </si>
  <si>
    <t>Non- Ramp Public Street Leg</t>
  </si>
  <si>
    <t>Skew Angle</t>
  </si>
  <si>
    <t>1 (Rural 1-Lane Entrance)</t>
  </si>
  <si>
    <t>2 (Rural 1-Lane Exit)</t>
  </si>
  <si>
    <t>3 (Urban 1-Lane Entrance)</t>
  </si>
  <si>
    <t>4 (Urban 1-Lane Exit)</t>
  </si>
  <si>
    <t>5 (Urban 2-Lane Entrance)</t>
  </si>
  <si>
    <t>6 (Urban 2-Lane Exit)</t>
  </si>
  <si>
    <t>Horizontal Curve</t>
  </si>
  <si>
    <t>Lane Width</t>
  </si>
  <si>
    <t>Right Shoulder Width</t>
  </si>
  <si>
    <t>Left Shoulder Width</t>
  </si>
  <si>
    <t>Right Side Barrier</t>
  </si>
  <si>
    <t>Left Side Barrier</t>
  </si>
  <si>
    <t>Lane Add or Drop</t>
  </si>
  <si>
    <t>Lane Drop</t>
  </si>
  <si>
    <t>Ramp Speed Change Lane</t>
  </si>
  <si>
    <t>Inside Shoulder Width</t>
  </si>
  <si>
    <t>Median Width</t>
  </si>
  <si>
    <t>Median Barrier</t>
  </si>
  <si>
    <t>High Volume</t>
  </si>
  <si>
    <t>Crash Modification Factor (All Crashes)</t>
  </si>
  <si>
    <t>Crash Modification Factor (Multiple Vehicle Crashes)</t>
  </si>
  <si>
    <t>Other</t>
  </si>
  <si>
    <t>Crash Modification Factor (Single Vehicle Crashes)</t>
  </si>
  <si>
    <t>Outside Shoulder Width</t>
  </si>
  <si>
    <t>Shoulder Rumble Strip</t>
  </si>
  <si>
    <t>Outside Clearance</t>
  </si>
  <si>
    <t>Outside Barrier</t>
  </si>
  <si>
    <t>Urban</t>
  </si>
  <si>
    <t>Crossroad Right Turn Lanes (In)</t>
  </si>
  <si>
    <t>Angle</t>
  </si>
  <si>
    <t>Urban Arterial</t>
  </si>
  <si>
    <t>Multiple Vehicle (Non Driveway) FI</t>
  </si>
  <si>
    <t>Multiple Vehicle (Non Driveway) PDO</t>
  </si>
  <si>
    <t>Multiple Vehicle (Driveway) FI</t>
  </si>
  <si>
    <t>Multiple Vehicle (Driveway) PDO</t>
  </si>
  <si>
    <t>3 Lane, Center Turn Lanes</t>
  </si>
  <si>
    <t>5 Lane, Center Turn Lanes</t>
  </si>
  <si>
    <t>4 Lane, Divided</t>
  </si>
  <si>
    <t>4 Lane, Undivided</t>
  </si>
  <si>
    <t>2 Lane, Undivided</t>
  </si>
  <si>
    <t># of Major Commercial</t>
  </si>
  <si>
    <t># of Major Residential</t>
  </si>
  <si>
    <t># of Minor Commercial</t>
  </si>
  <si>
    <t># of Minor Residential</t>
  </si>
  <si>
    <t>TABLE 12-3</t>
  </si>
  <si>
    <t>Maj Comm</t>
  </si>
  <si>
    <t>Min Comm</t>
  </si>
  <si>
    <t>Maj Ind</t>
  </si>
  <si>
    <t>Min Ind</t>
  </si>
  <si>
    <t>Maj Res</t>
  </si>
  <si>
    <t>Min Res</t>
  </si>
  <si>
    <t># of Other</t>
  </si>
  <si>
    <t>Driveway Related Collisions</t>
  </si>
  <si>
    <r>
      <rPr>
        <sz val="11"/>
        <color theme="1"/>
        <rFont val="Calibri"/>
        <family val="2"/>
      </rPr>
      <t>N=</t>
    </r>
    <r>
      <rPr>
        <sz val="16"/>
        <color theme="1"/>
        <rFont val="Calibri"/>
        <family val="2"/>
      </rPr>
      <t>Σ</t>
    </r>
    <r>
      <rPr>
        <sz val="11"/>
        <color theme="1"/>
        <rFont val="Calibri"/>
        <family val="2"/>
      </rPr>
      <t>n</t>
    </r>
    <r>
      <rPr>
        <vertAlign val="subscript"/>
        <sz val="11"/>
        <color theme="1"/>
        <rFont val="Calibri"/>
        <family val="2"/>
      </rPr>
      <t>j</t>
    </r>
    <r>
      <rPr>
        <sz val="11"/>
        <color theme="1"/>
        <rFont val="Calibri"/>
        <family val="2"/>
      </rPr>
      <t>*N</t>
    </r>
    <r>
      <rPr>
        <vertAlign val="subscript"/>
        <sz val="11"/>
        <color theme="1"/>
        <rFont val="Calibri"/>
        <family val="2"/>
      </rPr>
      <t>j</t>
    </r>
    <r>
      <rPr>
        <sz val="11"/>
        <color theme="1"/>
        <rFont val="Calibri"/>
        <family val="2"/>
      </rPr>
      <t>*(AADT/15000)</t>
    </r>
    <r>
      <rPr>
        <vertAlign val="superscript"/>
        <sz val="11"/>
        <color theme="1"/>
        <rFont val="Calibri"/>
        <family val="2"/>
      </rPr>
      <t>t</t>
    </r>
  </si>
  <si>
    <t>EQN 12-16</t>
  </si>
  <si>
    <t>Regression Coefficient (t)</t>
  </si>
  <si>
    <r>
      <t>N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</si>
  <si>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j</t>
    </r>
  </si>
  <si>
    <t>t</t>
  </si>
  <si>
    <t>%FI</t>
  </si>
  <si>
    <t>Segment Type</t>
  </si>
  <si>
    <r>
      <t>AADT</t>
    </r>
    <r>
      <rPr>
        <b/>
        <sz val="11"/>
        <color theme="1"/>
        <rFont val="Calibri"/>
        <family val="2"/>
        <scheme val="minor"/>
      </rPr>
      <t>=</t>
    </r>
  </si>
  <si>
    <t>N=exp(a+b*ln(AADT)+ln(L))</t>
  </si>
  <si>
    <t>Length (miles)</t>
  </si>
  <si>
    <t>Posted Speed</t>
  </si>
  <si>
    <t>30 MPH or Lower</t>
  </si>
  <si>
    <t>Speed&lt;30</t>
  </si>
  <si>
    <t>Speed&gt;30</t>
  </si>
  <si>
    <t>Ped and Bike</t>
  </si>
  <si>
    <t>On-Street Parking</t>
  </si>
  <si>
    <t>Roadside Fixed Objects</t>
  </si>
  <si>
    <t>Lighting</t>
  </si>
  <si>
    <t>Automated Speed Enforcement</t>
  </si>
  <si>
    <t>Res/Other</t>
  </si>
  <si>
    <t>Comm/Ind</t>
  </si>
  <si>
    <t>Parallel</t>
  </si>
  <si>
    <t>Commercial/Industrial/Institutional</t>
  </si>
  <si>
    <t>CMF 2 Fixed Object Offset Factor</t>
  </si>
  <si>
    <t>Undivided</t>
  </si>
  <si>
    <t>Barrier Median</t>
  </si>
  <si>
    <t>10' Median</t>
  </si>
  <si>
    <t>15' Median</t>
  </si>
  <si>
    <t>20' Median</t>
  </si>
  <si>
    <t>30' Median</t>
  </si>
  <si>
    <t>40' Median</t>
  </si>
  <si>
    <t>50' Median</t>
  </si>
  <si>
    <t>60' Median</t>
  </si>
  <si>
    <t>70' Median</t>
  </si>
  <si>
    <t>80' Median</t>
  </si>
  <si>
    <t>90' Median</t>
  </si>
  <si>
    <t>100' Median</t>
  </si>
  <si>
    <t>Side</t>
  </si>
  <si>
    <t>CMF1 Entrance</t>
  </si>
  <si>
    <t>Ramp Entrance or Exit</t>
  </si>
  <si>
    <t>Right</t>
  </si>
  <si>
    <r>
      <t>AADT</t>
    </r>
    <r>
      <rPr>
        <vertAlign val="subscript"/>
        <sz val="11"/>
        <color theme="1"/>
        <rFont val="Calibri"/>
        <family val="2"/>
        <scheme val="minor"/>
      </rPr>
      <t>ramp</t>
    </r>
    <r>
      <rPr>
        <sz val="11"/>
        <color theme="1"/>
        <rFont val="Calibri"/>
        <family val="2"/>
        <scheme val="minor"/>
      </rPr>
      <t>=</t>
    </r>
  </si>
  <si>
    <t>10 Through Lanes</t>
  </si>
  <si>
    <t>3 (Merge, 8 Through Lanes)</t>
  </si>
  <si>
    <t>4 (Merge, 10 Through Lanes)</t>
  </si>
  <si>
    <t>5 (Diverge, 4 Through Lanes)</t>
  </si>
  <si>
    <t>6 (Diverge, 6 Through Lanes)</t>
  </si>
  <si>
    <t>7 (Diverge, 8 Through Lanes)</t>
  </si>
  <si>
    <t>8 (Diverge, 10 Through Lanes)</t>
  </si>
  <si>
    <t>TABLE 18-5 &amp; 18-6</t>
  </si>
  <si>
    <t>04 Through Lanes</t>
  </si>
  <si>
    <t>06 Through Lanes</t>
  </si>
  <si>
    <t>08 Through Lanes</t>
  </si>
  <si>
    <t>TABLE 18-28 and 18-29</t>
  </si>
  <si>
    <t>Signalized</t>
  </si>
  <si>
    <t>Not Channelized</t>
  </si>
  <si>
    <t>TABLE 12-14</t>
  </si>
  <si>
    <t>Urban Intersection</t>
  </si>
  <si>
    <t>Ped - Signalized Intersection</t>
  </si>
  <si>
    <t>Ped - Unsignalized Intersection</t>
  </si>
  <si>
    <t>CMF 1</t>
  </si>
  <si>
    <t xml:space="preserve">CMF 2 </t>
  </si>
  <si>
    <t>CMF 3</t>
  </si>
  <si>
    <t>CMF 5</t>
  </si>
  <si>
    <t>TABLE 12-7</t>
  </si>
  <si>
    <r>
      <rPr>
        <b/>
        <sz val="11"/>
        <color theme="1"/>
        <rFont val="Calibri"/>
        <family val="2"/>
        <scheme val="minor"/>
      </rPr>
      <t>TABLE 12-9</t>
    </r>
    <r>
      <rPr>
        <sz val="11"/>
        <color theme="1"/>
        <rFont val="Calibri"/>
        <family val="2"/>
        <scheme val="minor"/>
      </rPr>
      <t xml:space="preserve"> - Bike</t>
    </r>
  </si>
  <si>
    <t>Driveway Related</t>
  </si>
  <si>
    <t>EQN 12-27</t>
  </si>
  <si>
    <t>TABLE 12-16</t>
  </si>
  <si>
    <t>TABLE 12-17</t>
  </si>
  <si>
    <t>TABLE 12-24</t>
  </si>
  <si>
    <t>TABLE 12-25</t>
  </si>
  <si>
    <t>1 Approach</t>
  </si>
  <si>
    <t>2 Approaches</t>
  </si>
  <si>
    <t>TABLE 12-26</t>
  </si>
  <si>
    <t>TABLE 12-27</t>
  </si>
  <si>
    <t>TABLE 12-19</t>
  </si>
  <si>
    <r>
      <rPr>
        <b/>
        <sz val="11"/>
        <color theme="1"/>
        <rFont val="Calibri"/>
        <family val="2"/>
        <scheme val="minor"/>
      </rPr>
      <t>TABLE 12-8</t>
    </r>
    <r>
      <rPr>
        <sz val="11"/>
        <color theme="1"/>
        <rFont val="Calibri"/>
        <family val="2"/>
        <scheme val="minor"/>
      </rPr>
      <t xml:space="preserve"> - Ped</t>
    </r>
  </si>
  <si>
    <r>
      <t>f</t>
    </r>
    <r>
      <rPr>
        <vertAlign val="subscript"/>
        <sz val="11"/>
        <color theme="1"/>
        <rFont val="Calibri"/>
        <family val="2"/>
        <scheme val="minor"/>
      </rPr>
      <t>offset</t>
    </r>
  </si>
  <si>
    <t>TABLE 12-20</t>
  </si>
  <si>
    <t>TABLE 12-21</t>
  </si>
  <si>
    <r>
      <t>p</t>
    </r>
    <r>
      <rPr>
        <vertAlign val="subscript"/>
        <sz val="11"/>
        <color theme="1"/>
        <rFont val="Calibri"/>
        <family val="2"/>
        <scheme val="minor"/>
      </rPr>
      <t>fo</t>
    </r>
  </si>
  <si>
    <t>TABLE 12-22</t>
  </si>
  <si>
    <t>CMF 3 Median Width</t>
  </si>
  <si>
    <t>CMF 4 Lighting</t>
  </si>
  <si>
    <r>
      <t>P</t>
    </r>
    <r>
      <rPr>
        <vertAlign val="subscript"/>
        <sz val="11"/>
        <color theme="1"/>
        <rFont val="Calibri"/>
        <family val="2"/>
        <scheme val="minor"/>
      </rPr>
      <t>inr</t>
    </r>
  </si>
  <si>
    <r>
      <t>p</t>
    </r>
    <r>
      <rPr>
        <vertAlign val="subscript"/>
        <sz val="11"/>
        <color theme="1"/>
        <rFont val="Calibri"/>
        <family val="2"/>
        <scheme val="minor"/>
      </rPr>
      <t>prn</t>
    </r>
  </si>
  <si>
    <r>
      <t>p</t>
    </r>
    <r>
      <rPr>
        <vertAlign val="subscript"/>
        <sz val="11"/>
        <color theme="1"/>
        <rFont val="Calibri"/>
        <family val="2"/>
        <scheme val="minor"/>
      </rPr>
      <t>nr</t>
    </r>
  </si>
  <si>
    <t>CMF</t>
  </si>
  <si>
    <t>TABLE 12-23</t>
  </si>
  <si>
    <t>TABLE 19-13</t>
  </si>
  <si>
    <t>TABLE19-14</t>
  </si>
  <si>
    <t>TABLE 19-15</t>
  </si>
  <si>
    <t>TABLE 19-12</t>
  </si>
  <si>
    <t>Horizontal Curve (Use EQN 18-24)</t>
  </si>
  <si>
    <t>Lane Change (If applicable, see associated template)</t>
  </si>
  <si>
    <t>Major Road Approaches Left Turn Phasing</t>
  </si>
  <si>
    <t>Multiple Vehicle (Non Driveway) Total</t>
  </si>
  <si>
    <t># of Major Industrial/Institutional</t>
  </si>
  <si>
    <t># of Minor Industrial/Institutional</t>
  </si>
  <si>
    <t>Multiple Vehicle (Driveway) Total</t>
  </si>
  <si>
    <t>Weave (See Corresponding Template)</t>
  </si>
  <si>
    <t>Merge/Freeflow</t>
  </si>
  <si>
    <t>Cross road Right Turn Lanes (In)</t>
  </si>
  <si>
    <t>Segment from MLK to I-10</t>
  </si>
  <si>
    <t>Weave between MLK and I-10</t>
  </si>
  <si>
    <t>NB Diverge to EB MLK</t>
  </si>
  <si>
    <t>NB Diverge to WB MLK</t>
  </si>
  <si>
    <t>SB Merge from MLK</t>
  </si>
  <si>
    <t>NB Ramps</t>
  </si>
  <si>
    <t>SB Ramps</t>
  </si>
  <si>
    <t>TOTAL</t>
  </si>
  <si>
    <t>No Build Summary</t>
  </si>
  <si>
    <t>NB Ramps - Existing</t>
  </si>
  <si>
    <t>NB Ramps - Proposed</t>
  </si>
  <si>
    <t>Segment from MLK to I-10  - Existing</t>
  </si>
  <si>
    <t>Segment from MLK to I-10  - Proposed</t>
  </si>
  <si>
    <t>CD Road Segment</t>
  </si>
  <si>
    <t>1 Lane Rural</t>
  </si>
  <si>
    <t>1 Lane Urban</t>
  </si>
  <si>
    <t>2 Lane Urban</t>
  </si>
  <si>
    <t>NB CD Road Segment - Proposed</t>
  </si>
  <si>
    <t>Predicted Crash Totals</t>
  </si>
  <si>
    <t>Weight</t>
  </si>
  <si>
    <t>Observed Frequency</t>
  </si>
  <si>
    <t>Expected Crash Frequency</t>
  </si>
  <si>
    <t>Freeway Segment (MLK to I-4)</t>
  </si>
  <si>
    <t>Multiple-Vehicle</t>
  </si>
  <si>
    <t>Single-Vehicle</t>
  </si>
  <si>
    <t>SB Merge</t>
  </si>
  <si>
    <t>NB Ramp Terminal</t>
  </si>
  <si>
    <t>SB Ramp Terminal</t>
  </si>
  <si>
    <t>MLK Interchange</t>
  </si>
  <si>
    <t>I-75 CD Road</t>
  </si>
  <si>
    <t>Fatal Injury</t>
  </si>
  <si>
    <t>CMF's</t>
  </si>
  <si>
    <t>Proposed Condition Expected Crash Frequency</t>
  </si>
  <si>
    <t>Outside Shoulder Width (Use EQN 13-35, if Horizontal Curves are Present)</t>
  </si>
  <si>
    <t>EQN 19-28</t>
  </si>
  <si>
    <t>EQN 12-10 &amp; 12-13</t>
  </si>
  <si>
    <t>Urban Ramp Segment</t>
  </si>
  <si>
    <t>Urban Ramp Speed Change Lane (Merge or Diverge)</t>
  </si>
  <si>
    <t>Urban Freeway Segment</t>
  </si>
  <si>
    <t>Urban CMF Weaving Segment - Apply to Freeway Segment</t>
  </si>
  <si>
    <t>Urban CD Road Segment</t>
  </si>
  <si>
    <t>EQN 18-15 &amp; 18-18</t>
  </si>
  <si>
    <t>Inverse Dispersion Paramter - K</t>
  </si>
  <si>
    <t>k Value</t>
  </si>
  <si>
    <t>Total REDUCTION in Crashes</t>
  </si>
  <si>
    <t>Crash Cost ($)</t>
  </si>
  <si>
    <t xml:space="preserve"> Crash Cost Reduction ($)</t>
  </si>
  <si>
    <t>FDOT (http://www.fdot.gov/roadway/bulletin/rdb14-12.pdf)</t>
  </si>
  <si>
    <t>HSM Table 7-1</t>
  </si>
  <si>
    <t>FDOT/HSM</t>
  </si>
  <si>
    <t>K</t>
  </si>
  <si>
    <t>A</t>
  </si>
  <si>
    <t>B</t>
  </si>
  <si>
    <t>FI (K/A/B)</t>
  </si>
  <si>
    <t>&lt;-Average Change</t>
  </si>
  <si>
    <t>FDOT Crash Distribution (http://www.fdot.gov/safety/11A-SafetyEngineering/TransSafEng/strategicplandocs/FL-Crash-Distribution-2015.pdf)</t>
  </si>
  <si>
    <t>C</t>
  </si>
  <si>
    <t>PDO (C/PDO)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</si>
</sst>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#\ &quot;Driveways&quot;"/>
    <numFmt numFmtId="167" formatCode="#\ &quot;Roadways&quot;"/>
    <numFmt numFmtId="168" formatCode="#&quot;mi to Adj. Ramp&quot;"/>
    <numFmt numFmtId="169" formatCode="#&quot;mi to Public Rd&quot;"/>
    <numFmt numFmtId="170" formatCode="#&quot;' Median&quot;"/>
    <numFmt numFmtId="171" formatCode="#&quot;' Lane&quot;"/>
    <numFmt numFmtId="172" formatCode="#&quot; Lanes Opposing&quot;"/>
    <numFmt numFmtId="173" formatCode="#&quot;˚&quot;"/>
    <numFmt numFmtId="174" formatCode="#&quot;' Lanes&quot;"/>
    <numFmt numFmtId="175" formatCode="#&quot;' Shoulder&quot;"/>
    <numFmt numFmtId="176" formatCode="#&quot;' to Barrier&quot;"/>
    <numFmt numFmtId="177" formatCode="0%\ &quot;Adj to Barrier&quot;"/>
    <numFmt numFmtId="178" formatCode="0%\ &quot;Adj to Taper&quot;"/>
    <numFmt numFmtId="179" formatCode="0%\ &quot;Adj to Spd Chg Ln&quot;"/>
    <numFmt numFmtId="180" formatCode="0%\ &quot;of AADT where vol&gt;1000 veh/ln/hr&quot;"/>
    <numFmt numFmtId="181" formatCode="0%\ &quot;Present on Inside&quot;"/>
    <numFmt numFmtId="182" formatCode="0%\ &quot;Present on Outside&quot;"/>
    <numFmt numFmtId="183" formatCode="#&quot;' Clearzone&quot;"/>
    <numFmt numFmtId="184" formatCode="#&quot;' from Edge of Shoulder&quot;"/>
    <numFmt numFmtId="185" formatCode="#\ &quot;Lane(s)&quot;"/>
    <numFmt numFmtId="186" formatCode="0\ &quot;Objects/mi&quot;"/>
    <numFmt numFmtId="187" formatCode="0&quot;' Offset&quot;"/>
    <numFmt numFmtId="188" formatCode="0.0"/>
    <numFmt numFmtId="189" formatCode="#.0&quot;mi to Adj. Ramp&quot;"/>
    <numFmt numFmtId="190" formatCode="#.0&quot;mi to Public Rd&quot;"/>
    <numFmt numFmtId="191" formatCode="0\ &quot;Year Study Period&quot;"/>
  </numFmts>
  <fonts count="2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sz val="16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1"/>
      <color theme="5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3F3F3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double">
        <color theme="7"/>
      </bottom>
      <diagonal/>
    </border>
    <border>
      <left/>
      <right/>
      <top/>
      <bottom style="double">
        <color theme="7"/>
      </bottom>
      <diagonal/>
    </border>
    <border>
      <left/>
      <right style="thin">
        <color auto="1"/>
      </right>
      <top/>
      <bottom style="double">
        <color theme="7"/>
      </bottom>
      <diagonal/>
    </border>
    <border>
      <left style="thin">
        <color auto="1"/>
      </left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theme="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theme="4"/>
      </top>
      <bottom style="medium">
        <color auto="1"/>
      </bottom>
      <diagonal/>
    </border>
  </borders>
  <cellStyleXfs count="11">
    <xf numFmtId="0" fontId="0" fillId="0" borderId="0"/>
    <xf numFmtId="0" fontId="1" fillId="2" borderId="1" applyNumberFormat="0" applyAlignment="0" applyProtection="0"/>
    <xf numFmtId="0" fontId="7" fillId="4" borderId="2" applyNumberFormat="0" applyAlignment="0" applyProtection="0"/>
    <xf numFmtId="0" fontId="2" fillId="3" borderId="1" applyNumberFormat="0" applyAlignment="0" applyProtection="0"/>
    <xf numFmtId="0" fontId="9" fillId="5" borderId="1" applyNumberFormat="0" applyAlignment="0" applyProtection="0"/>
    <xf numFmtId="164" fontId="7" fillId="6" borderId="2">
      <alignment horizontal="center"/>
    </xf>
    <xf numFmtId="9" fontId="15" fillId="0" borderId="0" applyFont="0" applyFill="0" applyBorder="0" applyAlignment="0" applyProtection="0"/>
    <xf numFmtId="0" fontId="20" fillId="0" borderId="42" applyNumberFormat="0" applyFill="0" applyAlignment="0" applyProtection="0"/>
    <xf numFmtId="0" fontId="23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2" fontId="9" fillId="5" borderId="1" xfId="4" applyNumberFormat="1" applyBorder="1" applyAlignment="1">
      <alignment horizontal="center"/>
    </xf>
    <xf numFmtId="164" fontId="7" fillId="4" borderId="2" xfId="2" applyNumberFormat="1" applyBorder="1" applyAlignment="1">
      <alignment horizontal="center"/>
    </xf>
    <xf numFmtId="164" fontId="9" fillId="5" borderId="1" xfId="4" applyNumberFormat="1" applyBorder="1" applyAlignment="1">
      <alignment horizontal="center"/>
    </xf>
    <xf numFmtId="2" fontId="2" fillId="3" borderId="1" xfId="3" applyNumberFormat="1" applyBorder="1" applyAlignment="1">
      <alignment horizontal="center"/>
    </xf>
    <xf numFmtId="2" fontId="0" fillId="0" borderId="0" xfId="0" applyNumberFormat="1" applyBorder="1"/>
    <xf numFmtId="49" fontId="0" fillId="0" borderId="0" xfId="0" applyNumberFormat="1" applyAlignment="1">
      <alignment horizontal="center"/>
    </xf>
    <xf numFmtId="165" fontId="9" fillId="5" borderId="1" xfId="4" applyNumberFormat="1" applyBorder="1" applyAlignment="1">
      <alignment horizontal="center"/>
    </xf>
    <xf numFmtId="0" fontId="11" fillId="0" borderId="0" xfId="0" applyFont="1"/>
    <xf numFmtId="0" fontId="3" fillId="0" borderId="22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3" xfId="0" applyBorder="1" applyAlignment="1"/>
    <xf numFmtId="164" fontId="2" fillId="3" borderId="27" xfId="3" applyNumberFormat="1" applyBorder="1" applyAlignment="1">
      <alignment horizontal="center"/>
    </xf>
    <xf numFmtId="0" fontId="3" fillId="0" borderId="22" xfId="0" applyFont="1" applyBorder="1" applyAlignment="1"/>
    <xf numFmtId="0" fontId="3" fillId="0" borderId="23" xfId="0" applyFont="1" applyBorder="1" applyAlignment="1">
      <alignment horizontal="center"/>
    </xf>
    <xf numFmtId="2" fontId="2" fillId="3" borderId="27" xfId="3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2" xfId="0" applyFont="1" applyBorder="1" applyAlignment="1">
      <alignment horizontal="right"/>
    </xf>
    <xf numFmtId="0" fontId="1" fillId="2" borderId="1" xfId="1" applyBorder="1"/>
    <xf numFmtId="0" fontId="3" fillId="0" borderId="0" xfId="0" applyFont="1" applyBorder="1" applyAlignment="1">
      <alignment horizontal="right"/>
    </xf>
    <xf numFmtId="0" fontId="1" fillId="2" borderId="27" xfId="1" applyBorder="1"/>
    <xf numFmtId="0" fontId="3" fillId="0" borderId="22" xfId="0" applyFont="1" applyFill="1" applyBorder="1" applyAlignment="1">
      <alignment horizontal="right"/>
    </xf>
    <xf numFmtId="164" fontId="2" fillId="3" borderId="1" xfId="3" applyNumberFormat="1" applyBorder="1"/>
    <xf numFmtId="0" fontId="0" fillId="0" borderId="0" xfId="0" applyBorder="1" applyAlignment="1">
      <alignment wrapText="1"/>
    </xf>
    <xf numFmtId="2" fontId="2" fillId="3" borderId="1" xfId="3" applyNumberFormat="1" applyBorder="1"/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0" fillId="0" borderId="0" xfId="0" applyAlignment="1">
      <alignment horizontal="center"/>
    </xf>
    <xf numFmtId="0" fontId="3" fillId="0" borderId="0" xfId="0" applyFont="1" applyBorder="1" applyAlignment="1"/>
    <xf numFmtId="164" fontId="7" fillId="6" borderId="2" xfId="5" applyBorder="1">
      <alignment horizontal="center"/>
    </xf>
    <xf numFmtId="0" fontId="1" fillId="2" borderId="1" xfId="1" applyBorder="1" applyAlignment="1"/>
    <xf numFmtId="0" fontId="3" fillId="0" borderId="2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1" fillId="2" borderId="1" xfId="1" applyNumberFormat="1" applyBorder="1" applyAlignment="1">
      <alignment horizontal="center"/>
    </xf>
    <xf numFmtId="2" fontId="1" fillId="2" borderId="27" xfId="1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27" xfId="1" applyBorder="1" applyAlignment="1">
      <alignment horizontal="center"/>
    </xf>
    <xf numFmtId="0" fontId="0" fillId="0" borderId="0" xfId="0" applyAlignment="1">
      <alignment wrapText="1"/>
    </xf>
    <xf numFmtId="167" fontId="1" fillId="2" borderId="1" xfId="1" applyNumberFormat="1" applyBorder="1" applyAlignment="1">
      <alignment horizontal="center"/>
    </xf>
    <xf numFmtId="1" fontId="7" fillId="6" borderId="2" xfId="5" applyNumberFormat="1" applyBorder="1" applyAlignment="1">
      <alignment horizontal="right"/>
    </xf>
    <xf numFmtId="174" fontId="1" fillId="2" borderId="1" xfId="1" applyNumberFormat="1" applyBorder="1" applyAlignment="1"/>
    <xf numFmtId="175" fontId="1" fillId="2" borderId="1" xfId="1" applyNumberFormat="1" applyBorder="1" applyAlignment="1"/>
    <xf numFmtId="176" fontId="1" fillId="2" borderId="1" xfId="1" applyNumberFormat="1" applyBorder="1" applyAlignment="1"/>
    <xf numFmtId="177" fontId="1" fillId="2" borderId="1" xfId="6" applyNumberFormat="1" applyFont="1" applyFill="1" applyBorder="1" applyAlignment="1"/>
    <xf numFmtId="178" fontId="1" fillId="2" borderId="1" xfId="6" applyNumberFormat="1" applyFont="1" applyFill="1" applyBorder="1" applyAlignment="1"/>
    <xf numFmtId="179" fontId="1" fillId="2" borderId="1" xfId="6" applyNumberFormat="1" applyFont="1" applyFill="1" applyBorder="1" applyAlignment="1"/>
    <xf numFmtId="2" fontId="1" fillId="2" borderId="32" xfId="1" applyNumberFormat="1" applyBorder="1" applyAlignment="1">
      <alignment horizontal="center"/>
    </xf>
    <xf numFmtId="177" fontId="1" fillId="2" borderId="1" xfId="6" applyNumberFormat="1" applyFont="1" applyFill="1" applyBorder="1" applyAlignment="1">
      <alignment horizontal="center"/>
    </xf>
    <xf numFmtId="175" fontId="1" fillId="2" borderId="1" xfId="1" applyNumberFormat="1" applyBorder="1" applyAlignment="1">
      <alignment horizontal="center"/>
    </xf>
    <xf numFmtId="176" fontId="1" fillId="2" borderId="1" xfId="1" applyNumberFormat="1" applyBorder="1" applyAlignment="1">
      <alignment horizontal="center"/>
    </xf>
    <xf numFmtId="174" fontId="1" fillId="2" borderId="1" xfId="1" applyNumberFormat="1" applyBorder="1" applyAlignment="1">
      <alignment horizontal="center"/>
    </xf>
    <xf numFmtId="170" fontId="1" fillId="2" borderId="1" xfId="1" applyNumberFormat="1" applyBorder="1" applyAlignment="1">
      <alignment horizontal="center"/>
    </xf>
    <xf numFmtId="182" fontId="1" fillId="2" borderId="1" xfId="6" applyNumberFormat="1" applyFont="1" applyFill="1" applyBorder="1" applyAlignment="1">
      <alignment horizontal="center"/>
    </xf>
    <xf numFmtId="181" fontId="1" fillId="2" borderId="1" xfId="6" applyNumberFormat="1" applyFont="1" applyFill="1" applyBorder="1" applyAlignment="1">
      <alignment horizontal="center"/>
    </xf>
    <xf numFmtId="183" fontId="1" fillId="2" borderId="1" xfId="1" applyNumberFormat="1" applyBorder="1" applyAlignment="1">
      <alignment horizontal="center"/>
    </xf>
    <xf numFmtId="184" fontId="1" fillId="2" borderId="1" xfId="1" applyNumberFormat="1" applyBorder="1" applyAlignment="1">
      <alignment horizontal="center"/>
    </xf>
    <xf numFmtId="0" fontId="1" fillId="2" borderId="32" xfId="1" applyBorder="1"/>
    <xf numFmtId="2" fontId="2" fillId="3" borderId="32" xfId="3" applyNumberFormat="1" applyBorder="1"/>
    <xf numFmtId="164" fontId="2" fillId="3" borderId="32" xfId="3" applyNumberFormat="1" applyBorder="1"/>
    <xf numFmtId="164" fontId="7" fillId="4" borderId="36" xfId="2" applyNumberFormat="1" applyBorder="1" applyAlignment="1">
      <alignment horizontal="center"/>
    </xf>
    <xf numFmtId="0" fontId="16" fillId="0" borderId="0" xfId="0" applyFont="1" applyBorder="1"/>
    <xf numFmtId="0" fontId="0" fillId="0" borderId="20" xfId="0" applyBorder="1"/>
    <xf numFmtId="0" fontId="0" fillId="0" borderId="0" xfId="0" applyAlignment="1">
      <alignment horizontal="center" wrapText="1"/>
    </xf>
    <xf numFmtId="164" fontId="7" fillId="4" borderId="37" xfId="2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Alignment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2" fontId="2" fillId="3" borderId="32" xfId="3" applyNumberFormat="1" applyBorder="1" applyAlignment="1">
      <alignment horizontal="center"/>
    </xf>
    <xf numFmtId="164" fontId="9" fillId="5" borderId="27" xfId="4" applyNumberFormat="1" applyBorder="1" applyAlignment="1">
      <alignment horizontal="center"/>
    </xf>
    <xf numFmtId="0" fontId="0" fillId="0" borderId="22" xfId="0" applyBorder="1" applyAlignment="1"/>
    <xf numFmtId="9" fontId="9" fillId="5" borderId="27" xfId="6" applyFont="1" applyFill="1" applyBorder="1" applyAlignment="1">
      <alignment horizontal="center"/>
    </xf>
    <xf numFmtId="0" fontId="1" fillId="2" borderId="1" xfId="1" applyAlignment="1">
      <alignment horizontal="center"/>
    </xf>
    <xf numFmtId="9" fontId="1" fillId="2" borderId="1" xfId="1" applyNumberFormat="1" applyAlignment="1">
      <alignment horizontal="center"/>
    </xf>
    <xf numFmtId="2" fontId="1" fillId="2" borderId="1" xfId="1" applyNumberFormat="1" applyAlignment="1">
      <alignment horizontal="center"/>
    </xf>
    <xf numFmtId="186" fontId="1" fillId="2" borderId="1" xfId="1" applyNumberFormat="1" applyAlignment="1"/>
    <xf numFmtId="187" fontId="1" fillId="2" borderId="1" xfId="1" applyNumberFormat="1" applyAlignment="1">
      <alignment horizontal="center"/>
    </xf>
    <xf numFmtId="49" fontId="1" fillId="2" borderId="1" xfId="1" applyNumberFormat="1" applyAlignment="1">
      <alignment horizontal="center"/>
    </xf>
    <xf numFmtId="164" fontId="2" fillId="3" borderId="32" xfId="3" applyNumberFormat="1" applyBorder="1" applyAlignment="1">
      <alignment horizontal="center"/>
    </xf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27" xfId="1" applyBorder="1" applyAlignment="1">
      <alignment horizontal="center"/>
    </xf>
    <xf numFmtId="0" fontId="1" fillId="2" borderId="1" xfId="1" applyBorder="1" applyAlignment="1">
      <alignment horizontal="left"/>
    </xf>
    <xf numFmtId="0" fontId="0" fillId="0" borderId="0" xfId="0" applyBorder="1" applyAlignment="1">
      <alignment horizontal="center" wrapText="1"/>
    </xf>
    <xf numFmtId="0" fontId="3" fillId="0" borderId="2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1" xfId="0" applyFont="1" applyBorder="1" applyAlignment="1">
      <alignment horizontal="center" vertical="center"/>
    </xf>
    <xf numFmtId="185" fontId="1" fillId="2" borderId="1" xfId="1" applyNumberFormat="1" applyBorder="1" applyAlignment="1">
      <alignment horizontal="center"/>
    </xf>
    <xf numFmtId="166" fontId="1" fillId="2" borderId="1" xfId="1" applyNumberFormat="1" applyBorder="1" applyAlignment="1">
      <alignment horizontal="center"/>
    </xf>
    <xf numFmtId="171" fontId="1" fillId="2" borderId="1" xfId="1" applyNumberFormat="1" applyBorder="1" applyAlignment="1">
      <alignment horizontal="center"/>
    </xf>
    <xf numFmtId="172" fontId="1" fillId="2" borderId="1" xfId="1" applyNumberFormat="1" applyBorder="1" applyAlignment="1">
      <alignment horizontal="center"/>
    </xf>
    <xf numFmtId="173" fontId="1" fillId="2" borderId="1" xfId="1" applyNumberFormat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168" fontId="1" fillId="2" borderId="1" xfId="1" applyNumberFormat="1" applyBorder="1" applyAlignment="1">
      <alignment horizontal="center"/>
    </xf>
    <xf numFmtId="169" fontId="1" fillId="2" borderId="1" xfId="1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89" fontId="1" fillId="2" borderId="1" xfId="1" applyNumberFormat="1" applyBorder="1" applyAlignment="1">
      <alignment horizontal="center"/>
    </xf>
    <xf numFmtId="0" fontId="3" fillId="0" borderId="5" xfId="0" applyFont="1" applyBorder="1"/>
    <xf numFmtId="0" fontId="0" fillId="0" borderId="0" xfId="0" applyAlignment="1">
      <alignment horizontal="center"/>
    </xf>
    <xf numFmtId="0" fontId="20" fillId="0" borderId="42" xfId="7"/>
    <xf numFmtId="0" fontId="0" fillId="0" borderId="0" xfId="0" applyAlignment="1">
      <alignment horizontal="left" indent="1"/>
    </xf>
    <xf numFmtId="2" fontId="0" fillId="0" borderId="14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1" xfId="1" applyBorder="1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1" applyBorder="1" applyAlignment="1">
      <alignment horizontal="center"/>
    </xf>
    <xf numFmtId="0" fontId="3" fillId="0" borderId="2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2" borderId="27" xfId="1" applyBorder="1" applyAlignment="1">
      <alignment horizontal="center"/>
    </xf>
    <xf numFmtId="0" fontId="1" fillId="2" borderId="1" xfId="1" applyBorder="1" applyAlignment="1"/>
    <xf numFmtId="0" fontId="3" fillId="0" borderId="5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2" fontId="0" fillId="0" borderId="8" xfId="0" applyNumberFormat="1" applyBorder="1"/>
    <xf numFmtId="2" fontId="0" fillId="0" borderId="10" xfId="0" applyNumberFormat="1" applyBorder="1"/>
    <xf numFmtId="2" fontId="0" fillId="0" borderId="13" xfId="0" applyNumberFormat="1" applyBorder="1"/>
    <xf numFmtId="0" fontId="0" fillId="0" borderId="0" xfId="0" applyFill="1"/>
    <xf numFmtId="0" fontId="3" fillId="0" borderId="0" xfId="0" applyFont="1" applyFill="1"/>
    <xf numFmtId="164" fontId="0" fillId="0" borderId="5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0" xfId="0" applyAlignment="1">
      <alignment horizontal="left"/>
    </xf>
    <xf numFmtId="164" fontId="0" fillId="0" borderId="1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" fontId="3" fillId="0" borderId="0" xfId="0" applyNumberFormat="1" applyFont="1"/>
    <xf numFmtId="9" fontId="1" fillId="2" borderId="1" xfId="6" applyFont="1" applyFill="1" applyBorder="1"/>
    <xf numFmtId="190" fontId="1" fillId="2" borderId="1" xfId="1" applyNumberFormat="1" applyBorder="1" applyAlignment="1">
      <alignment horizontal="center"/>
    </xf>
    <xf numFmtId="2" fontId="2" fillId="3" borderId="27" xfId="3" applyNumberFormat="1" applyBorder="1"/>
    <xf numFmtId="164" fontId="2" fillId="3" borderId="27" xfId="3" applyNumberFormat="1" applyBorder="1"/>
    <xf numFmtId="164" fontId="7" fillId="4" borderId="50" xfId="2" applyNumberFormat="1" applyBorder="1" applyAlignment="1">
      <alignment horizontal="center"/>
    </xf>
    <xf numFmtId="2" fontId="1" fillId="2" borderId="1" xfId="1" applyNumberFormat="1" applyBorder="1"/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164" fontId="3" fillId="0" borderId="12" xfId="0" applyNumberFormat="1" applyFont="1" applyBorder="1" applyAlignment="1">
      <alignment horizontal="left" wrapText="1"/>
    </xf>
    <xf numFmtId="2" fontId="3" fillId="0" borderId="12" xfId="0" applyNumberFormat="1" applyFont="1" applyBorder="1" applyAlignment="1">
      <alignment horizontal="left" wrapText="1"/>
    </xf>
    <xf numFmtId="0" fontId="0" fillId="0" borderId="12" xfId="0" applyBorder="1" applyAlignment="1">
      <alignment horizontal="left"/>
    </xf>
    <xf numFmtId="188" fontId="3" fillId="0" borderId="12" xfId="0" applyNumberFormat="1" applyFont="1" applyBorder="1" applyAlignment="1">
      <alignment horizontal="left" wrapText="1"/>
    </xf>
    <xf numFmtId="2" fontId="21" fillId="0" borderId="12" xfId="0" applyNumberFormat="1" applyFont="1" applyBorder="1" applyAlignment="1">
      <alignment horizontal="left"/>
    </xf>
    <xf numFmtId="2" fontId="21" fillId="0" borderId="13" xfId="0" applyNumberFormat="1" applyFont="1" applyBorder="1" applyAlignment="1">
      <alignment horizontal="left"/>
    </xf>
    <xf numFmtId="0" fontId="22" fillId="0" borderId="47" xfId="0" applyFont="1" applyBorder="1" applyAlignment="1">
      <alignment horizontal="center"/>
    </xf>
    <xf numFmtId="164" fontId="22" fillId="0" borderId="56" xfId="0" applyNumberFormat="1" applyFont="1" applyBorder="1" applyAlignment="1">
      <alignment horizontal="center" wrapText="1"/>
    </xf>
    <xf numFmtId="2" fontId="22" fillId="0" borderId="56" xfId="0" applyNumberFormat="1" applyFont="1" applyBorder="1" applyAlignment="1">
      <alignment horizontal="center" wrapText="1"/>
    </xf>
    <xf numFmtId="2" fontId="22" fillId="0" borderId="56" xfId="0" applyNumberFormat="1" applyFont="1" applyBorder="1" applyAlignment="1">
      <alignment horizontal="center"/>
    </xf>
    <xf numFmtId="188" fontId="22" fillId="0" borderId="56" xfId="0" applyNumberFormat="1" applyFont="1" applyBorder="1" applyAlignment="1">
      <alignment horizontal="center"/>
    </xf>
    <xf numFmtId="2" fontId="22" fillId="0" borderId="48" xfId="0" applyNumberFormat="1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164" fontId="22" fillId="0" borderId="5" xfId="0" applyNumberFormat="1" applyFont="1" applyBorder="1" applyAlignment="1">
      <alignment horizontal="center" wrapText="1"/>
    </xf>
    <xf numFmtId="188" fontId="22" fillId="0" borderId="5" xfId="0" applyNumberFormat="1" applyFont="1" applyBorder="1" applyAlignment="1">
      <alignment horizontal="center" wrapText="1"/>
    </xf>
    <xf numFmtId="164" fontId="22" fillId="0" borderId="10" xfId="0" applyNumberFormat="1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left"/>
    </xf>
    <xf numFmtId="2" fontId="3" fillId="0" borderId="12" xfId="0" applyNumberFormat="1" applyFont="1" applyBorder="1" applyAlignment="1">
      <alignment horizontal="left"/>
    </xf>
    <xf numFmtId="188" fontId="3" fillId="0" borderId="12" xfId="0" applyNumberFormat="1" applyFont="1" applyBorder="1" applyAlignment="1">
      <alignment horizontal="left"/>
    </xf>
    <xf numFmtId="0" fontId="3" fillId="0" borderId="57" xfId="0" applyFont="1" applyBorder="1" applyAlignment="1">
      <alignment horizontal="left"/>
    </xf>
    <xf numFmtId="2" fontId="3" fillId="0" borderId="58" xfId="0" applyNumberFormat="1" applyFont="1" applyBorder="1" applyAlignment="1">
      <alignment horizontal="left"/>
    </xf>
    <xf numFmtId="2" fontId="21" fillId="0" borderId="58" xfId="0" applyNumberFormat="1" applyFont="1" applyBorder="1" applyAlignment="1">
      <alignment horizontal="left"/>
    </xf>
    <xf numFmtId="2" fontId="21" fillId="0" borderId="59" xfId="0" applyNumberFormat="1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2" fontId="3" fillId="0" borderId="61" xfId="0" applyNumberFormat="1" applyFont="1" applyBorder="1" applyAlignment="1">
      <alignment horizontal="left"/>
    </xf>
    <xf numFmtId="0" fontId="3" fillId="0" borderId="61" xfId="0" applyFont="1" applyBorder="1" applyAlignment="1">
      <alignment horizontal="left"/>
    </xf>
    <xf numFmtId="188" fontId="3" fillId="0" borderId="61" xfId="0" applyNumberFormat="1" applyFont="1" applyBorder="1" applyAlignment="1">
      <alignment horizontal="left"/>
    </xf>
    <xf numFmtId="2" fontId="21" fillId="0" borderId="61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textRotation="90" wrapText="1"/>
    </xf>
    <xf numFmtId="0" fontId="3" fillId="0" borderId="39" xfId="0" applyFont="1" applyBorder="1" applyAlignment="1">
      <alignment horizontal="center" textRotation="90" wrapText="1"/>
    </xf>
    <xf numFmtId="2" fontId="3" fillId="0" borderId="5" xfId="0" applyNumberFormat="1" applyFont="1" applyBorder="1"/>
    <xf numFmtId="0" fontId="3" fillId="0" borderId="0" xfId="0" applyFont="1" applyAlignment="1">
      <alignment vertical="center"/>
    </xf>
    <xf numFmtId="2" fontId="3" fillId="0" borderId="0" xfId="0" applyNumberFormat="1" applyFont="1" applyBorder="1"/>
    <xf numFmtId="2" fontId="0" fillId="0" borderId="0" xfId="0" applyNumberFormat="1"/>
    <xf numFmtId="0" fontId="23" fillId="0" borderId="0" xfId="8"/>
    <xf numFmtId="0" fontId="3" fillId="0" borderId="5" xfId="0" applyFont="1" applyBorder="1" applyAlignment="1">
      <alignment horizontal="center"/>
    </xf>
    <xf numFmtId="0" fontId="0" fillId="0" borderId="0" xfId="0"/>
    <xf numFmtId="0" fontId="28" fillId="0" borderId="0" xfId="0" applyFont="1"/>
    <xf numFmtId="0" fontId="28" fillId="0" borderId="0" xfId="0" applyFont="1" applyAlignment="1">
      <alignment horizontal="center"/>
    </xf>
    <xf numFmtId="2" fontId="28" fillId="0" borderId="0" xfId="0" applyNumberFormat="1" applyFont="1"/>
    <xf numFmtId="0" fontId="28" fillId="0" borderId="0" xfId="0" applyFont="1" applyFill="1" applyBorder="1"/>
    <xf numFmtId="0" fontId="0" fillId="0" borderId="0" xfId="0"/>
    <xf numFmtId="188" fontId="3" fillId="0" borderId="5" xfId="0" applyNumberFormat="1" applyFont="1" applyBorder="1" applyAlignment="1">
      <alignment horizontal="center"/>
    </xf>
    <xf numFmtId="44" fontId="3" fillId="0" borderId="5" xfId="9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2" borderId="1" xfId="1" applyBorder="1" applyAlignment="1">
      <alignment horizontal="left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" fillId="2" borderId="1" xfId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27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23" xfId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2" borderId="32" xfId="1" applyBorder="1" applyAlignment="1"/>
    <xf numFmtId="0" fontId="1" fillId="2" borderId="33" xfId="1" applyBorder="1" applyAlignment="1"/>
    <xf numFmtId="0" fontId="1" fillId="2" borderId="34" xfId="1" applyBorder="1" applyAlignment="1"/>
    <xf numFmtId="0" fontId="1" fillId="2" borderId="32" xfId="1" applyBorder="1" applyAlignment="1">
      <alignment horizontal="left"/>
    </xf>
    <xf numFmtId="0" fontId="1" fillId="2" borderId="33" xfId="1" applyBorder="1" applyAlignment="1">
      <alignment horizontal="left"/>
    </xf>
    <xf numFmtId="0" fontId="1" fillId="2" borderId="34" xfId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1" fillId="2" borderId="32" xfId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" fillId="0" borderId="2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1" xfId="0" applyFont="1" applyBorder="1" applyAlignment="1">
      <alignment horizontal="center" vertical="center"/>
    </xf>
    <xf numFmtId="0" fontId="1" fillId="2" borderId="33" xfId="1" applyBorder="1" applyAlignment="1">
      <alignment horizontal="center"/>
    </xf>
    <xf numFmtId="0" fontId="1" fillId="2" borderId="34" xfId="1" applyBorder="1" applyAlignment="1">
      <alignment horizontal="center"/>
    </xf>
    <xf numFmtId="0" fontId="3" fillId="0" borderId="35" xfId="0" applyFont="1" applyBorder="1" applyAlignment="1">
      <alignment horizontal="center"/>
    </xf>
    <xf numFmtId="180" fontId="1" fillId="2" borderId="32" xfId="6" applyNumberFormat="1" applyFont="1" applyFill="1" applyBorder="1" applyAlignment="1">
      <alignment horizontal="center"/>
    </xf>
    <xf numFmtId="180" fontId="1" fillId="2" borderId="33" xfId="6" applyNumberFormat="1" applyFont="1" applyFill="1" applyBorder="1" applyAlignment="1">
      <alignment horizontal="center"/>
    </xf>
    <xf numFmtId="180" fontId="1" fillId="2" borderId="34" xfId="6" applyNumberFormat="1" applyFont="1" applyFill="1" applyBorder="1" applyAlignment="1">
      <alignment horizontal="center"/>
    </xf>
    <xf numFmtId="0" fontId="1" fillId="2" borderId="1" xfId="1" applyAlignment="1"/>
    <xf numFmtId="0" fontId="0" fillId="0" borderId="4" xfId="0" applyBorder="1" applyAlignment="1">
      <alignment horizontal="center"/>
    </xf>
    <xf numFmtId="0" fontId="1" fillId="2" borderId="49" xfId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" fillId="0" borderId="5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191" fontId="3" fillId="0" borderId="41" xfId="0" applyNumberFormat="1" applyFont="1" applyBorder="1" applyAlignment="1">
      <alignment horizontal="center" vertical="center" wrapText="1"/>
    </xf>
    <xf numFmtId="191" fontId="3" fillId="0" borderId="39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46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7" xfId="0" applyBorder="1" applyAlignment="1">
      <alignment horizontal="center"/>
    </xf>
    <xf numFmtId="0" fontId="3" fillId="0" borderId="5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5" xfId="0" applyFont="1" applyFill="1" applyBorder="1" applyAlignment="1">
      <alignment horizontal="center" textRotation="90" wrapText="1"/>
    </xf>
    <xf numFmtId="0" fontId="0" fillId="0" borderId="41" xfId="0" applyBorder="1" applyAlignment="1">
      <alignment horizontal="center"/>
    </xf>
    <xf numFmtId="0" fontId="0" fillId="0" borderId="39" xfId="0" applyBorder="1" applyAlignment="1">
      <alignment horizontal="center"/>
    </xf>
    <xf numFmtId="43" fontId="0" fillId="0" borderId="0" xfId="10" applyFont="1"/>
    <xf numFmtId="164" fontId="0" fillId="0" borderId="0" xfId="0" applyNumberFormat="1" applyAlignment="1">
      <alignment horizontal="left"/>
    </xf>
    <xf numFmtId="43" fontId="0" fillId="0" borderId="0" xfId="0" applyNumberFormat="1"/>
    <xf numFmtId="43" fontId="0" fillId="7" borderId="0" xfId="10" applyFont="1" applyFill="1"/>
    <xf numFmtId="3" fontId="0" fillId="0" borderId="0" xfId="0" applyNumberFormat="1"/>
    <xf numFmtId="44" fontId="0" fillId="0" borderId="0" xfId="9" applyFont="1"/>
    <xf numFmtId="44" fontId="0" fillId="7" borderId="0" xfId="9" applyFont="1" applyFill="1"/>
  </cellXfs>
  <cellStyles count="11">
    <cellStyle name="Calculation" xfId="3" builtinId="22"/>
    <cellStyle name="Comma" xfId="10" builtinId="3"/>
    <cellStyle name="Currency" xfId="9" builtinId="4"/>
    <cellStyle name="Heading 1" xfId="7" builtinId="16"/>
    <cellStyle name="Hyperlink" xfId="8" builtinId="8"/>
    <cellStyle name="Input" xfId="1" builtinId="20"/>
    <cellStyle name="Linked Cell" xfId="4" builtinId="24" customBuiltin="1"/>
    <cellStyle name="Normal" xfId="0" builtinId="0"/>
    <cellStyle name="Output" xfId="2" builtinId="21" customBuiltin="1"/>
    <cellStyle name="Output Intermediate" xfId="5"/>
    <cellStyle name="Percent" xfId="6" builtinId="5"/>
  </cellStyles>
  <dxfs count="0"/>
  <tableStyles count="0" defaultTableStyle="TableStyleMedium2" defaultPivotStyle="PivotStyleLight16"/>
  <colors>
    <mruColors>
      <color rgb="FF7F7F7F"/>
      <color rgb="FFF2F2F2"/>
      <color rgb="FFF2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93"/>
  <sheetViews>
    <sheetView tabSelected="1" topLeftCell="A40" workbookViewId="0">
      <selection activeCell="A53" sqref="A53:C55"/>
    </sheetView>
  </sheetViews>
  <sheetFormatPr defaultColWidth="12" defaultRowHeight="15" x14ac:dyDescent="0.25"/>
  <cols>
    <col min="1" max="1" width="36.85546875" bestFit="1" customWidth="1"/>
  </cols>
  <sheetData>
    <row r="1" spans="1:12" ht="20.25" thickBot="1" x14ac:dyDescent="0.35">
      <c r="A1" s="147" t="s">
        <v>304</v>
      </c>
    </row>
    <row r="2" spans="1:12" ht="15.75" thickTop="1" x14ac:dyDescent="0.25"/>
    <row r="3" spans="1:12" x14ac:dyDescent="0.25">
      <c r="A3" s="3" t="s">
        <v>11</v>
      </c>
    </row>
    <row r="4" spans="1:12" x14ac:dyDescent="0.25">
      <c r="A4" t="s">
        <v>23</v>
      </c>
    </row>
    <row r="5" spans="1:12" x14ac:dyDescent="0.25">
      <c r="A5" t="s">
        <v>24</v>
      </c>
    </row>
    <row r="6" spans="1:12" x14ac:dyDescent="0.25">
      <c r="A6" t="s">
        <v>25</v>
      </c>
    </row>
    <row r="7" spans="1:12" x14ac:dyDescent="0.25">
      <c r="A7" t="s">
        <v>26</v>
      </c>
    </row>
    <row r="9" spans="1:12" x14ac:dyDescent="0.25">
      <c r="A9" s="3" t="s">
        <v>12</v>
      </c>
      <c r="C9" s="262" t="s">
        <v>42</v>
      </c>
      <c r="D9" s="262"/>
      <c r="E9" s="262"/>
      <c r="F9" s="257" t="s">
        <v>43</v>
      </c>
      <c r="G9" s="257"/>
      <c r="H9" s="257"/>
    </row>
    <row r="10" spans="1:12" ht="15.75" thickBot="1" x14ac:dyDescent="0.3">
      <c r="A10" s="4" t="s">
        <v>19</v>
      </c>
      <c r="C10" s="1" t="s">
        <v>13</v>
      </c>
      <c r="D10" s="1" t="s">
        <v>14</v>
      </c>
      <c r="E10" s="1" t="s">
        <v>15</v>
      </c>
      <c r="F10" s="1" t="s">
        <v>16</v>
      </c>
      <c r="G10" s="1" t="s">
        <v>17</v>
      </c>
      <c r="H10" s="1" t="s">
        <v>18</v>
      </c>
    </row>
    <row r="11" spans="1:12" x14ac:dyDescent="0.25">
      <c r="A11" s="148" t="s">
        <v>23</v>
      </c>
      <c r="C11" s="6">
        <v>-13.36</v>
      </c>
      <c r="D11" s="7">
        <v>1.1100000000000001</v>
      </c>
      <c r="E11" s="8">
        <v>0.41</v>
      </c>
      <c r="F11" s="6">
        <v>-6.81</v>
      </c>
      <c r="G11" s="7">
        <v>0.16</v>
      </c>
      <c r="H11" s="8">
        <v>0.51</v>
      </c>
    </row>
    <row r="12" spans="1:12" x14ac:dyDescent="0.25">
      <c r="A12" s="148" t="s">
        <v>24</v>
      </c>
      <c r="C12" s="9">
        <v>-12.13</v>
      </c>
      <c r="D12" s="5">
        <v>1.1100000000000001</v>
      </c>
      <c r="E12" s="10">
        <v>0.26</v>
      </c>
      <c r="F12" s="9">
        <v>-9.02</v>
      </c>
      <c r="G12" s="5">
        <v>0.42</v>
      </c>
      <c r="H12" s="10">
        <v>0.4</v>
      </c>
    </row>
    <row r="13" spans="1:12" x14ac:dyDescent="0.25">
      <c r="A13" s="148" t="s">
        <v>25</v>
      </c>
      <c r="C13" s="9">
        <v>-8.9</v>
      </c>
      <c r="D13" s="5">
        <v>0.82</v>
      </c>
      <c r="E13" s="10">
        <v>0.25</v>
      </c>
      <c r="F13" s="9">
        <v>-5.33</v>
      </c>
      <c r="G13" s="5">
        <v>0.33</v>
      </c>
      <c r="H13" s="10">
        <v>0.12</v>
      </c>
    </row>
    <row r="14" spans="1:12" ht="15.75" thickBot="1" x14ac:dyDescent="0.3">
      <c r="A14" s="148" t="s">
        <v>26</v>
      </c>
      <c r="C14" s="11">
        <v>-10.99</v>
      </c>
      <c r="D14" s="12">
        <v>1.07</v>
      </c>
      <c r="E14" s="13">
        <v>0.23</v>
      </c>
      <c r="F14" s="11">
        <v>-10.210000000000001</v>
      </c>
      <c r="G14" s="12">
        <v>0.68</v>
      </c>
      <c r="H14" s="13">
        <v>0.27</v>
      </c>
      <c r="J14" s="160" t="s">
        <v>314</v>
      </c>
      <c r="K14" s="99"/>
      <c r="L14" s="99"/>
    </row>
    <row r="15" spans="1:12" ht="15.75" thickBot="1" x14ac:dyDescent="0.3">
      <c r="A15" s="4" t="s">
        <v>20</v>
      </c>
      <c r="C15" s="1"/>
      <c r="D15" s="1"/>
      <c r="E15" s="1"/>
      <c r="F15" s="1"/>
      <c r="G15" s="1"/>
      <c r="H15" s="1"/>
      <c r="J15" s="179" t="s">
        <v>27</v>
      </c>
    </row>
    <row r="16" spans="1:12" x14ac:dyDescent="0.25">
      <c r="A16" s="148" t="s">
        <v>23</v>
      </c>
      <c r="C16" s="6">
        <v>-14.01</v>
      </c>
      <c r="D16" s="7">
        <v>1.1599999999999999</v>
      </c>
      <c r="E16" s="156">
        <v>0.3</v>
      </c>
      <c r="F16" s="6"/>
      <c r="G16" s="7"/>
      <c r="H16" s="8"/>
      <c r="J16" s="14">
        <v>0.31</v>
      </c>
    </row>
    <row r="17" spans="1:10" x14ac:dyDescent="0.25">
      <c r="A17" s="148" t="s">
        <v>24</v>
      </c>
      <c r="C17" s="9">
        <v>-11.58</v>
      </c>
      <c r="D17" s="5">
        <v>1.02</v>
      </c>
      <c r="E17" s="10">
        <v>0.17</v>
      </c>
      <c r="F17" s="9">
        <v>-9.75</v>
      </c>
      <c r="G17" s="5">
        <v>0.27</v>
      </c>
      <c r="H17" s="10">
        <v>0.51</v>
      </c>
      <c r="J17" s="15"/>
    </row>
    <row r="18" spans="1:10" x14ac:dyDescent="0.25">
      <c r="A18" s="148" t="s">
        <v>25</v>
      </c>
      <c r="C18" s="9">
        <v>-11.13</v>
      </c>
      <c r="D18" s="5">
        <v>0.93</v>
      </c>
      <c r="E18" s="10">
        <v>0.28000000000000003</v>
      </c>
      <c r="F18" s="9"/>
      <c r="G18" s="5"/>
      <c r="H18" s="10"/>
      <c r="J18" s="15">
        <v>0.28000000000000003</v>
      </c>
    </row>
    <row r="19" spans="1:10" ht="15.75" thickBot="1" x14ac:dyDescent="0.3">
      <c r="A19" s="148" t="s">
        <v>26</v>
      </c>
      <c r="C19" s="11">
        <v>-13.14</v>
      </c>
      <c r="D19" s="12">
        <v>1.18</v>
      </c>
      <c r="E19" s="13">
        <v>0.22</v>
      </c>
      <c r="F19" s="11">
        <v>-9.25</v>
      </c>
      <c r="G19" s="12">
        <v>0.43</v>
      </c>
      <c r="H19" s="13">
        <v>0.28999999999999998</v>
      </c>
      <c r="J19" s="16"/>
    </row>
    <row r="20" spans="1:10" ht="15.75" thickBot="1" x14ac:dyDescent="0.3">
      <c r="A20" s="4" t="s">
        <v>21</v>
      </c>
      <c r="C20" s="1"/>
      <c r="D20" s="1"/>
      <c r="E20" s="1"/>
      <c r="F20" s="1"/>
      <c r="G20" s="1"/>
      <c r="H20" s="1"/>
    </row>
    <row r="21" spans="1:10" x14ac:dyDescent="0.25">
      <c r="A21" s="148" t="s">
        <v>23</v>
      </c>
      <c r="C21" s="6">
        <v>-15.38</v>
      </c>
      <c r="D21" s="178">
        <v>1.2</v>
      </c>
      <c r="E21" s="8">
        <v>0.51</v>
      </c>
      <c r="F21" s="6">
        <v>-8.36</v>
      </c>
      <c r="G21" s="7">
        <v>0.25</v>
      </c>
      <c r="H21" s="8">
        <v>0.55000000000000004</v>
      </c>
    </row>
    <row r="22" spans="1:10" x14ac:dyDescent="0.25">
      <c r="A22" s="148" t="s">
        <v>24</v>
      </c>
      <c r="C22" s="9">
        <v>-13.24</v>
      </c>
      <c r="D22" s="5">
        <v>1.1399999999999999</v>
      </c>
      <c r="E22" s="10">
        <v>0.3</v>
      </c>
      <c r="F22" s="9">
        <v>-9.08</v>
      </c>
      <c r="G22" s="5">
        <v>0.45</v>
      </c>
      <c r="H22" s="10">
        <v>0.33</v>
      </c>
    </row>
    <row r="23" spans="1:10" x14ac:dyDescent="0.25">
      <c r="A23" s="148" t="s">
        <v>25</v>
      </c>
      <c r="C23" s="9">
        <v>-8.74</v>
      </c>
      <c r="D23" s="5">
        <v>0.77</v>
      </c>
      <c r="E23" s="10">
        <v>0.23</v>
      </c>
      <c r="F23" s="9">
        <v>-7.04</v>
      </c>
      <c r="G23" s="5">
        <v>0.36</v>
      </c>
      <c r="H23" s="10">
        <v>0.25</v>
      </c>
    </row>
    <row r="24" spans="1:10" ht="15.75" thickBot="1" x14ac:dyDescent="0.3">
      <c r="A24" s="148" t="s">
        <v>26</v>
      </c>
      <c r="C24" s="11">
        <v>-11.02</v>
      </c>
      <c r="D24" s="12">
        <v>1.02</v>
      </c>
      <c r="E24" s="13">
        <v>0.24</v>
      </c>
      <c r="F24" s="11">
        <v>-11.34</v>
      </c>
      <c r="G24" s="12">
        <v>0.78</v>
      </c>
      <c r="H24" s="13">
        <v>0.25</v>
      </c>
    </row>
    <row r="25" spans="1:10" x14ac:dyDescent="0.25">
      <c r="C25" s="49"/>
      <c r="D25" s="49"/>
      <c r="E25" s="49"/>
      <c r="F25" s="49"/>
      <c r="G25" s="49"/>
      <c r="H25" s="49"/>
    </row>
    <row r="26" spans="1:10" x14ac:dyDescent="0.25">
      <c r="A26" s="3" t="s">
        <v>109</v>
      </c>
      <c r="C26" s="257" t="s">
        <v>303</v>
      </c>
      <c r="D26" s="257"/>
      <c r="E26" s="257"/>
      <c r="F26" s="257"/>
      <c r="G26" s="257"/>
      <c r="H26" s="49"/>
    </row>
    <row r="27" spans="1:10" ht="15.75" thickBot="1" x14ac:dyDescent="0.3">
      <c r="A27" s="4" t="s">
        <v>305</v>
      </c>
      <c r="C27" s="49" t="s">
        <v>56</v>
      </c>
      <c r="D27" s="49" t="s">
        <v>54</v>
      </c>
      <c r="E27" s="49" t="s">
        <v>55</v>
      </c>
      <c r="F27" s="49" t="s">
        <v>99</v>
      </c>
      <c r="G27" s="49" t="s">
        <v>100</v>
      </c>
      <c r="H27" s="49"/>
    </row>
    <row r="28" spans="1:10" x14ac:dyDescent="0.25">
      <c r="A28" s="148" t="s">
        <v>23</v>
      </c>
      <c r="C28" s="6" t="s">
        <v>106</v>
      </c>
      <c r="D28" s="7" t="s">
        <v>106</v>
      </c>
      <c r="E28" s="7" t="s">
        <v>106</v>
      </c>
      <c r="F28" s="7" t="s">
        <v>106</v>
      </c>
      <c r="G28" s="8" t="s">
        <v>106</v>
      </c>
      <c r="H28" s="49"/>
    </row>
    <row r="29" spans="1:10" x14ac:dyDescent="0.25">
      <c r="A29" s="148" t="s">
        <v>24</v>
      </c>
      <c r="C29" s="180">
        <v>-6.6</v>
      </c>
      <c r="D29" s="181">
        <v>0.05</v>
      </c>
      <c r="E29" s="181">
        <v>0.24</v>
      </c>
      <c r="F29" s="181">
        <v>0.41</v>
      </c>
      <c r="G29" s="157">
        <v>0.09</v>
      </c>
      <c r="H29" s="49"/>
    </row>
    <row r="30" spans="1:10" x14ac:dyDescent="0.25">
      <c r="A30" s="148" t="s">
        <v>25</v>
      </c>
      <c r="C30" s="180" t="s">
        <v>106</v>
      </c>
      <c r="D30" s="181" t="s">
        <v>106</v>
      </c>
      <c r="E30" s="181" t="s">
        <v>106</v>
      </c>
      <c r="F30" s="181" t="s">
        <v>106</v>
      </c>
      <c r="G30" s="157" t="s">
        <v>106</v>
      </c>
      <c r="H30" s="49"/>
    </row>
    <row r="31" spans="1:10" ht="15.75" thickBot="1" x14ac:dyDescent="0.3">
      <c r="A31" s="148" t="s">
        <v>26</v>
      </c>
      <c r="C31" s="182">
        <v>-9.5299999999999994</v>
      </c>
      <c r="D31" s="183">
        <v>0.4</v>
      </c>
      <c r="E31" s="183">
        <v>0.26</v>
      </c>
      <c r="F31" s="183">
        <v>0.45</v>
      </c>
      <c r="G31" s="158">
        <v>0.04</v>
      </c>
      <c r="H31" s="49"/>
    </row>
    <row r="32" spans="1:10" s="114" customFormat="1" x14ac:dyDescent="0.25">
      <c r="A32" s="148"/>
      <c r="C32" s="160" t="s">
        <v>315</v>
      </c>
      <c r="D32" s="159"/>
      <c r="E32" s="159"/>
      <c r="F32" s="159"/>
      <c r="G32" s="159"/>
      <c r="H32" s="170"/>
    </row>
    <row r="33" spans="1:8" ht="18.75" thickBot="1" x14ac:dyDescent="0.4">
      <c r="A33" s="4" t="s">
        <v>306</v>
      </c>
      <c r="C33" s="59" t="s">
        <v>101</v>
      </c>
      <c r="D33" s="49"/>
      <c r="E33" s="49"/>
      <c r="F33" s="49"/>
      <c r="G33" s="49"/>
      <c r="H33" s="49"/>
    </row>
    <row r="34" spans="1:8" x14ac:dyDescent="0.25">
      <c r="A34" s="148" t="s">
        <v>23</v>
      </c>
      <c r="C34" s="14">
        <v>2.1000000000000001E-2</v>
      </c>
      <c r="D34" s="49"/>
      <c r="E34" s="49"/>
      <c r="F34" s="49"/>
      <c r="G34" s="49"/>
      <c r="H34" s="49"/>
    </row>
    <row r="35" spans="1:8" x14ac:dyDescent="0.25">
      <c r="A35" s="148" t="s">
        <v>24</v>
      </c>
      <c r="C35" s="15" t="s">
        <v>106</v>
      </c>
      <c r="D35" s="49"/>
      <c r="E35" s="49"/>
      <c r="F35" s="49"/>
      <c r="G35" s="49"/>
      <c r="H35" s="49"/>
    </row>
    <row r="36" spans="1:8" x14ac:dyDescent="0.25">
      <c r="A36" s="148" t="s">
        <v>25</v>
      </c>
      <c r="C36" s="15">
        <v>2.1999999999999999E-2</v>
      </c>
      <c r="D36" s="49"/>
      <c r="E36" s="49"/>
      <c r="F36" s="49"/>
      <c r="G36" s="49"/>
      <c r="H36" s="49"/>
    </row>
    <row r="37" spans="1:8" ht="15.75" thickBot="1" x14ac:dyDescent="0.3">
      <c r="A37" s="148" t="s">
        <v>26</v>
      </c>
      <c r="C37" s="16" t="s">
        <v>106</v>
      </c>
      <c r="D37" s="49"/>
      <c r="E37" s="49"/>
      <c r="F37" s="49"/>
      <c r="G37" s="49"/>
      <c r="H37" s="49"/>
    </row>
    <row r="38" spans="1:8" s="114" customFormat="1" x14ac:dyDescent="0.25">
      <c r="A38" s="148"/>
      <c r="C38" s="160" t="s">
        <v>316</v>
      </c>
      <c r="D38" s="170"/>
      <c r="E38" s="170"/>
      <c r="F38" s="170"/>
      <c r="G38" s="170"/>
      <c r="H38" s="170"/>
    </row>
    <row r="39" spans="1:8" ht="18.75" thickBot="1" x14ac:dyDescent="0.4">
      <c r="A39" s="4" t="s">
        <v>110</v>
      </c>
      <c r="C39" s="59" t="s">
        <v>111</v>
      </c>
      <c r="D39" s="49"/>
      <c r="E39" s="49"/>
      <c r="F39" s="49"/>
      <c r="G39" s="49"/>
      <c r="H39" s="49"/>
    </row>
    <row r="40" spans="1:8" x14ac:dyDescent="0.25">
      <c r="A40" s="148" t="s">
        <v>23</v>
      </c>
      <c r="C40" s="14">
        <v>1.6E-2</v>
      </c>
      <c r="D40" s="49"/>
      <c r="E40" s="49"/>
      <c r="F40" s="49"/>
      <c r="G40" s="49"/>
      <c r="H40" s="49"/>
    </row>
    <row r="41" spans="1:8" x14ac:dyDescent="0.25">
      <c r="A41" s="148" t="s">
        <v>24</v>
      </c>
      <c r="C41" s="15">
        <v>1.0999999999999999E-2</v>
      </c>
      <c r="D41" s="49"/>
      <c r="E41" s="49"/>
      <c r="F41" s="49"/>
      <c r="G41" s="49"/>
      <c r="H41" s="49"/>
    </row>
    <row r="42" spans="1:8" x14ac:dyDescent="0.25">
      <c r="A42" s="148" t="s">
        <v>25</v>
      </c>
      <c r="C42" s="15">
        <v>1.7999999999999999E-2</v>
      </c>
    </row>
    <row r="43" spans="1:8" ht="15.75" thickBot="1" x14ac:dyDescent="0.3">
      <c r="A43" s="148" t="s">
        <v>26</v>
      </c>
      <c r="C43" s="16">
        <v>1.4999999999999999E-2</v>
      </c>
    </row>
    <row r="45" spans="1:8" s="114" customFormat="1" x14ac:dyDescent="0.25">
      <c r="C45" s="258" t="s">
        <v>317</v>
      </c>
      <c r="D45" s="258"/>
    </row>
    <row r="46" spans="1:8" ht="15.75" thickBot="1" x14ac:dyDescent="0.3">
      <c r="A46" s="3" t="s">
        <v>307</v>
      </c>
      <c r="C46" s="146" t="s">
        <v>136</v>
      </c>
      <c r="D46" s="146" t="s">
        <v>137</v>
      </c>
    </row>
    <row r="47" spans="1:8" x14ac:dyDescent="0.25">
      <c r="A47" t="s">
        <v>23</v>
      </c>
      <c r="C47" s="153">
        <v>0.67</v>
      </c>
      <c r="D47" s="185">
        <v>1</v>
      </c>
    </row>
    <row r="48" spans="1:8" x14ac:dyDescent="0.25">
      <c r="A48" t="s">
        <v>24</v>
      </c>
      <c r="C48" s="154">
        <v>0.93</v>
      </c>
      <c r="D48" s="186">
        <v>0.93</v>
      </c>
    </row>
    <row r="49" spans="1:7" x14ac:dyDescent="0.25">
      <c r="A49" t="s">
        <v>25</v>
      </c>
      <c r="C49" s="154">
        <v>0.73</v>
      </c>
      <c r="D49" s="186">
        <v>1</v>
      </c>
    </row>
    <row r="50" spans="1:7" ht="15.75" thickBot="1" x14ac:dyDescent="0.3">
      <c r="A50" t="s">
        <v>26</v>
      </c>
      <c r="C50" s="155">
        <v>0.9</v>
      </c>
      <c r="D50" s="187">
        <v>0.9</v>
      </c>
    </row>
    <row r="51" spans="1:7" s="114" customFormat="1" x14ac:dyDescent="0.25">
      <c r="C51" s="59"/>
      <c r="D51" s="18"/>
    </row>
    <row r="52" spans="1:7" ht="15.75" thickBot="1" x14ac:dyDescent="0.3">
      <c r="A52" s="3" t="s">
        <v>308</v>
      </c>
      <c r="C52" s="189" t="s">
        <v>318</v>
      </c>
    </row>
    <row r="53" spans="1:7" x14ac:dyDescent="0.25">
      <c r="A53" t="s">
        <v>129</v>
      </c>
      <c r="C53" s="149">
        <v>1</v>
      </c>
    </row>
    <row r="54" spans="1:7" x14ac:dyDescent="0.25">
      <c r="A54" t="s">
        <v>131</v>
      </c>
      <c r="C54" s="150">
        <v>0.94</v>
      </c>
    </row>
    <row r="55" spans="1:7" ht="15.75" thickBot="1" x14ac:dyDescent="0.3">
      <c r="A55" t="s">
        <v>130</v>
      </c>
      <c r="C55" s="151">
        <v>0.99</v>
      </c>
    </row>
    <row r="56" spans="1:7" s="114" customFormat="1" x14ac:dyDescent="0.25">
      <c r="C56" s="152"/>
    </row>
    <row r="57" spans="1:7" s="114" customFormat="1" x14ac:dyDescent="0.25">
      <c r="C57" s="258" t="s">
        <v>321</v>
      </c>
      <c r="D57" s="258"/>
    </row>
    <row r="58" spans="1:7" ht="15.75" thickBot="1" x14ac:dyDescent="0.3">
      <c r="A58" s="3" t="s">
        <v>309</v>
      </c>
      <c r="C58" s="188" t="s">
        <v>319</v>
      </c>
      <c r="D58" s="188" t="s">
        <v>320</v>
      </c>
    </row>
    <row r="59" spans="1:7" x14ac:dyDescent="0.25">
      <c r="A59" t="s">
        <v>23</v>
      </c>
      <c r="C59" s="153">
        <v>0.86</v>
      </c>
      <c r="D59" s="156">
        <v>1</v>
      </c>
    </row>
    <row r="60" spans="1:7" x14ac:dyDescent="0.25">
      <c r="A60" t="s">
        <v>24</v>
      </c>
      <c r="C60" s="154">
        <v>0.96</v>
      </c>
      <c r="D60" s="157">
        <v>0.96</v>
      </c>
    </row>
    <row r="61" spans="1:7" x14ac:dyDescent="0.25">
      <c r="A61" t="s">
        <v>25</v>
      </c>
      <c r="C61" s="154">
        <v>0.86</v>
      </c>
      <c r="D61" s="157">
        <v>1</v>
      </c>
    </row>
    <row r="62" spans="1:7" ht="15.75" thickBot="1" x14ac:dyDescent="0.3">
      <c r="A62" t="s">
        <v>26</v>
      </c>
      <c r="C62" s="155">
        <v>0.96</v>
      </c>
      <c r="D62" s="158">
        <v>0.96</v>
      </c>
    </row>
    <row r="63" spans="1:7" s="114" customFormat="1" x14ac:dyDescent="0.25">
      <c r="C63" s="152"/>
      <c r="D63" s="159"/>
      <c r="G63" s="188"/>
    </row>
    <row r="64" spans="1:7" s="114" customFormat="1" x14ac:dyDescent="0.25">
      <c r="C64" s="152"/>
      <c r="D64" s="159"/>
    </row>
    <row r="65" spans="1:8" x14ac:dyDescent="0.25">
      <c r="A65" s="3" t="s">
        <v>134</v>
      </c>
    </row>
    <row r="66" spans="1:8" x14ac:dyDescent="0.25">
      <c r="A66" t="s">
        <v>132</v>
      </c>
    </row>
    <row r="67" spans="1:8" x14ac:dyDescent="0.25">
      <c r="A67" t="s">
        <v>133</v>
      </c>
    </row>
    <row r="68" spans="1:8" ht="15.75" thickBot="1" x14ac:dyDescent="0.3">
      <c r="A68" s="3" t="s">
        <v>310</v>
      </c>
      <c r="C68" s="189" t="s">
        <v>322</v>
      </c>
    </row>
    <row r="69" spans="1:8" x14ac:dyDescent="0.25">
      <c r="A69" t="s">
        <v>23</v>
      </c>
      <c r="C69" s="14">
        <v>0.23799999999999999</v>
      </c>
    </row>
    <row r="70" spans="1:8" x14ac:dyDescent="0.25">
      <c r="A70" t="s">
        <v>24</v>
      </c>
      <c r="C70" s="15">
        <v>0.23499999999999999</v>
      </c>
    </row>
    <row r="71" spans="1:8" x14ac:dyDescent="0.25">
      <c r="A71" t="s">
        <v>25</v>
      </c>
      <c r="C71" s="15">
        <v>0.22900000000000001</v>
      </c>
    </row>
    <row r="72" spans="1:8" ht="15.75" thickBot="1" x14ac:dyDescent="0.3">
      <c r="A72" t="s">
        <v>26</v>
      </c>
      <c r="C72" s="16">
        <v>0.23499999999999999</v>
      </c>
    </row>
    <row r="73" spans="1:8" s="114" customFormat="1" x14ac:dyDescent="0.25">
      <c r="C73" s="146"/>
    </row>
    <row r="77" spans="1:8" ht="20.25" thickBot="1" x14ac:dyDescent="0.35">
      <c r="A77" s="147" t="s">
        <v>223</v>
      </c>
    </row>
    <row r="78" spans="1:8" ht="15.75" thickTop="1" x14ac:dyDescent="0.25"/>
    <row r="79" spans="1:8" x14ac:dyDescent="0.25">
      <c r="A79" s="3" t="s">
        <v>12</v>
      </c>
      <c r="C79" s="262" t="s">
        <v>237</v>
      </c>
      <c r="D79" s="262"/>
      <c r="E79" s="257" t="s">
        <v>43</v>
      </c>
      <c r="F79" s="257"/>
      <c r="G79" s="99"/>
      <c r="H79" s="99"/>
    </row>
    <row r="80" spans="1:8" ht="15.75" thickBot="1" x14ac:dyDescent="0.3">
      <c r="A80" s="4" t="s">
        <v>19</v>
      </c>
      <c r="C80" s="93" t="s">
        <v>13</v>
      </c>
      <c r="D80" s="93" t="s">
        <v>14</v>
      </c>
      <c r="E80" s="93" t="s">
        <v>16</v>
      </c>
      <c r="F80" s="93" t="s">
        <v>17</v>
      </c>
    </row>
    <row r="81" spans="1:6" x14ac:dyDescent="0.25">
      <c r="A81" t="s">
        <v>232</v>
      </c>
      <c r="C81" s="6">
        <v>-15.22</v>
      </c>
      <c r="D81" s="8">
        <v>1.68</v>
      </c>
      <c r="E81" s="100">
        <v>-5.47</v>
      </c>
      <c r="F81" s="8">
        <v>0.56000000000000005</v>
      </c>
    </row>
    <row r="82" spans="1:6" x14ac:dyDescent="0.25">
      <c r="A82" t="s">
        <v>228</v>
      </c>
      <c r="C82" s="9">
        <v>-12.4</v>
      </c>
      <c r="D82" s="10">
        <v>1.41</v>
      </c>
      <c r="E82" s="101">
        <v>-5.74</v>
      </c>
      <c r="F82" s="10">
        <v>0.54</v>
      </c>
    </row>
    <row r="83" spans="1:6" x14ac:dyDescent="0.25">
      <c r="A83" t="s">
        <v>231</v>
      </c>
      <c r="C83" s="9">
        <v>-11.63</v>
      </c>
      <c r="D83" s="10">
        <v>1.33</v>
      </c>
      <c r="E83" s="101">
        <v>-7.99</v>
      </c>
      <c r="F83" s="10">
        <v>0.81</v>
      </c>
    </row>
    <row r="84" spans="1:6" x14ac:dyDescent="0.25">
      <c r="A84" t="s">
        <v>230</v>
      </c>
      <c r="C84" s="9">
        <v>-13.34</v>
      </c>
      <c r="D84" s="10">
        <v>1.36</v>
      </c>
      <c r="E84" s="101">
        <v>-5.05</v>
      </c>
      <c r="F84" s="10">
        <v>0.47</v>
      </c>
    </row>
    <row r="85" spans="1:6" ht="15.75" thickBot="1" x14ac:dyDescent="0.3">
      <c r="A85" t="s">
        <v>229</v>
      </c>
      <c r="C85" s="11">
        <v>-9.6999999999999993</v>
      </c>
      <c r="D85" s="13">
        <v>1.17</v>
      </c>
      <c r="E85" s="102">
        <v>-4.82</v>
      </c>
      <c r="F85" s="13">
        <v>0.54</v>
      </c>
    </row>
    <row r="86" spans="1:6" ht="15.75" thickBot="1" x14ac:dyDescent="0.3">
      <c r="A86" s="4" t="s">
        <v>20</v>
      </c>
      <c r="C86" s="93"/>
      <c r="D86" s="93"/>
      <c r="E86" s="93"/>
      <c r="F86" s="93"/>
    </row>
    <row r="87" spans="1:6" x14ac:dyDescent="0.25">
      <c r="A87" t="s">
        <v>232</v>
      </c>
      <c r="C87" s="6">
        <v>-16.22</v>
      </c>
      <c r="D87" s="8">
        <v>1.66</v>
      </c>
      <c r="E87" s="100">
        <v>-3.96</v>
      </c>
      <c r="F87" s="8">
        <v>0.23</v>
      </c>
    </row>
    <row r="88" spans="1:6" x14ac:dyDescent="0.25">
      <c r="A88" t="s">
        <v>228</v>
      </c>
      <c r="C88" s="9">
        <v>-16.45</v>
      </c>
      <c r="D88" s="10">
        <v>1.69</v>
      </c>
      <c r="E88" s="101">
        <v>-6.37</v>
      </c>
      <c r="F88" s="10">
        <v>0.47</v>
      </c>
    </row>
    <row r="89" spans="1:6" x14ac:dyDescent="0.25">
      <c r="A89" t="s">
        <v>231</v>
      </c>
      <c r="C89" s="9">
        <v>-12.08</v>
      </c>
      <c r="D89" s="10">
        <v>1.25</v>
      </c>
      <c r="E89" s="101">
        <v>-7.37</v>
      </c>
      <c r="F89" s="10">
        <v>0.61</v>
      </c>
    </row>
    <row r="90" spans="1:6" x14ac:dyDescent="0.25">
      <c r="A90" t="s">
        <v>230</v>
      </c>
      <c r="C90" s="9">
        <v>-12.76</v>
      </c>
      <c r="D90" s="10">
        <v>1.28</v>
      </c>
      <c r="E90" s="101">
        <v>-8.7100000000000009</v>
      </c>
      <c r="F90" s="10">
        <v>0.66</v>
      </c>
    </row>
    <row r="91" spans="1:6" ht="15.75" thickBot="1" x14ac:dyDescent="0.3">
      <c r="A91" t="s">
        <v>229</v>
      </c>
      <c r="C91" s="11">
        <v>-10.47</v>
      </c>
      <c r="D91" s="13">
        <v>1.1200000000000001</v>
      </c>
      <c r="E91" s="102">
        <v>-4.43</v>
      </c>
      <c r="F91" s="13">
        <v>0.35</v>
      </c>
    </row>
    <row r="92" spans="1:6" ht="15.75" thickBot="1" x14ac:dyDescent="0.3">
      <c r="A92" s="4" t="s">
        <v>21</v>
      </c>
      <c r="C92" s="93"/>
      <c r="D92" s="93"/>
      <c r="E92" s="93"/>
      <c r="F92" s="93"/>
    </row>
    <row r="93" spans="1:6" x14ac:dyDescent="0.25">
      <c r="A93" t="s">
        <v>232</v>
      </c>
      <c r="C93" s="6">
        <v>-15.62</v>
      </c>
      <c r="D93" s="8">
        <v>1.69</v>
      </c>
      <c r="E93" s="100">
        <v>-6.51</v>
      </c>
      <c r="F93" s="8">
        <v>0.64</v>
      </c>
    </row>
    <row r="94" spans="1:6" x14ac:dyDescent="0.25">
      <c r="A94" t="s">
        <v>228</v>
      </c>
      <c r="C94" s="9">
        <v>-11.95</v>
      </c>
      <c r="D94" s="10">
        <v>1.33</v>
      </c>
      <c r="E94" s="101">
        <v>-6.28</v>
      </c>
      <c r="F94" s="10">
        <v>0.56000000000000005</v>
      </c>
    </row>
    <row r="95" spans="1:6" x14ac:dyDescent="0.25">
      <c r="A95" t="s">
        <v>231</v>
      </c>
      <c r="C95" s="9">
        <v>-12.53</v>
      </c>
      <c r="D95" s="10">
        <v>1.38</v>
      </c>
      <c r="E95" s="101">
        <v>-8.5</v>
      </c>
      <c r="F95" s="10">
        <v>0.84</v>
      </c>
    </row>
    <row r="96" spans="1:6" x14ac:dyDescent="0.25">
      <c r="A96" t="s">
        <v>230</v>
      </c>
      <c r="C96" s="9">
        <v>-12.81</v>
      </c>
      <c r="D96" s="10">
        <v>1.38</v>
      </c>
      <c r="E96" s="101">
        <v>-5.04</v>
      </c>
      <c r="F96" s="10">
        <v>0.45</v>
      </c>
    </row>
    <row r="97" spans="1:12" ht="15.75" thickBot="1" x14ac:dyDescent="0.3">
      <c r="A97" t="s">
        <v>229</v>
      </c>
      <c r="C97" s="11">
        <v>-9.9700000000000006</v>
      </c>
      <c r="D97" s="13">
        <v>1.17</v>
      </c>
      <c r="E97" s="102">
        <v>-5.83</v>
      </c>
      <c r="F97" s="13">
        <v>0.61</v>
      </c>
    </row>
    <row r="99" spans="1:12" x14ac:dyDescent="0.25">
      <c r="C99" s="258" t="s">
        <v>311</v>
      </c>
      <c r="D99" s="258"/>
      <c r="E99" s="258"/>
      <c r="F99" s="258"/>
      <c r="G99" s="258"/>
      <c r="H99" s="258"/>
      <c r="I99" s="258"/>
      <c r="J99" s="258"/>
      <c r="K99" s="258"/>
    </row>
    <row r="100" spans="1:12" ht="15.75" thickBot="1" x14ac:dyDescent="0.3">
      <c r="A100" s="4" t="s">
        <v>313</v>
      </c>
      <c r="C100" s="170" t="s">
        <v>238</v>
      </c>
      <c r="D100" s="170" t="s">
        <v>239</v>
      </c>
      <c r="E100" s="170" t="s">
        <v>240</v>
      </c>
      <c r="F100" s="170" t="s">
        <v>241</v>
      </c>
      <c r="G100" s="170" t="s">
        <v>242</v>
      </c>
      <c r="H100" s="170" t="s">
        <v>243</v>
      </c>
      <c r="I100" s="170" t="s">
        <v>214</v>
      </c>
      <c r="J100" s="170" t="s">
        <v>251</v>
      </c>
      <c r="K100" s="170" t="s">
        <v>252</v>
      </c>
    </row>
    <row r="101" spans="1:12" x14ac:dyDescent="0.25">
      <c r="A101" t="s">
        <v>232</v>
      </c>
      <c r="C101" s="161">
        <v>0.158</v>
      </c>
      <c r="D101" s="7">
        <v>0.05</v>
      </c>
      <c r="E101" s="7">
        <v>0.17199999999999999</v>
      </c>
      <c r="F101" s="7">
        <v>2.3E-2</v>
      </c>
      <c r="G101" s="7">
        <v>8.3000000000000004E-2</v>
      </c>
      <c r="H101" s="7">
        <v>1.6E-2</v>
      </c>
      <c r="I101" s="7">
        <v>2.5000000000000001E-2</v>
      </c>
      <c r="J101" s="7">
        <v>1</v>
      </c>
      <c r="K101" s="162">
        <v>0.32300000000000001</v>
      </c>
      <c r="L101" s="179"/>
    </row>
    <row r="102" spans="1:12" x14ac:dyDescent="0.25">
      <c r="A102" t="s">
        <v>228</v>
      </c>
      <c r="C102" s="9">
        <v>0.10199999999999999</v>
      </c>
      <c r="D102" s="5">
        <v>3.2000000000000001E-2</v>
      </c>
      <c r="E102" s="5">
        <v>0.11</v>
      </c>
      <c r="F102" s="5">
        <v>1.4999999999999999E-2</v>
      </c>
      <c r="G102" s="5">
        <v>5.2999999999999999E-2</v>
      </c>
      <c r="H102" s="190">
        <v>0.01</v>
      </c>
      <c r="I102" s="5">
        <v>1.6E-2</v>
      </c>
      <c r="J102" s="5">
        <v>1</v>
      </c>
      <c r="K102" s="10">
        <v>0.24299999999999999</v>
      </c>
    </row>
    <row r="103" spans="1:12" x14ac:dyDescent="0.25">
      <c r="A103" t="s">
        <v>231</v>
      </c>
      <c r="C103" s="9">
        <v>0.182</v>
      </c>
      <c r="D103" s="5">
        <v>5.8000000000000003E-2</v>
      </c>
      <c r="E103" s="5">
        <v>0.19800000000000001</v>
      </c>
      <c r="F103" s="5">
        <v>2.5999999999999999E-2</v>
      </c>
      <c r="G103" s="5">
        <v>9.6000000000000002E-2</v>
      </c>
      <c r="H103" s="5">
        <v>1.7999999999999999E-2</v>
      </c>
      <c r="I103" s="5">
        <v>2.9000000000000001E-2</v>
      </c>
      <c r="J103" s="5">
        <v>1.1719999999999999</v>
      </c>
      <c r="K103" s="10">
        <v>0.34200000000000003</v>
      </c>
    </row>
    <row r="104" spans="1:12" x14ac:dyDescent="0.25">
      <c r="A104" t="s">
        <v>230</v>
      </c>
      <c r="C104" s="9">
        <v>3.3000000000000002E-2</v>
      </c>
      <c r="D104" s="5">
        <v>1.0999999999999999E-2</v>
      </c>
      <c r="E104" s="5">
        <v>3.5999999999999997E-2</v>
      </c>
      <c r="F104" s="5">
        <v>5.0000000000000001E-3</v>
      </c>
      <c r="G104" s="5">
        <v>1.7999999999999999E-2</v>
      </c>
      <c r="H104" s="5">
        <v>3.0000000000000001E-3</v>
      </c>
      <c r="I104" s="5">
        <v>5.0000000000000001E-3</v>
      </c>
      <c r="J104" s="5">
        <v>1.1060000000000001</v>
      </c>
      <c r="K104" s="10">
        <v>0.28399999999999997</v>
      </c>
    </row>
    <row r="105" spans="1:12" ht="15.75" thickBot="1" x14ac:dyDescent="0.3">
      <c r="A105" t="s">
        <v>229</v>
      </c>
      <c r="C105" s="11">
        <v>0.16500000000000001</v>
      </c>
      <c r="D105" s="12">
        <v>5.2999999999999999E-2</v>
      </c>
      <c r="E105" s="12">
        <v>0.18099999999999999</v>
      </c>
      <c r="F105" s="12">
        <v>2.4E-2</v>
      </c>
      <c r="G105" s="12">
        <v>8.6999999999999994E-2</v>
      </c>
      <c r="H105" s="12">
        <v>1.6E-2</v>
      </c>
      <c r="I105" s="12">
        <v>2.7E-2</v>
      </c>
      <c r="J105" s="12">
        <v>1.1719999999999999</v>
      </c>
      <c r="K105" s="13">
        <v>0.26900000000000002</v>
      </c>
    </row>
    <row r="107" spans="1:12" ht="15.75" thickBot="1" x14ac:dyDescent="0.3">
      <c r="C107" s="259" t="s">
        <v>324</v>
      </c>
      <c r="D107" s="259"/>
      <c r="E107" s="259" t="s">
        <v>312</v>
      </c>
      <c r="F107" s="259"/>
    </row>
    <row r="108" spans="1:12" x14ac:dyDescent="0.25">
      <c r="A108" s="4" t="s">
        <v>261</v>
      </c>
      <c r="C108" s="161" t="s">
        <v>259</v>
      </c>
      <c r="D108" s="162" t="s">
        <v>260</v>
      </c>
      <c r="E108" s="161" t="s">
        <v>259</v>
      </c>
      <c r="F108" s="162" t="s">
        <v>260</v>
      </c>
    </row>
    <row r="109" spans="1:12" x14ac:dyDescent="0.25">
      <c r="A109" t="s">
        <v>232</v>
      </c>
      <c r="C109" s="138">
        <v>3.5999999999999997E-2</v>
      </c>
      <c r="D109" s="194">
        <v>5.0000000000000001E-3</v>
      </c>
      <c r="E109" s="138">
        <v>1.7999999999999999E-2</v>
      </c>
      <c r="F109" s="194">
        <v>4.0000000000000001E-3</v>
      </c>
    </row>
    <row r="110" spans="1:12" x14ac:dyDescent="0.25">
      <c r="A110" t="s">
        <v>228</v>
      </c>
      <c r="C110" s="138">
        <v>4.1000000000000002E-2</v>
      </c>
      <c r="D110" s="194">
        <v>1.2999999999999999E-2</v>
      </c>
      <c r="E110" s="138">
        <v>2.7E-2</v>
      </c>
      <c r="F110" s="194">
        <v>7.0000000000000001E-3</v>
      </c>
    </row>
    <row r="111" spans="1:12" x14ac:dyDescent="0.25">
      <c r="A111" t="s">
        <v>231</v>
      </c>
      <c r="C111" s="138">
        <v>2.1999999999999999E-2</v>
      </c>
      <c r="D111" s="194">
        <v>8.9999999999999993E-3</v>
      </c>
      <c r="E111" s="138">
        <v>1.0999999999999999E-2</v>
      </c>
      <c r="F111" s="194">
        <v>2E-3</v>
      </c>
    </row>
    <row r="112" spans="1:12" x14ac:dyDescent="0.25">
      <c r="A112" t="s">
        <v>230</v>
      </c>
      <c r="C112" s="138">
        <v>6.7000000000000004E-2</v>
      </c>
      <c r="D112" s="194">
        <v>1.9E-2</v>
      </c>
      <c r="E112" s="138">
        <v>1.2999999999999999E-2</v>
      </c>
      <c r="F112" s="194">
        <v>5.0000000000000001E-3</v>
      </c>
    </row>
    <row r="113" spans="1:6" ht="15.75" thickBot="1" x14ac:dyDescent="0.3">
      <c r="A113" t="s">
        <v>229</v>
      </c>
      <c r="C113" s="141">
        <v>0.03</v>
      </c>
      <c r="D113" s="195">
        <v>2.3E-2</v>
      </c>
      <c r="E113" s="184">
        <v>0.05</v>
      </c>
      <c r="F113" s="195">
        <v>1.2E-2</v>
      </c>
    </row>
    <row r="114" spans="1:6" ht="15.75" thickBot="1" x14ac:dyDescent="0.3">
      <c r="A114" s="4"/>
      <c r="B114" s="257" t="s">
        <v>323</v>
      </c>
      <c r="C114" s="257"/>
      <c r="D114" s="257"/>
      <c r="E114" s="257"/>
    </row>
    <row r="115" spans="1:6" ht="15.75" thickBot="1" x14ac:dyDescent="0.3">
      <c r="B115" s="260" t="s">
        <v>268</v>
      </c>
      <c r="C115" s="261"/>
      <c r="D115" s="260" t="s">
        <v>222</v>
      </c>
      <c r="E115" s="261"/>
    </row>
    <row r="116" spans="1:6" x14ac:dyDescent="0.25">
      <c r="A116" s="3" t="s">
        <v>307</v>
      </c>
      <c r="B116" s="191" t="s">
        <v>266</v>
      </c>
      <c r="C116" s="191" t="s">
        <v>267</v>
      </c>
      <c r="D116" s="191" t="s">
        <v>266</v>
      </c>
      <c r="E116" s="191" t="s">
        <v>267</v>
      </c>
    </row>
    <row r="117" spans="1:6" x14ac:dyDescent="0.25">
      <c r="A117" t="s">
        <v>232</v>
      </c>
      <c r="B117" s="192">
        <v>1.4650000000000001</v>
      </c>
      <c r="C117" s="192">
        <v>2.0739999999999998</v>
      </c>
      <c r="D117" s="192">
        <v>3.4279999999999999</v>
      </c>
      <c r="E117" s="192">
        <v>4.8529999999999998</v>
      </c>
    </row>
    <row r="118" spans="1:6" x14ac:dyDescent="0.25">
      <c r="A118" t="s">
        <v>228</v>
      </c>
      <c r="B118" s="192">
        <v>1.4650000000000001</v>
      </c>
      <c r="C118" s="192">
        <v>2.0739999999999998</v>
      </c>
      <c r="D118" s="192">
        <v>3.4279999999999999</v>
      </c>
      <c r="E118" s="192">
        <v>4.8529999999999998</v>
      </c>
    </row>
    <row r="119" spans="1:6" x14ac:dyDescent="0.25">
      <c r="A119" t="s">
        <v>231</v>
      </c>
      <c r="B119" s="192">
        <v>1.1000000000000001</v>
      </c>
      <c r="C119" s="192">
        <v>1.7090000000000001</v>
      </c>
      <c r="D119" s="192">
        <v>2.5739999999999998</v>
      </c>
      <c r="E119" s="192">
        <v>3.9990000000000001</v>
      </c>
    </row>
    <row r="120" spans="1:6" x14ac:dyDescent="0.25">
      <c r="A120" t="s">
        <v>230</v>
      </c>
      <c r="B120" s="192">
        <v>1.1000000000000001</v>
      </c>
      <c r="C120" s="192">
        <v>1.7090000000000001</v>
      </c>
      <c r="D120" s="192">
        <v>2.5739999999999998</v>
      </c>
      <c r="E120" s="192">
        <v>3.9990000000000001</v>
      </c>
    </row>
    <row r="121" spans="1:6" ht="15.75" thickBot="1" x14ac:dyDescent="0.3">
      <c r="A121" t="s">
        <v>229</v>
      </c>
      <c r="B121" s="193">
        <v>1.1000000000000001</v>
      </c>
      <c r="C121" s="193">
        <v>1.7090000000000001</v>
      </c>
      <c r="D121" s="193">
        <v>2.5739999999999998</v>
      </c>
      <c r="E121" s="193">
        <v>3.9990000000000001</v>
      </c>
    </row>
    <row r="123" spans="1:6" s="114" customFormat="1" x14ac:dyDescent="0.25">
      <c r="B123" s="3" t="s">
        <v>326</v>
      </c>
    </row>
    <row r="124" spans="1:6" ht="18.75" thickBot="1" x14ac:dyDescent="0.4">
      <c r="A124" s="3" t="s">
        <v>270</v>
      </c>
      <c r="B124" s="163" t="s">
        <v>325</v>
      </c>
    </row>
    <row r="125" spans="1:6" x14ac:dyDescent="0.25">
      <c r="A125" s="196">
        <v>2</v>
      </c>
      <c r="B125" s="14">
        <v>0.23200000000000001</v>
      </c>
    </row>
    <row r="126" spans="1:6" x14ac:dyDescent="0.25">
      <c r="A126" s="196">
        <v>5</v>
      </c>
      <c r="B126" s="15">
        <v>0.13300000000000001</v>
      </c>
    </row>
    <row r="127" spans="1:6" x14ac:dyDescent="0.25">
      <c r="A127" s="196">
        <v>10</v>
      </c>
      <c r="B127" s="15">
        <v>8.6999999999999994E-2</v>
      </c>
    </row>
    <row r="128" spans="1:6" x14ac:dyDescent="0.25">
      <c r="A128" s="196">
        <v>15</v>
      </c>
      <c r="B128" s="15">
        <v>6.8000000000000005E-2</v>
      </c>
    </row>
    <row r="129" spans="1:2" x14ac:dyDescent="0.25">
      <c r="A129" s="196">
        <v>20</v>
      </c>
      <c r="B129" s="15">
        <v>5.7000000000000002E-2</v>
      </c>
    </row>
    <row r="130" spans="1:2" x14ac:dyDescent="0.25">
      <c r="A130" s="196">
        <v>25</v>
      </c>
      <c r="B130" s="15">
        <v>4.9000000000000002E-2</v>
      </c>
    </row>
    <row r="131" spans="1:2" ht="15.75" thickBot="1" x14ac:dyDescent="0.3">
      <c r="A131" s="196">
        <v>30</v>
      </c>
      <c r="B131" s="16">
        <v>4.3999999999999997E-2</v>
      </c>
    </row>
    <row r="133" spans="1:2" s="114" customFormat="1" x14ac:dyDescent="0.25">
      <c r="B133" s="3" t="s">
        <v>327</v>
      </c>
    </row>
    <row r="134" spans="1:2" s="114" customFormat="1" ht="18.75" thickBot="1" x14ac:dyDescent="0.4">
      <c r="B134" s="163" t="s">
        <v>328</v>
      </c>
    </row>
    <row r="135" spans="1:2" x14ac:dyDescent="0.25">
      <c r="A135" t="s">
        <v>232</v>
      </c>
      <c r="B135" s="14">
        <v>5.8999999999999997E-2</v>
      </c>
    </row>
    <row r="136" spans="1:2" x14ac:dyDescent="0.25">
      <c r="A136" t="s">
        <v>228</v>
      </c>
      <c r="B136" s="15">
        <v>3.4000000000000002E-2</v>
      </c>
    </row>
    <row r="137" spans="1:2" x14ac:dyDescent="0.25">
      <c r="A137" t="s">
        <v>231</v>
      </c>
      <c r="B137" s="15">
        <v>3.6999999999999998E-2</v>
      </c>
    </row>
    <row r="138" spans="1:2" x14ac:dyDescent="0.25">
      <c r="A138" t="s">
        <v>230</v>
      </c>
      <c r="B138" s="15">
        <v>3.5999999999999997E-2</v>
      </c>
    </row>
    <row r="139" spans="1:2" ht="15.75" thickBot="1" x14ac:dyDescent="0.3">
      <c r="A139" t="s">
        <v>229</v>
      </c>
      <c r="B139" s="16">
        <v>1.6E-2</v>
      </c>
    </row>
    <row r="141" spans="1:2" s="114" customFormat="1" ht="15.75" thickBot="1" x14ac:dyDescent="0.3">
      <c r="A141" s="3" t="s">
        <v>330</v>
      </c>
      <c r="B141" s="3" t="s">
        <v>329</v>
      </c>
    </row>
    <row r="142" spans="1:2" x14ac:dyDescent="0.25">
      <c r="A142" t="s">
        <v>272</v>
      </c>
      <c r="B142" s="197">
        <v>1</v>
      </c>
    </row>
    <row r="143" spans="1:2" x14ac:dyDescent="0.25">
      <c r="A143" t="s">
        <v>273</v>
      </c>
      <c r="B143" s="192">
        <v>1.01</v>
      </c>
    </row>
    <row r="144" spans="1:2" x14ac:dyDescent="0.25">
      <c r="A144" t="s">
        <v>274</v>
      </c>
      <c r="B144" s="192">
        <v>1</v>
      </c>
    </row>
    <row r="145" spans="1:5" x14ac:dyDescent="0.25">
      <c r="A145" t="s">
        <v>275</v>
      </c>
      <c r="B145" s="192">
        <v>0.99</v>
      </c>
    </row>
    <row r="146" spans="1:5" x14ac:dyDescent="0.25">
      <c r="A146" t="s">
        <v>276</v>
      </c>
      <c r="B146" s="192">
        <v>0.98</v>
      </c>
    </row>
    <row r="147" spans="1:5" x14ac:dyDescent="0.25">
      <c r="A147" t="s">
        <v>277</v>
      </c>
      <c r="B147" s="192">
        <v>0.97</v>
      </c>
    </row>
    <row r="148" spans="1:5" x14ac:dyDescent="0.25">
      <c r="A148" t="s">
        <v>278</v>
      </c>
      <c r="B148" s="192">
        <v>0.96</v>
      </c>
    </row>
    <row r="149" spans="1:5" x14ac:dyDescent="0.25">
      <c r="A149" t="s">
        <v>279</v>
      </c>
      <c r="B149" s="192">
        <v>0.95</v>
      </c>
    </row>
    <row r="150" spans="1:5" x14ac:dyDescent="0.25">
      <c r="A150" t="s">
        <v>280</v>
      </c>
      <c r="B150" s="192">
        <v>0.94</v>
      </c>
    </row>
    <row r="151" spans="1:5" x14ac:dyDescent="0.25">
      <c r="A151" t="s">
        <v>281</v>
      </c>
      <c r="B151" s="192">
        <v>0.93</v>
      </c>
    </row>
    <row r="152" spans="1:5" x14ac:dyDescent="0.25">
      <c r="A152" t="s">
        <v>282</v>
      </c>
      <c r="B152" s="192">
        <v>0.93</v>
      </c>
    </row>
    <row r="153" spans="1:5" x14ac:dyDescent="0.25">
      <c r="A153" t="s">
        <v>283</v>
      </c>
      <c r="B153" s="192">
        <v>0.92</v>
      </c>
    </row>
    <row r="154" spans="1:5" ht="15.75" thickBot="1" x14ac:dyDescent="0.3">
      <c r="A154" t="s">
        <v>271</v>
      </c>
      <c r="B154" s="193">
        <v>1</v>
      </c>
    </row>
    <row r="156" spans="1:5" s="114" customFormat="1" x14ac:dyDescent="0.25">
      <c r="A156" s="114" t="s">
        <v>331</v>
      </c>
      <c r="B156" s="257" t="s">
        <v>336</v>
      </c>
      <c r="C156" s="257"/>
      <c r="D156" s="257"/>
      <c r="E156" s="257"/>
    </row>
    <row r="157" spans="1:5" s="114" customFormat="1" ht="18.75" thickBot="1" x14ac:dyDescent="0.4">
      <c r="B157" s="163" t="s">
        <v>332</v>
      </c>
      <c r="C157" s="163" t="s">
        <v>333</v>
      </c>
      <c r="D157" s="163" t="s">
        <v>334</v>
      </c>
      <c r="E157" s="163" t="s">
        <v>335</v>
      </c>
    </row>
    <row r="158" spans="1:5" x14ac:dyDescent="0.25">
      <c r="A158" t="s">
        <v>232</v>
      </c>
      <c r="B158" s="139">
        <v>0.42399999999999999</v>
      </c>
      <c r="C158" s="198">
        <v>0.57599999999999996</v>
      </c>
      <c r="D158" s="198">
        <v>0.316</v>
      </c>
      <c r="E158" s="199">
        <f>1-(D158*(1-0.72*B158-0.83*C158))</f>
        <v>0.93154176</v>
      </c>
    </row>
    <row r="159" spans="1:5" x14ac:dyDescent="0.25">
      <c r="A159" t="s">
        <v>228</v>
      </c>
      <c r="B159" s="138">
        <v>0.42899999999999999</v>
      </c>
      <c r="C159" s="190">
        <v>0.57099999999999995</v>
      </c>
      <c r="D159" s="190">
        <v>0.30399999999999999</v>
      </c>
      <c r="E159" s="194">
        <f>1-(D159*(1-0.72*B159-0.83*C159))</f>
        <v>0.93397423999999996</v>
      </c>
    </row>
    <row r="160" spans="1:5" x14ac:dyDescent="0.25">
      <c r="A160" t="s">
        <v>231</v>
      </c>
      <c r="B160" s="138">
        <v>0.51700000000000002</v>
      </c>
      <c r="C160" s="190">
        <v>0.48299999999999998</v>
      </c>
      <c r="D160" s="190">
        <v>0.36499999999999999</v>
      </c>
      <c r="E160" s="194">
        <f>1-(D160*(1-0.72*B160-0.83*C160))</f>
        <v>0.91719244999999994</v>
      </c>
    </row>
    <row r="161" spans="1:5" x14ac:dyDescent="0.25">
      <c r="A161" t="s">
        <v>230</v>
      </c>
      <c r="B161" s="138">
        <v>0.36399999999999999</v>
      </c>
      <c r="C161" s="190">
        <v>0.63600000000000001</v>
      </c>
      <c r="D161" s="190">
        <v>0.41</v>
      </c>
      <c r="E161" s="194">
        <f>1-(D161*(1-0.72*B161-0.83*C161))</f>
        <v>0.91388360000000002</v>
      </c>
    </row>
    <row r="162" spans="1:5" ht="15.75" thickBot="1" x14ac:dyDescent="0.3">
      <c r="A162" t="s">
        <v>229</v>
      </c>
      <c r="B162" s="141">
        <v>0.432</v>
      </c>
      <c r="C162" s="200">
        <v>0.56799999999999995</v>
      </c>
      <c r="D162" s="200">
        <v>0.27400000000000002</v>
      </c>
      <c r="E162" s="195">
        <f>1-(D162*(1-0.72*B162-0.83*C162))</f>
        <v>0.94039951999999993</v>
      </c>
    </row>
    <row r="167" spans="1:5" ht="20.25" thickBot="1" x14ac:dyDescent="0.35">
      <c r="A167" s="147" t="s">
        <v>28</v>
      </c>
    </row>
    <row r="168" spans="1:5" ht="15.75" thickTop="1" x14ac:dyDescent="0.25"/>
    <row r="169" spans="1:5" x14ac:dyDescent="0.25">
      <c r="A169" s="3" t="s">
        <v>36</v>
      </c>
    </row>
    <row r="170" spans="1:5" x14ac:dyDescent="0.25">
      <c r="A170" t="s">
        <v>193</v>
      </c>
    </row>
    <row r="171" spans="1:5" x14ac:dyDescent="0.25">
      <c r="A171" t="s">
        <v>194</v>
      </c>
    </row>
    <row r="172" spans="1:5" x14ac:dyDescent="0.25">
      <c r="A172" t="s">
        <v>195</v>
      </c>
    </row>
    <row r="173" spans="1:5" x14ac:dyDescent="0.25">
      <c r="A173" t="s">
        <v>196</v>
      </c>
    </row>
    <row r="174" spans="1:5" x14ac:dyDescent="0.25">
      <c r="A174" t="s">
        <v>197</v>
      </c>
    </row>
    <row r="175" spans="1:5" x14ac:dyDescent="0.25">
      <c r="A175" t="s">
        <v>198</v>
      </c>
    </row>
    <row r="177" spans="1:10" x14ac:dyDescent="0.25">
      <c r="A177" s="3" t="s">
        <v>35</v>
      </c>
      <c r="C177" s="257" t="s">
        <v>44</v>
      </c>
      <c r="D177" s="257"/>
      <c r="E177" s="257"/>
      <c r="F177" s="257"/>
      <c r="G177" s="257" t="s">
        <v>45</v>
      </c>
      <c r="H177" s="257"/>
      <c r="I177" s="257"/>
      <c r="J177" s="257"/>
    </row>
    <row r="178" spans="1:10" ht="15.75" thickBot="1" x14ac:dyDescent="0.3">
      <c r="A178" s="4" t="s">
        <v>20</v>
      </c>
      <c r="C178" s="1" t="s">
        <v>13</v>
      </c>
      <c r="D178" s="1" t="s">
        <v>14</v>
      </c>
      <c r="E178" s="1" t="s">
        <v>15</v>
      </c>
      <c r="F178" s="1" t="s">
        <v>33</v>
      </c>
      <c r="G178" s="1" t="s">
        <v>16</v>
      </c>
      <c r="H178" s="1" t="s">
        <v>17</v>
      </c>
      <c r="I178" s="1" t="s">
        <v>18</v>
      </c>
      <c r="J178" s="1" t="s">
        <v>34</v>
      </c>
    </row>
    <row r="179" spans="1:10" x14ac:dyDescent="0.25">
      <c r="A179" t="s">
        <v>193</v>
      </c>
      <c r="C179" s="6">
        <v>-5.226</v>
      </c>
      <c r="D179" s="7">
        <v>0.52400000000000002</v>
      </c>
      <c r="E179" s="7">
        <v>1E-3</v>
      </c>
      <c r="F179" s="7">
        <v>6.9900000000000004E-2</v>
      </c>
      <c r="G179" s="7">
        <v>-2.12</v>
      </c>
      <c r="H179" s="7">
        <v>0.71799999999999997</v>
      </c>
      <c r="I179" s="7">
        <v>1E-3</v>
      </c>
      <c r="J179" s="8">
        <v>0</v>
      </c>
    </row>
    <row r="180" spans="1:10" x14ac:dyDescent="0.25">
      <c r="A180" t="s">
        <v>194</v>
      </c>
      <c r="C180" s="9">
        <v>-6.6920000000000002</v>
      </c>
      <c r="D180" s="5">
        <v>0.52400000000000002</v>
      </c>
      <c r="E180" s="5">
        <v>1E-3</v>
      </c>
      <c r="F180" s="5">
        <v>6.9900000000000004E-2</v>
      </c>
      <c r="G180" s="5">
        <v>-1.7989999999999999</v>
      </c>
      <c r="H180" s="5">
        <v>0.71799999999999997</v>
      </c>
      <c r="I180" s="5">
        <v>1E-3</v>
      </c>
      <c r="J180" s="10">
        <v>0</v>
      </c>
    </row>
    <row r="181" spans="1:10" x14ac:dyDescent="0.25">
      <c r="A181" t="s">
        <v>195</v>
      </c>
      <c r="C181" s="9">
        <v>-3.5049999999999999</v>
      </c>
      <c r="D181" s="5">
        <v>0.52400000000000002</v>
      </c>
      <c r="E181" s="5">
        <v>1E-3</v>
      </c>
      <c r="F181" s="5">
        <v>6.9900000000000004E-2</v>
      </c>
      <c r="G181" s="5">
        <v>-1.966</v>
      </c>
      <c r="H181" s="5">
        <v>0.71799999999999997</v>
      </c>
      <c r="I181" s="5">
        <v>1E-3</v>
      </c>
      <c r="J181" s="10">
        <v>0</v>
      </c>
    </row>
    <row r="182" spans="1:10" x14ac:dyDescent="0.25">
      <c r="A182" t="s">
        <v>196</v>
      </c>
      <c r="C182" s="9">
        <v>-4.9710000000000001</v>
      </c>
      <c r="D182" s="5">
        <v>0.52400000000000002</v>
      </c>
      <c r="E182" s="5">
        <v>1E-3</v>
      </c>
      <c r="F182" s="5">
        <v>6.9900000000000004E-2</v>
      </c>
      <c r="G182" s="5">
        <v>-1.645</v>
      </c>
      <c r="H182" s="5">
        <v>0.71799999999999997</v>
      </c>
      <c r="I182" s="5">
        <v>1E-3</v>
      </c>
      <c r="J182" s="10">
        <v>0</v>
      </c>
    </row>
    <row r="183" spans="1:10" x14ac:dyDescent="0.25">
      <c r="A183" t="s">
        <v>197</v>
      </c>
      <c r="C183" s="9">
        <v>-3.0230000000000001</v>
      </c>
      <c r="D183" s="5">
        <v>0.52400000000000002</v>
      </c>
      <c r="E183" s="5">
        <v>1E-3</v>
      </c>
      <c r="F183" s="5">
        <v>6.9900000000000004E-2</v>
      </c>
      <c r="G183" s="5">
        <v>-1.9990000000000001</v>
      </c>
      <c r="H183" s="5">
        <v>0.71799999999999997</v>
      </c>
      <c r="I183" s="5">
        <v>1E-3</v>
      </c>
      <c r="J183" s="10">
        <v>0</v>
      </c>
    </row>
    <row r="184" spans="1:10" ht="15.75" thickBot="1" x14ac:dyDescent="0.3">
      <c r="A184" t="s">
        <v>198</v>
      </c>
      <c r="C184" s="11">
        <v>-4.4889999999999999</v>
      </c>
      <c r="D184" s="12">
        <v>0.52400000000000002</v>
      </c>
      <c r="E184" s="12">
        <v>1E-3</v>
      </c>
      <c r="F184" s="12">
        <v>6.9900000000000004E-2</v>
      </c>
      <c r="G184" s="12">
        <v>-1.6779999999999999</v>
      </c>
      <c r="H184" s="12">
        <v>0.71799999999999997</v>
      </c>
      <c r="I184" s="12">
        <v>1E-3</v>
      </c>
      <c r="J184" s="13">
        <v>0</v>
      </c>
    </row>
    <row r="185" spans="1:10" ht="15.75" thickBot="1" x14ac:dyDescent="0.3">
      <c r="A185" s="4" t="s">
        <v>21</v>
      </c>
    </row>
    <row r="186" spans="1:10" x14ac:dyDescent="0.25">
      <c r="A186" t="s">
        <v>193</v>
      </c>
      <c r="C186" s="6">
        <v>-3.819</v>
      </c>
      <c r="D186" s="7">
        <v>1.256</v>
      </c>
      <c r="E186" s="7">
        <v>1E-3</v>
      </c>
      <c r="F186" s="7">
        <v>0</v>
      </c>
      <c r="G186" s="7">
        <v>-1.946</v>
      </c>
      <c r="H186" s="7">
        <v>0.68899999999999995</v>
      </c>
      <c r="I186" s="7">
        <v>1E-3</v>
      </c>
      <c r="J186" s="8">
        <v>0</v>
      </c>
    </row>
    <row r="187" spans="1:10" x14ac:dyDescent="0.25">
      <c r="A187" t="s">
        <v>194</v>
      </c>
      <c r="C187" s="9">
        <v>-4.851</v>
      </c>
      <c r="D187" s="5">
        <v>1.256</v>
      </c>
      <c r="E187" s="5">
        <v>1E-3</v>
      </c>
      <c r="F187" s="5">
        <v>0</v>
      </c>
      <c r="G187" s="5">
        <v>-1.7390000000000001</v>
      </c>
      <c r="H187" s="5">
        <v>0.68899999999999995</v>
      </c>
      <c r="I187" s="5">
        <v>1E-3</v>
      </c>
      <c r="J187" s="10">
        <v>0</v>
      </c>
    </row>
    <row r="188" spans="1:10" x14ac:dyDescent="0.25">
      <c r="A188" t="s">
        <v>195</v>
      </c>
      <c r="C188" s="9">
        <v>-3.819</v>
      </c>
      <c r="D188" s="5">
        <v>1.256</v>
      </c>
      <c r="E188" s="5">
        <v>1E-3</v>
      </c>
      <c r="F188" s="5">
        <v>0</v>
      </c>
      <c r="G188" s="5">
        <v>-1.7150000000000001</v>
      </c>
      <c r="H188" s="5">
        <v>0.68899999999999995</v>
      </c>
      <c r="I188" s="5">
        <v>1E-3</v>
      </c>
      <c r="J188" s="10">
        <v>0</v>
      </c>
    </row>
    <row r="189" spans="1:10" x14ac:dyDescent="0.25">
      <c r="A189" t="s">
        <v>196</v>
      </c>
      <c r="C189" s="9">
        <v>-4.851</v>
      </c>
      <c r="D189" s="5">
        <v>1.256</v>
      </c>
      <c r="E189" s="5">
        <v>1E-3</v>
      </c>
      <c r="F189" s="5">
        <v>0</v>
      </c>
      <c r="G189" s="5">
        <v>-1.508</v>
      </c>
      <c r="H189" s="5">
        <v>0.68899999999999995</v>
      </c>
      <c r="I189" s="5">
        <v>1E-3</v>
      </c>
      <c r="J189" s="10">
        <v>0</v>
      </c>
    </row>
    <row r="190" spans="1:10" x14ac:dyDescent="0.25">
      <c r="A190" t="s">
        <v>197</v>
      </c>
      <c r="C190" s="9">
        <v>-2.9830000000000001</v>
      </c>
      <c r="D190" s="5">
        <v>1.256</v>
      </c>
      <c r="E190" s="5">
        <v>1E-3</v>
      </c>
      <c r="F190" s="5">
        <v>0</v>
      </c>
      <c r="G190" s="5">
        <v>-1.4</v>
      </c>
      <c r="H190" s="5">
        <v>0.68899999999999995</v>
      </c>
      <c r="I190" s="5">
        <v>1E-3</v>
      </c>
      <c r="J190" s="10">
        <v>0</v>
      </c>
    </row>
    <row r="191" spans="1:10" ht="15.75" thickBot="1" x14ac:dyDescent="0.3">
      <c r="A191" t="s">
        <v>198</v>
      </c>
      <c r="C191" s="11">
        <v>-4.0149999999999997</v>
      </c>
      <c r="D191" s="12">
        <v>1.256</v>
      </c>
      <c r="E191" s="12">
        <v>1E-3</v>
      </c>
      <c r="F191" s="12">
        <v>0</v>
      </c>
      <c r="G191" s="12">
        <v>-1.1930000000000001</v>
      </c>
      <c r="H191" s="12">
        <v>0.68899999999999995</v>
      </c>
      <c r="I191" s="12">
        <v>1E-3</v>
      </c>
      <c r="J191" s="13">
        <v>0</v>
      </c>
    </row>
    <row r="194" spans="1:8" ht="20.25" thickBot="1" x14ac:dyDescent="0.35">
      <c r="A194" s="147" t="s">
        <v>51</v>
      </c>
    </row>
    <row r="195" spans="1:8" ht="15.75" thickTop="1" x14ac:dyDescent="0.25"/>
    <row r="196" spans="1:8" x14ac:dyDescent="0.25">
      <c r="A196" s="3" t="s">
        <v>52</v>
      </c>
    </row>
    <row r="197" spans="1:8" x14ac:dyDescent="0.25">
      <c r="A197" s="114" t="s">
        <v>61</v>
      </c>
    </row>
    <row r="198" spans="1:8" s="114" customFormat="1" x14ac:dyDescent="0.25">
      <c r="A198" s="114" t="s">
        <v>62</v>
      </c>
    </row>
    <row r="199" spans="1:8" s="114" customFormat="1" x14ac:dyDescent="0.25">
      <c r="A199" s="114" t="s">
        <v>290</v>
      </c>
    </row>
    <row r="200" spans="1:8" s="114" customFormat="1" x14ac:dyDescent="0.25">
      <c r="A200" s="114" t="s">
        <v>291</v>
      </c>
    </row>
    <row r="201" spans="1:8" s="114" customFormat="1" x14ac:dyDescent="0.25">
      <c r="A201" s="114" t="s">
        <v>292</v>
      </c>
    </row>
    <row r="202" spans="1:8" x14ac:dyDescent="0.25">
      <c r="A202" s="114" t="s">
        <v>293</v>
      </c>
    </row>
    <row r="203" spans="1:8" x14ac:dyDescent="0.25">
      <c r="A203" s="114" t="s">
        <v>294</v>
      </c>
    </row>
    <row r="204" spans="1:8" x14ac:dyDescent="0.25">
      <c r="A204" s="114" t="s">
        <v>295</v>
      </c>
    </row>
    <row r="206" spans="1:8" x14ac:dyDescent="0.25">
      <c r="A206" s="3" t="s">
        <v>53</v>
      </c>
      <c r="C206" s="262" t="s">
        <v>57</v>
      </c>
      <c r="D206" s="262"/>
      <c r="E206" s="262"/>
    </row>
    <row r="207" spans="1:8" ht="15.75" thickBot="1" x14ac:dyDescent="0.3">
      <c r="A207" s="4" t="s">
        <v>20</v>
      </c>
      <c r="C207" s="2" t="s">
        <v>56</v>
      </c>
      <c r="D207" s="2" t="s">
        <v>54</v>
      </c>
      <c r="E207" s="24" t="s">
        <v>55</v>
      </c>
      <c r="F207" s="2"/>
      <c r="G207" s="2"/>
      <c r="H207" s="2"/>
    </row>
    <row r="208" spans="1:8" x14ac:dyDescent="0.25">
      <c r="A208" s="114" t="s">
        <v>61</v>
      </c>
      <c r="C208" s="161">
        <v>-3.714</v>
      </c>
      <c r="D208" s="7">
        <v>1.173</v>
      </c>
      <c r="E208" s="162">
        <v>5.0000000000000001E-4</v>
      </c>
    </row>
    <row r="209" spans="1:5" s="114" customFormat="1" x14ac:dyDescent="0.25">
      <c r="A209" s="114" t="s">
        <v>62</v>
      </c>
      <c r="C209" s="9">
        <v>-3.9740000000000002</v>
      </c>
      <c r="D209" s="5">
        <v>1.173</v>
      </c>
      <c r="E209" s="10">
        <v>5.0000000000000001E-4</v>
      </c>
    </row>
    <row r="210" spans="1:5" s="114" customFormat="1" x14ac:dyDescent="0.25">
      <c r="A210" s="114" t="s">
        <v>290</v>
      </c>
      <c r="C210" s="9">
        <v>-4.234</v>
      </c>
      <c r="D210" s="5">
        <v>1.173</v>
      </c>
      <c r="E210" s="10">
        <v>5.0000000000000001E-4</v>
      </c>
    </row>
    <row r="211" spans="1:5" s="114" customFormat="1" x14ac:dyDescent="0.25">
      <c r="A211" s="114" t="s">
        <v>291</v>
      </c>
      <c r="C211" s="137">
        <v>-4.4939999999999998</v>
      </c>
      <c r="D211" s="5">
        <v>1.173</v>
      </c>
      <c r="E211" s="10">
        <v>5.0000000000000001E-4</v>
      </c>
    </row>
    <row r="212" spans="1:5" s="114" customFormat="1" x14ac:dyDescent="0.25">
      <c r="A212" s="114" t="s">
        <v>292</v>
      </c>
      <c r="C212" s="9">
        <v>-2.6789999999999998</v>
      </c>
      <c r="D212" s="5">
        <v>0.90300000000000002</v>
      </c>
      <c r="E212" s="10">
        <v>5.0000000000000001E-4</v>
      </c>
    </row>
    <row r="213" spans="1:5" x14ac:dyDescent="0.25">
      <c r="A213" s="114" t="s">
        <v>293</v>
      </c>
      <c r="C213" s="9">
        <v>-2.6789999999999998</v>
      </c>
      <c r="D213" s="5">
        <v>0.90300000000000002</v>
      </c>
      <c r="E213" s="10">
        <v>5.0000000000000001E-4</v>
      </c>
    </row>
    <row r="214" spans="1:5" x14ac:dyDescent="0.25">
      <c r="A214" s="114" t="s">
        <v>294</v>
      </c>
      <c r="C214" s="9">
        <v>-2.6789999999999998</v>
      </c>
      <c r="D214" s="5">
        <v>0.90300000000000002</v>
      </c>
      <c r="E214" s="10">
        <v>5.0000000000000001E-4</v>
      </c>
    </row>
    <row r="215" spans="1:5" ht="15.75" thickBot="1" x14ac:dyDescent="0.3">
      <c r="A215" s="114" t="s">
        <v>295</v>
      </c>
      <c r="C215" s="11">
        <v>-2.6789999999999998</v>
      </c>
      <c r="D215" s="12">
        <v>0.90300000000000002</v>
      </c>
      <c r="E215" s="13">
        <v>5.0000000000000001E-4</v>
      </c>
    </row>
    <row r="216" spans="1:5" ht="15.75" thickBot="1" x14ac:dyDescent="0.3">
      <c r="A216" s="4" t="s">
        <v>21</v>
      </c>
      <c r="C216" s="2"/>
      <c r="D216" s="2"/>
      <c r="E216" s="2"/>
    </row>
    <row r="217" spans="1:5" x14ac:dyDescent="0.25">
      <c r="A217" s="114" t="s">
        <v>61</v>
      </c>
      <c r="C217" s="139">
        <v>-2.7959999999999998</v>
      </c>
      <c r="D217" s="7">
        <v>1.2150000000000001</v>
      </c>
      <c r="E217" s="133">
        <v>5.0000000000000001E-4</v>
      </c>
    </row>
    <row r="218" spans="1:5" s="114" customFormat="1" x14ac:dyDescent="0.25">
      <c r="A218" s="114" t="s">
        <v>62</v>
      </c>
      <c r="C218" s="138">
        <v>-2.9980000000000002</v>
      </c>
      <c r="D218" s="5">
        <v>1.2150000000000001</v>
      </c>
      <c r="E218" s="10">
        <v>5.0000000000000001E-4</v>
      </c>
    </row>
    <row r="219" spans="1:5" s="114" customFormat="1" x14ac:dyDescent="0.25">
      <c r="A219" s="114" t="s">
        <v>290</v>
      </c>
      <c r="C219" s="138">
        <v>-3.2</v>
      </c>
      <c r="D219" s="5">
        <v>1.2150000000000001</v>
      </c>
      <c r="E219" s="10">
        <v>5.0000000000000001E-4</v>
      </c>
    </row>
    <row r="220" spans="1:5" s="114" customFormat="1" x14ac:dyDescent="0.25">
      <c r="A220" s="114" t="s">
        <v>291</v>
      </c>
      <c r="C220" s="140">
        <v>-3.4020000000000001</v>
      </c>
      <c r="D220" s="5">
        <v>1.2150000000000001</v>
      </c>
      <c r="E220" s="10">
        <v>5.0000000000000001E-4</v>
      </c>
    </row>
    <row r="221" spans="1:5" s="114" customFormat="1" x14ac:dyDescent="0.25">
      <c r="A221" s="114" t="s">
        <v>292</v>
      </c>
      <c r="C221" s="138">
        <v>-1.798</v>
      </c>
      <c r="D221" s="5">
        <v>0.93200000000000005</v>
      </c>
      <c r="E221" s="10">
        <v>5.0000000000000001E-4</v>
      </c>
    </row>
    <row r="222" spans="1:5" x14ac:dyDescent="0.25">
      <c r="A222" s="114" t="s">
        <v>293</v>
      </c>
      <c r="C222" s="138">
        <v>-1.798</v>
      </c>
      <c r="D222" s="5">
        <v>0.93200000000000005</v>
      </c>
      <c r="E222" s="10">
        <v>5.0000000000000001E-4</v>
      </c>
    </row>
    <row r="223" spans="1:5" x14ac:dyDescent="0.25">
      <c r="A223" s="114" t="s">
        <v>294</v>
      </c>
      <c r="C223" s="138">
        <v>-1.798</v>
      </c>
      <c r="D223" s="5">
        <v>0.93200000000000005</v>
      </c>
      <c r="E223" s="10">
        <v>5.0000000000000001E-4</v>
      </c>
    </row>
    <row r="224" spans="1:5" ht="15.75" thickBot="1" x14ac:dyDescent="0.3">
      <c r="A224" s="114" t="s">
        <v>295</v>
      </c>
      <c r="C224" s="141">
        <v>-1.798</v>
      </c>
      <c r="D224" s="12">
        <v>0.93200000000000005</v>
      </c>
      <c r="E224" s="13">
        <v>5.0000000000000001E-4</v>
      </c>
    </row>
    <row r="226" spans="1:8" x14ac:dyDescent="0.25">
      <c r="A226" t="s">
        <v>285</v>
      </c>
      <c r="C226" s="263" t="s">
        <v>300</v>
      </c>
      <c r="D226" s="263"/>
      <c r="E226" s="263"/>
      <c r="F226" s="263"/>
      <c r="G226" s="98"/>
      <c r="H226" s="98"/>
    </row>
    <row r="227" spans="1:8" ht="15.75" thickBot="1" x14ac:dyDescent="0.3">
      <c r="A227" s="4" t="s">
        <v>20</v>
      </c>
      <c r="C227" s="131" t="s">
        <v>56</v>
      </c>
      <c r="D227" s="131" t="s">
        <v>54</v>
      </c>
      <c r="E227" s="24" t="s">
        <v>55</v>
      </c>
      <c r="F227" s="98" t="s">
        <v>99</v>
      </c>
      <c r="G227" s="98"/>
      <c r="H227" s="98"/>
    </row>
    <row r="228" spans="1:8" x14ac:dyDescent="0.25">
      <c r="A228" t="s">
        <v>61</v>
      </c>
      <c r="C228" s="132">
        <v>0.59399999999999997</v>
      </c>
      <c r="D228" s="7">
        <v>3.1800000000000002E-2</v>
      </c>
      <c r="E228" s="7">
        <v>1E-3</v>
      </c>
      <c r="F228" s="133">
        <v>0.19800000000000001</v>
      </c>
      <c r="G228" s="98"/>
      <c r="H228" s="98"/>
    </row>
    <row r="229" spans="1:8" x14ac:dyDescent="0.25">
      <c r="A229" t="s">
        <v>62</v>
      </c>
      <c r="C229" s="9">
        <v>0.59399999999999997</v>
      </c>
      <c r="D229" s="5">
        <v>3.1800000000000002E-2</v>
      </c>
      <c r="E229" s="5">
        <v>1E-3</v>
      </c>
      <c r="F229" s="10">
        <v>0.19800000000000001</v>
      </c>
      <c r="G229" s="98"/>
      <c r="H229" s="98"/>
    </row>
    <row r="230" spans="1:8" x14ac:dyDescent="0.25">
      <c r="A230" t="s">
        <v>290</v>
      </c>
      <c r="C230" s="9">
        <v>0.59399999999999997</v>
      </c>
      <c r="D230" s="5">
        <v>3.1800000000000002E-2</v>
      </c>
      <c r="E230" s="5">
        <v>1E-3</v>
      </c>
      <c r="F230" s="10">
        <v>0.19800000000000001</v>
      </c>
      <c r="G230" s="98"/>
      <c r="H230" s="98"/>
    </row>
    <row r="231" spans="1:8" x14ac:dyDescent="0.25">
      <c r="A231" t="s">
        <v>291</v>
      </c>
      <c r="C231" s="9">
        <v>0.59399999999999997</v>
      </c>
      <c r="D231" s="5">
        <v>3.1800000000000002E-2</v>
      </c>
      <c r="E231" s="5">
        <v>1E-3</v>
      </c>
      <c r="F231" s="10">
        <v>0.19800000000000001</v>
      </c>
      <c r="G231" s="98"/>
      <c r="H231" s="98"/>
    </row>
    <row r="232" spans="1:8" s="114" customFormat="1" x14ac:dyDescent="0.25">
      <c r="A232" s="114" t="s">
        <v>292</v>
      </c>
      <c r="C232" s="9">
        <v>0.59399999999999997</v>
      </c>
      <c r="D232" s="5">
        <v>1.1599999999999999E-2</v>
      </c>
      <c r="E232" s="5" t="s">
        <v>106</v>
      </c>
      <c r="F232" s="10" t="s">
        <v>106</v>
      </c>
      <c r="G232" s="134"/>
      <c r="H232" s="134"/>
    </row>
    <row r="233" spans="1:8" s="114" customFormat="1" x14ac:dyDescent="0.25">
      <c r="A233" s="114" t="s">
        <v>293</v>
      </c>
      <c r="C233" s="9">
        <v>0.59399999999999997</v>
      </c>
      <c r="D233" s="5">
        <v>1.1599999999999999E-2</v>
      </c>
      <c r="E233" s="5" t="s">
        <v>106</v>
      </c>
      <c r="F233" s="10" t="s">
        <v>106</v>
      </c>
      <c r="G233" s="134"/>
      <c r="H233" s="134"/>
    </row>
    <row r="234" spans="1:8" s="114" customFormat="1" x14ac:dyDescent="0.25">
      <c r="A234" t="s">
        <v>294</v>
      </c>
      <c r="B234"/>
      <c r="C234" s="9">
        <v>0.59399999999999997</v>
      </c>
      <c r="D234" s="5">
        <v>1.1599999999999999E-2</v>
      </c>
      <c r="E234" s="5" t="s">
        <v>106</v>
      </c>
      <c r="F234" s="10" t="s">
        <v>106</v>
      </c>
      <c r="G234" s="134"/>
      <c r="H234" s="134"/>
    </row>
    <row r="235" spans="1:8" s="114" customFormat="1" ht="15.75" thickBot="1" x14ac:dyDescent="0.3">
      <c r="A235" t="s">
        <v>295</v>
      </c>
      <c r="B235"/>
      <c r="C235" s="11">
        <v>0.59399999999999997</v>
      </c>
      <c r="D235" s="12">
        <v>1.1599999999999999E-2</v>
      </c>
      <c r="E235" s="12" t="s">
        <v>106</v>
      </c>
      <c r="F235" s="13" t="s">
        <v>106</v>
      </c>
      <c r="G235" s="134"/>
      <c r="H235" s="134"/>
    </row>
    <row r="236" spans="1:8" ht="15.75" thickBot="1" x14ac:dyDescent="0.3">
      <c r="A236" s="4" t="s">
        <v>21</v>
      </c>
      <c r="C236" s="98"/>
      <c r="D236" s="98"/>
      <c r="E236" s="98"/>
      <c r="F236" s="98"/>
      <c r="G236" s="98"/>
      <c r="H236" s="98"/>
    </row>
    <row r="237" spans="1:8" x14ac:dyDescent="0.25">
      <c r="A237" s="114" t="s">
        <v>61</v>
      </c>
      <c r="C237" s="132">
        <v>0.82399999999999995</v>
      </c>
      <c r="D237" s="7">
        <v>2.52E-2</v>
      </c>
      <c r="E237" s="7">
        <v>1E-3</v>
      </c>
      <c r="F237" s="133">
        <v>0</v>
      </c>
      <c r="G237" s="98"/>
      <c r="H237" s="98"/>
    </row>
    <row r="238" spans="1:8" x14ac:dyDescent="0.25">
      <c r="A238" s="114" t="s">
        <v>62</v>
      </c>
      <c r="C238" s="9">
        <v>0.82399999999999995</v>
      </c>
      <c r="D238" s="5">
        <v>2.52E-2</v>
      </c>
      <c r="E238" s="5">
        <v>1E-3</v>
      </c>
      <c r="F238" s="10">
        <v>0</v>
      </c>
      <c r="G238" s="98"/>
      <c r="H238" s="98"/>
    </row>
    <row r="239" spans="1:8" x14ac:dyDescent="0.25">
      <c r="A239" s="114" t="s">
        <v>290</v>
      </c>
      <c r="C239" s="9">
        <v>0.82399999999999995</v>
      </c>
      <c r="D239" s="5">
        <v>2.52E-2</v>
      </c>
      <c r="E239" s="5">
        <v>1E-3</v>
      </c>
      <c r="F239" s="10">
        <v>0</v>
      </c>
      <c r="G239" s="98"/>
      <c r="H239" s="98"/>
    </row>
    <row r="240" spans="1:8" x14ac:dyDescent="0.25">
      <c r="A240" s="114" t="s">
        <v>291</v>
      </c>
      <c r="C240" s="9">
        <v>0.82399999999999995</v>
      </c>
      <c r="D240" s="5">
        <v>2.52E-2</v>
      </c>
      <c r="E240" s="5">
        <v>1E-3</v>
      </c>
      <c r="F240" s="10">
        <v>0</v>
      </c>
    </row>
    <row r="241" spans="1:8" s="114" customFormat="1" x14ac:dyDescent="0.25">
      <c r="A241" s="114" t="s">
        <v>292</v>
      </c>
      <c r="C241" s="9">
        <v>0.82399999999999995</v>
      </c>
      <c r="D241" s="142">
        <v>0</v>
      </c>
      <c r="E241" s="5" t="s">
        <v>106</v>
      </c>
      <c r="F241" s="10" t="s">
        <v>106</v>
      </c>
    </row>
    <row r="242" spans="1:8" s="114" customFormat="1" x14ac:dyDescent="0.25">
      <c r="A242" s="114" t="s">
        <v>293</v>
      </c>
      <c r="C242" s="9">
        <v>0.82399999999999995</v>
      </c>
      <c r="D242" s="142">
        <v>0</v>
      </c>
      <c r="E242" s="5" t="s">
        <v>106</v>
      </c>
      <c r="F242" s="10" t="s">
        <v>106</v>
      </c>
    </row>
    <row r="243" spans="1:8" s="114" customFormat="1" x14ac:dyDescent="0.25">
      <c r="A243" s="114" t="s">
        <v>294</v>
      </c>
      <c r="B243"/>
      <c r="C243" s="9">
        <v>0.82399999999999995</v>
      </c>
      <c r="D243" s="142">
        <v>0</v>
      </c>
      <c r="E243" s="5" t="s">
        <v>106</v>
      </c>
      <c r="F243" s="10" t="s">
        <v>106</v>
      </c>
    </row>
    <row r="244" spans="1:8" ht="15.75" thickBot="1" x14ac:dyDescent="0.3">
      <c r="A244" s="114" t="s">
        <v>295</v>
      </c>
      <c r="C244" s="11">
        <v>0.82399999999999995</v>
      </c>
      <c r="D244" s="143">
        <v>0</v>
      </c>
      <c r="E244" s="12" t="s">
        <v>106</v>
      </c>
      <c r="F244" s="13" t="s">
        <v>106</v>
      </c>
    </row>
    <row r="246" spans="1:8" ht="20.25" thickBot="1" x14ac:dyDescent="0.35">
      <c r="A246" s="147" t="s">
        <v>64</v>
      </c>
    </row>
    <row r="247" spans="1:8" ht="15.75" thickTop="1" x14ac:dyDescent="0.25"/>
    <row r="248" spans="1:8" x14ac:dyDescent="0.25">
      <c r="A248" s="3" t="s">
        <v>52</v>
      </c>
    </row>
    <row r="249" spans="1:8" x14ac:dyDescent="0.25">
      <c r="A249" s="114" t="s">
        <v>297</v>
      </c>
    </row>
    <row r="250" spans="1:8" x14ac:dyDescent="0.25">
      <c r="A250" s="114" t="s">
        <v>298</v>
      </c>
    </row>
    <row r="251" spans="1:8" x14ac:dyDescent="0.25">
      <c r="A251" s="114" t="s">
        <v>299</v>
      </c>
    </row>
    <row r="252" spans="1:8" x14ac:dyDescent="0.25">
      <c r="A252" s="114" t="s">
        <v>289</v>
      </c>
    </row>
    <row r="254" spans="1:8" x14ac:dyDescent="0.25">
      <c r="A254" s="3" t="s">
        <v>53</v>
      </c>
      <c r="C254" s="262" t="s">
        <v>296</v>
      </c>
      <c r="D254" s="262"/>
      <c r="E254" s="262"/>
    </row>
    <row r="255" spans="1:8" ht="15.75" thickBot="1" x14ac:dyDescent="0.3">
      <c r="A255" s="4" t="s">
        <v>20</v>
      </c>
      <c r="C255" s="2" t="s">
        <v>13</v>
      </c>
      <c r="D255" s="2" t="s">
        <v>14</v>
      </c>
      <c r="E255" s="2" t="s">
        <v>15</v>
      </c>
      <c r="F255" s="2" t="s">
        <v>16</v>
      </c>
      <c r="G255" s="2" t="s">
        <v>17</v>
      </c>
      <c r="H255" s="2" t="s">
        <v>18</v>
      </c>
    </row>
    <row r="256" spans="1:8" x14ac:dyDescent="0.25">
      <c r="A256" s="114" t="s">
        <v>297</v>
      </c>
      <c r="C256" s="132">
        <v>-5.47</v>
      </c>
      <c r="D256" s="7">
        <v>1.492</v>
      </c>
      <c r="E256" s="7">
        <v>1E-3</v>
      </c>
      <c r="F256" s="7">
        <v>-2.1259999999999999</v>
      </c>
      <c r="G256" s="7">
        <v>0.64600000000000002</v>
      </c>
      <c r="H256" s="133">
        <v>1E-3</v>
      </c>
    </row>
    <row r="257" spans="1:8" x14ac:dyDescent="0.25">
      <c r="A257" s="114" t="s">
        <v>298</v>
      </c>
      <c r="C257" s="9">
        <v>-5.5869999999999997</v>
      </c>
      <c r="D257" s="5">
        <v>1.492</v>
      </c>
      <c r="E257" s="5">
        <v>1E-3</v>
      </c>
      <c r="F257" s="5">
        <v>-2.0550000000000002</v>
      </c>
      <c r="G257" s="5">
        <v>0.64600000000000002</v>
      </c>
      <c r="H257" s="10">
        <v>1E-3</v>
      </c>
    </row>
    <row r="258" spans="1:8" s="114" customFormat="1" x14ac:dyDescent="0.25">
      <c r="A258" s="114" t="s">
        <v>299</v>
      </c>
      <c r="C258" s="9">
        <v>-5.6349999999999998</v>
      </c>
      <c r="D258" s="5">
        <v>1.492</v>
      </c>
      <c r="E258" s="5">
        <v>1E-3</v>
      </c>
      <c r="F258" s="5">
        <v>-1.9850000000000001</v>
      </c>
      <c r="G258" s="5">
        <v>0.64600000000000002</v>
      </c>
      <c r="H258" s="10">
        <v>1E-3</v>
      </c>
    </row>
    <row r="259" spans="1:8" s="114" customFormat="1" ht="15.75" thickBot="1" x14ac:dyDescent="0.3">
      <c r="A259" s="114" t="s">
        <v>289</v>
      </c>
      <c r="B259"/>
      <c r="C259" s="11">
        <v>-5.8419999999999996</v>
      </c>
      <c r="D259" s="12">
        <v>1.492</v>
      </c>
      <c r="E259" s="12">
        <v>1E-3</v>
      </c>
      <c r="F259" s="12">
        <v>-1.915</v>
      </c>
      <c r="G259" s="12">
        <v>0.64600000000000002</v>
      </c>
      <c r="H259" s="13">
        <v>1E-3</v>
      </c>
    </row>
    <row r="260" spans="1:8" ht="15.75" thickBot="1" x14ac:dyDescent="0.3">
      <c r="A260" s="4" t="s">
        <v>21</v>
      </c>
      <c r="C260" s="2"/>
      <c r="D260" s="2"/>
      <c r="E260" s="2"/>
    </row>
    <row r="261" spans="1:8" x14ac:dyDescent="0.25">
      <c r="A261" s="114" t="s">
        <v>297</v>
      </c>
      <c r="C261" s="132">
        <v>-6.548</v>
      </c>
      <c r="D261" s="7">
        <v>1.9359999999999999</v>
      </c>
      <c r="E261" s="7">
        <v>1E-3</v>
      </c>
      <c r="F261" s="7">
        <v>-2.2349999999999999</v>
      </c>
      <c r="G261" s="7">
        <v>0.876</v>
      </c>
      <c r="H261" s="133">
        <v>1E-3</v>
      </c>
    </row>
    <row r="262" spans="1:8" x14ac:dyDescent="0.25">
      <c r="A262" s="114" t="s">
        <v>298</v>
      </c>
      <c r="C262" s="9">
        <v>-6.8090000000000002</v>
      </c>
      <c r="D262" s="5">
        <v>1.9359999999999999</v>
      </c>
      <c r="E262" s="5">
        <v>1E-3</v>
      </c>
      <c r="F262" s="5">
        <v>-2.274</v>
      </c>
      <c r="G262" s="5">
        <v>0.876</v>
      </c>
      <c r="H262" s="10">
        <v>1E-3</v>
      </c>
    </row>
    <row r="263" spans="1:8" x14ac:dyDescent="0.25">
      <c r="A263" s="114" t="s">
        <v>299</v>
      </c>
      <c r="C263" s="9">
        <v>-6.9969999999999999</v>
      </c>
      <c r="D263" s="5">
        <v>1.9359999999999999</v>
      </c>
      <c r="E263" s="5">
        <v>1E-3</v>
      </c>
      <c r="F263" s="5">
        <v>-2.3119999999999998</v>
      </c>
      <c r="G263" s="5">
        <v>0.876</v>
      </c>
      <c r="H263" s="10">
        <v>1E-3</v>
      </c>
    </row>
    <row r="264" spans="1:8" ht="15.75" thickBot="1" x14ac:dyDescent="0.3">
      <c r="A264" s="114" t="s">
        <v>289</v>
      </c>
      <c r="C264" s="11">
        <v>-7.26</v>
      </c>
      <c r="D264" s="12">
        <v>1.9359999999999999</v>
      </c>
      <c r="E264" s="12">
        <v>1E-3</v>
      </c>
      <c r="F264" s="12">
        <v>-2.351</v>
      </c>
      <c r="G264" s="12">
        <v>0.876</v>
      </c>
      <c r="H264" s="13">
        <v>1E-3</v>
      </c>
    </row>
    <row r="265" spans="1:8" s="114" customFormat="1" x14ac:dyDescent="0.25">
      <c r="C265" s="134"/>
      <c r="D265" s="134"/>
      <c r="E265" s="134"/>
      <c r="F265" s="134"/>
      <c r="G265" s="134"/>
      <c r="H265" s="134"/>
    </row>
    <row r="267" spans="1:8" ht="20.25" thickBot="1" x14ac:dyDescent="0.35">
      <c r="A267" s="147" t="s">
        <v>138</v>
      </c>
      <c r="C267" s="54" t="s">
        <v>56</v>
      </c>
      <c r="D267" s="54" t="s">
        <v>54</v>
      </c>
      <c r="E267" s="24" t="s">
        <v>55</v>
      </c>
      <c r="F267" s="54" t="s">
        <v>99</v>
      </c>
    </row>
    <row r="268" spans="1:8" ht="16.5" thickTop="1" thickBot="1" x14ac:dyDescent="0.3">
      <c r="A268" s="4" t="s">
        <v>147</v>
      </c>
      <c r="C268" s="54"/>
      <c r="D268" s="54"/>
      <c r="E268" s="54"/>
      <c r="F268" s="54"/>
    </row>
    <row r="269" spans="1:8" ht="15" customHeight="1" x14ac:dyDescent="0.25">
      <c r="A269" t="s">
        <v>140</v>
      </c>
      <c r="B269" s="66"/>
      <c r="C269" s="161">
        <v>-1.3520000000000001</v>
      </c>
      <c r="D269" s="7">
        <v>0.379</v>
      </c>
      <c r="E269" s="7">
        <v>1E-3</v>
      </c>
      <c r="F269" s="162">
        <v>0.39400000000000002</v>
      </c>
      <c r="G269" s="3" t="s">
        <v>337</v>
      </c>
    </row>
    <row r="270" spans="1:8" x14ac:dyDescent="0.25">
      <c r="A270" t="s">
        <v>141</v>
      </c>
      <c r="B270" s="66"/>
      <c r="C270" s="9">
        <v>-2.0680000000000001</v>
      </c>
      <c r="D270" s="5">
        <v>0.26500000000000001</v>
      </c>
      <c r="E270" s="5">
        <v>1E-3</v>
      </c>
      <c r="F270" s="10">
        <v>0.90500000000000003</v>
      </c>
      <c r="G270" s="3" t="s">
        <v>338</v>
      </c>
    </row>
    <row r="271" spans="1:8" x14ac:dyDescent="0.25">
      <c r="A271" t="s">
        <v>142</v>
      </c>
      <c r="B271" s="66"/>
      <c r="C271" s="9">
        <v>-2.6549999999999998</v>
      </c>
      <c r="D271" s="5">
        <v>1.1910000000000001</v>
      </c>
      <c r="E271" s="5">
        <v>1E-3</v>
      </c>
      <c r="F271" s="10">
        <v>0.13100000000000001</v>
      </c>
      <c r="G271" s="3" t="s">
        <v>339</v>
      </c>
    </row>
    <row r="272" spans="1:8" x14ac:dyDescent="0.25">
      <c r="A272" t="s">
        <v>144</v>
      </c>
      <c r="B272" s="66"/>
      <c r="C272" s="9">
        <f>C269</f>
        <v>-1.3520000000000001</v>
      </c>
      <c r="D272" s="5">
        <v>0.379</v>
      </c>
      <c r="E272" s="5">
        <v>1E-3</v>
      </c>
      <c r="F272" s="10">
        <v>0.39400000000000002</v>
      </c>
      <c r="G272" s="3" t="s">
        <v>337</v>
      </c>
    </row>
    <row r="273" spans="1:7" x14ac:dyDescent="0.25">
      <c r="A273" t="s">
        <v>143</v>
      </c>
      <c r="B273" s="66"/>
      <c r="C273" s="9">
        <f>C270</f>
        <v>-2.0680000000000001</v>
      </c>
      <c r="D273" s="5">
        <v>0.191</v>
      </c>
      <c r="E273" s="5">
        <v>1E-3</v>
      </c>
      <c r="F273" s="10">
        <v>0.13100000000000001</v>
      </c>
      <c r="G273" s="3" t="s">
        <v>338</v>
      </c>
    </row>
    <row r="274" spans="1:7" x14ac:dyDescent="0.25">
      <c r="A274" t="s">
        <v>145</v>
      </c>
      <c r="B274" s="66"/>
      <c r="C274" s="9">
        <v>-0.45800000000000002</v>
      </c>
      <c r="D274" s="5">
        <v>0.23499999999999999</v>
      </c>
      <c r="E274" s="5">
        <v>1E-3</v>
      </c>
      <c r="F274" s="10">
        <v>0.21199999999999999</v>
      </c>
      <c r="G274" s="201" t="s">
        <v>340</v>
      </c>
    </row>
    <row r="275" spans="1:7" ht="15.75" thickBot="1" x14ac:dyDescent="0.3">
      <c r="A275" t="s">
        <v>146</v>
      </c>
      <c r="B275" s="66"/>
      <c r="C275" s="11">
        <v>-0.45800000000000002</v>
      </c>
      <c r="D275" s="12">
        <v>0.23499999999999999</v>
      </c>
      <c r="E275" s="12">
        <v>1E-3</v>
      </c>
      <c r="F275" s="13">
        <v>0.21199999999999999</v>
      </c>
      <c r="G275" s="201" t="s">
        <v>340</v>
      </c>
    </row>
    <row r="276" spans="1:7" ht="15.75" thickBot="1" x14ac:dyDescent="0.3">
      <c r="A276" s="4" t="s">
        <v>148</v>
      </c>
      <c r="C276" s="54"/>
      <c r="D276" s="54"/>
      <c r="F276" s="54"/>
      <c r="G276" s="3"/>
    </row>
    <row r="277" spans="1:7" x14ac:dyDescent="0.25">
      <c r="A277" t="s">
        <v>140</v>
      </c>
      <c r="B277" s="66"/>
      <c r="C277" s="161">
        <v>-2.2469999999999999</v>
      </c>
      <c r="D277" s="7">
        <v>0.79700000000000004</v>
      </c>
      <c r="E277" s="7">
        <v>1E-3</v>
      </c>
      <c r="F277" s="162">
        <v>0.38400000000000001</v>
      </c>
      <c r="G277" s="3" t="s">
        <v>337</v>
      </c>
    </row>
    <row r="278" spans="1:7" x14ac:dyDescent="0.25">
      <c r="A278" t="s">
        <v>141</v>
      </c>
      <c r="B278" s="66"/>
      <c r="C278" s="9">
        <v>-2.931</v>
      </c>
      <c r="D278" s="5">
        <v>0.74099999999999999</v>
      </c>
      <c r="E278" s="5">
        <v>1E-3</v>
      </c>
      <c r="F278" s="10">
        <v>0.84499999999999997</v>
      </c>
      <c r="G278" s="3" t="s">
        <v>338</v>
      </c>
    </row>
    <row r="279" spans="1:7" x14ac:dyDescent="0.25">
      <c r="A279" t="s">
        <v>142</v>
      </c>
      <c r="B279" s="66"/>
      <c r="C279" s="9">
        <v>-2.2480000000000002</v>
      </c>
      <c r="D279" s="5">
        <v>0.879</v>
      </c>
      <c r="E279" s="5">
        <v>1E-3</v>
      </c>
      <c r="F279" s="10">
        <v>0.54500000000000004</v>
      </c>
      <c r="G279" s="3" t="s">
        <v>339</v>
      </c>
    </row>
    <row r="280" spans="1:7" x14ac:dyDescent="0.25">
      <c r="A280" t="s">
        <v>144</v>
      </c>
      <c r="B280" s="66"/>
      <c r="C280" s="9">
        <f>C277</f>
        <v>-2.2469999999999999</v>
      </c>
      <c r="D280" s="5">
        <v>0.79700000000000004</v>
      </c>
      <c r="E280" s="5">
        <v>1E-3</v>
      </c>
      <c r="F280" s="10">
        <v>0.38400000000000001</v>
      </c>
      <c r="G280" s="3" t="s">
        <v>337</v>
      </c>
    </row>
    <row r="281" spans="1:7" x14ac:dyDescent="0.25">
      <c r="A281" t="s">
        <v>143</v>
      </c>
      <c r="B281" s="66"/>
      <c r="C281" s="9">
        <f>C278</f>
        <v>-2.931</v>
      </c>
      <c r="D281" s="5">
        <v>0.74099999999999999</v>
      </c>
      <c r="E281" s="5">
        <v>1E-3</v>
      </c>
      <c r="F281" s="10">
        <v>0.84499999999999997</v>
      </c>
      <c r="G281" s="3" t="s">
        <v>338</v>
      </c>
    </row>
    <row r="282" spans="1:7" x14ac:dyDescent="0.25">
      <c r="A282" t="s">
        <v>145</v>
      </c>
      <c r="B282" s="66"/>
      <c r="C282" s="9">
        <v>-1.5369999999999999</v>
      </c>
      <c r="D282" s="5">
        <v>0.59199999999999997</v>
      </c>
      <c r="E282" s="5">
        <v>1E-3</v>
      </c>
      <c r="F282" s="10">
        <v>0.51600000000000001</v>
      </c>
      <c r="G282" s="201" t="s">
        <v>340</v>
      </c>
    </row>
    <row r="283" spans="1:7" ht="15.75" thickBot="1" x14ac:dyDescent="0.3">
      <c r="A283" t="s">
        <v>146</v>
      </c>
      <c r="B283" s="66"/>
      <c r="C283" s="11">
        <v>-1.5369999999999999</v>
      </c>
      <c r="D283" s="12">
        <v>0.59199999999999997</v>
      </c>
      <c r="E283" s="12">
        <v>1E-3</v>
      </c>
      <c r="F283" s="13">
        <v>0.51600000000000001</v>
      </c>
      <c r="G283" s="201" t="s">
        <v>340</v>
      </c>
    </row>
    <row r="284" spans="1:7" ht="15.75" thickBot="1" x14ac:dyDescent="0.3">
      <c r="A284" s="4" t="s">
        <v>149</v>
      </c>
      <c r="G284" s="3"/>
    </row>
    <row r="285" spans="1:7" x14ac:dyDescent="0.25">
      <c r="A285" t="s">
        <v>140</v>
      </c>
      <c r="C285" s="161">
        <v>-1.1919999999999999</v>
      </c>
      <c r="D285" s="7">
        <v>0.379</v>
      </c>
      <c r="E285" s="7">
        <v>1E-3</v>
      </c>
      <c r="F285" s="162">
        <v>0.39400000000000002</v>
      </c>
      <c r="G285" s="3" t="s">
        <v>337</v>
      </c>
    </row>
    <row r="286" spans="1:7" x14ac:dyDescent="0.25">
      <c r="A286" t="s">
        <v>141</v>
      </c>
      <c r="C286" s="9">
        <v>-1.9079999999999999</v>
      </c>
      <c r="D286" s="5">
        <v>0.26500000000000001</v>
      </c>
      <c r="E286" s="5">
        <v>1E-3</v>
      </c>
      <c r="F286" s="10">
        <v>0.90500000000000003</v>
      </c>
      <c r="G286" s="3" t="s">
        <v>338</v>
      </c>
    </row>
    <row r="287" spans="1:7" x14ac:dyDescent="0.25">
      <c r="A287" t="s">
        <v>142</v>
      </c>
      <c r="C287" s="9">
        <v>-2.4950000000000001</v>
      </c>
      <c r="D287" s="5">
        <v>1.1910000000000001</v>
      </c>
      <c r="E287" s="5">
        <v>1E-3</v>
      </c>
      <c r="F287" s="10">
        <v>0.13100000000000001</v>
      </c>
      <c r="G287" s="3" t="s">
        <v>339</v>
      </c>
    </row>
    <row r="288" spans="1:7" x14ac:dyDescent="0.25">
      <c r="A288" t="s">
        <v>144</v>
      </c>
      <c r="C288" s="9">
        <f>C285</f>
        <v>-1.1919999999999999</v>
      </c>
      <c r="D288" s="5">
        <v>0.379</v>
      </c>
      <c r="E288" s="5">
        <v>1E-3</v>
      </c>
      <c r="F288" s="10">
        <v>0.39400000000000002</v>
      </c>
      <c r="G288" s="3" t="s">
        <v>337</v>
      </c>
    </row>
    <row r="289" spans="1:7" x14ac:dyDescent="0.25">
      <c r="A289" t="s">
        <v>143</v>
      </c>
      <c r="C289" s="9">
        <f>C286</f>
        <v>-1.9079999999999999</v>
      </c>
      <c r="D289" s="5">
        <v>0.191</v>
      </c>
      <c r="E289" s="5">
        <v>1E-3</v>
      </c>
      <c r="F289" s="10">
        <v>0.13100000000000001</v>
      </c>
      <c r="G289" s="3" t="s">
        <v>338</v>
      </c>
    </row>
    <row r="290" spans="1:7" x14ac:dyDescent="0.25">
      <c r="A290" t="s">
        <v>145</v>
      </c>
      <c r="C290" s="9">
        <v>-0.29799999999999999</v>
      </c>
      <c r="D290" s="5">
        <v>0.23499999999999999</v>
      </c>
      <c r="E290" s="5">
        <v>1E-3</v>
      </c>
      <c r="F290" s="10">
        <v>0.21199999999999999</v>
      </c>
      <c r="G290" s="201" t="s">
        <v>340</v>
      </c>
    </row>
    <row r="291" spans="1:7" ht="15.75" thickBot="1" x14ac:dyDescent="0.3">
      <c r="A291" t="s">
        <v>146</v>
      </c>
      <c r="C291" s="11">
        <v>-0.29799999999999999</v>
      </c>
      <c r="D291" s="12">
        <v>0.23499999999999999</v>
      </c>
      <c r="E291" s="12">
        <v>1E-3</v>
      </c>
      <c r="F291" s="13">
        <v>0.21199999999999999</v>
      </c>
      <c r="G291" s="201" t="s">
        <v>340</v>
      </c>
    </row>
    <row r="292" spans="1:7" ht="15.75" thickBot="1" x14ac:dyDescent="0.3">
      <c r="A292" s="4" t="s">
        <v>150</v>
      </c>
      <c r="D292" s="54"/>
      <c r="F292" s="54"/>
      <c r="G292" s="3"/>
    </row>
    <row r="293" spans="1:7" x14ac:dyDescent="0.25">
      <c r="A293" t="s">
        <v>140</v>
      </c>
      <c r="C293" s="161">
        <v>-2.1589999999999998</v>
      </c>
      <c r="D293" s="7">
        <v>0.79700000000000004</v>
      </c>
      <c r="E293" s="7">
        <v>1E-3</v>
      </c>
      <c r="F293" s="162">
        <v>0.38400000000000001</v>
      </c>
      <c r="G293" s="3" t="s">
        <v>337</v>
      </c>
    </row>
    <row r="294" spans="1:7" x14ac:dyDescent="0.25">
      <c r="A294" t="s">
        <v>141</v>
      </c>
      <c r="C294" s="9">
        <v>-2.843</v>
      </c>
      <c r="D294" s="5">
        <v>0.74099999999999999</v>
      </c>
      <c r="E294" s="5">
        <v>1E-3</v>
      </c>
      <c r="F294" s="10">
        <v>0.84499999999999997</v>
      </c>
      <c r="G294" s="3" t="s">
        <v>338</v>
      </c>
    </row>
    <row r="295" spans="1:7" x14ac:dyDescent="0.25">
      <c r="A295" t="s">
        <v>142</v>
      </c>
      <c r="C295" s="9">
        <v>-2.16</v>
      </c>
      <c r="D295" s="5">
        <v>0.879</v>
      </c>
      <c r="E295" s="5">
        <v>1E-3</v>
      </c>
      <c r="F295" s="10">
        <v>0.54500000000000004</v>
      </c>
      <c r="G295" s="3" t="s">
        <v>339</v>
      </c>
    </row>
    <row r="296" spans="1:7" x14ac:dyDescent="0.25">
      <c r="A296" t="s">
        <v>144</v>
      </c>
      <c r="C296" s="9">
        <f>C293</f>
        <v>-2.1589999999999998</v>
      </c>
      <c r="D296" s="5">
        <v>0.79700000000000004</v>
      </c>
      <c r="E296" s="5">
        <v>1E-3</v>
      </c>
      <c r="F296" s="10">
        <v>0.38400000000000001</v>
      </c>
      <c r="G296" s="3" t="s">
        <v>337</v>
      </c>
    </row>
    <row r="297" spans="1:7" x14ac:dyDescent="0.25">
      <c r="A297" t="s">
        <v>143</v>
      </c>
      <c r="C297" s="9">
        <f>C294</f>
        <v>-2.843</v>
      </c>
      <c r="D297" s="5">
        <v>0.74099999999999999</v>
      </c>
      <c r="E297" s="5">
        <v>1E-3</v>
      </c>
      <c r="F297" s="10">
        <v>0.84499999999999997</v>
      </c>
      <c r="G297" s="3" t="s">
        <v>338</v>
      </c>
    </row>
    <row r="298" spans="1:7" x14ac:dyDescent="0.25">
      <c r="A298" t="s">
        <v>145</v>
      </c>
      <c r="C298" s="9">
        <v>-1.5369999999999999</v>
      </c>
      <c r="D298" s="5">
        <v>0.59199999999999997</v>
      </c>
      <c r="E298" s="5">
        <v>1E-3</v>
      </c>
      <c r="F298" s="10">
        <v>0.51600000000000001</v>
      </c>
      <c r="G298" s="201" t="s">
        <v>340</v>
      </c>
    </row>
    <row r="299" spans="1:7" ht="15.75" thickBot="1" x14ac:dyDescent="0.3">
      <c r="A299" t="s">
        <v>146</v>
      </c>
      <c r="C299" s="11">
        <v>-1.5369999999999999</v>
      </c>
      <c r="D299" s="12">
        <v>0.59199999999999997</v>
      </c>
      <c r="E299" s="12">
        <v>1E-3</v>
      </c>
      <c r="F299" s="13">
        <v>0.51600000000000001</v>
      </c>
      <c r="G299" s="201" t="s">
        <v>340</v>
      </c>
    </row>
    <row r="300" spans="1:7" ht="15.75" thickBot="1" x14ac:dyDescent="0.3">
      <c r="A300" s="4" t="s">
        <v>151</v>
      </c>
      <c r="G300" s="3"/>
    </row>
    <row r="301" spans="1:7" x14ac:dyDescent="0.25">
      <c r="A301" t="s">
        <v>140</v>
      </c>
      <c r="C301" s="161">
        <v>-1.032</v>
      </c>
      <c r="D301" s="7">
        <v>0.379</v>
      </c>
      <c r="E301" s="7">
        <v>1E-3</v>
      </c>
      <c r="F301" s="162">
        <v>0.39400000000000002</v>
      </c>
      <c r="G301" s="3" t="s">
        <v>337</v>
      </c>
    </row>
    <row r="302" spans="1:7" x14ac:dyDescent="0.25">
      <c r="A302" t="s">
        <v>141</v>
      </c>
      <c r="C302" s="9">
        <v>-1.748</v>
      </c>
      <c r="D302" s="5">
        <v>0.26500000000000001</v>
      </c>
      <c r="E302" s="5">
        <v>1E-3</v>
      </c>
      <c r="F302" s="10">
        <v>0.90500000000000003</v>
      </c>
      <c r="G302" s="3" t="s">
        <v>338</v>
      </c>
    </row>
    <row r="303" spans="1:7" x14ac:dyDescent="0.25">
      <c r="A303" t="s">
        <v>142</v>
      </c>
      <c r="C303" s="9">
        <v>-2.335</v>
      </c>
      <c r="D303" s="5">
        <v>1.1910000000000001</v>
      </c>
      <c r="E303" s="5">
        <v>1E-3</v>
      </c>
      <c r="F303" s="10">
        <v>0.13100000000000001</v>
      </c>
      <c r="G303" s="3" t="s">
        <v>339</v>
      </c>
    </row>
    <row r="304" spans="1:7" x14ac:dyDescent="0.25">
      <c r="A304" t="s">
        <v>144</v>
      </c>
      <c r="C304" s="9">
        <f>C301</f>
        <v>-1.032</v>
      </c>
      <c r="D304" s="5">
        <v>0.379</v>
      </c>
      <c r="E304" s="5">
        <v>1E-3</v>
      </c>
      <c r="F304" s="10">
        <v>0.39400000000000002</v>
      </c>
      <c r="G304" s="3" t="s">
        <v>337</v>
      </c>
    </row>
    <row r="305" spans="1:7" x14ac:dyDescent="0.25">
      <c r="A305" t="s">
        <v>143</v>
      </c>
      <c r="C305" s="9">
        <f>C302</f>
        <v>-1.748</v>
      </c>
      <c r="D305" s="5">
        <v>0.191</v>
      </c>
      <c r="E305" s="5">
        <v>1E-3</v>
      </c>
      <c r="F305" s="10">
        <v>0.13100000000000001</v>
      </c>
      <c r="G305" s="3" t="s">
        <v>338</v>
      </c>
    </row>
    <row r="306" spans="1:7" x14ac:dyDescent="0.25">
      <c r="A306" t="s">
        <v>145</v>
      </c>
      <c r="C306" s="9">
        <v>-0.13800000000000001</v>
      </c>
      <c r="D306" s="5">
        <v>0.23499999999999999</v>
      </c>
      <c r="E306" s="5">
        <v>1E-3</v>
      </c>
      <c r="F306" s="10">
        <v>0.21199999999999999</v>
      </c>
      <c r="G306" s="201" t="s">
        <v>340</v>
      </c>
    </row>
    <row r="307" spans="1:7" ht="15.75" thickBot="1" x14ac:dyDescent="0.3">
      <c r="A307" t="s">
        <v>146</v>
      </c>
      <c r="C307" s="11">
        <v>-0.13800000000000001</v>
      </c>
      <c r="D307" s="12">
        <v>0.23499999999999999</v>
      </c>
      <c r="E307" s="12">
        <v>1E-3</v>
      </c>
      <c r="F307" s="13">
        <v>0.21199999999999999</v>
      </c>
      <c r="G307" s="201" t="s">
        <v>340</v>
      </c>
    </row>
    <row r="308" spans="1:7" ht="15.75" thickBot="1" x14ac:dyDescent="0.3">
      <c r="A308" s="4" t="s">
        <v>152</v>
      </c>
      <c r="D308" s="54"/>
      <c r="F308" s="54"/>
      <c r="G308" s="3"/>
    </row>
    <row r="309" spans="1:7" x14ac:dyDescent="0.25">
      <c r="A309" t="s">
        <v>140</v>
      </c>
      <c r="C309" s="161">
        <v>-2.0710000000000002</v>
      </c>
      <c r="D309" s="7">
        <v>0.79700000000000004</v>
      </c>
      <c r="E309" s="7">
        <v>1E-3</v>
      </c>
      <c r="F309" s="162">
        <v>0.38400000000000001</v>
      </c>
      <c r="G309" s="3" t="s">
        <v>337</v>
      </c>
    </row>
    <row r="310" spans="1:7" x14ac:dyDescent="0.25">
      <c r="A310" t="s">
        <v>141</v>
      </c>
      <c r="C310" s="9">
        <v>-2.7549999999999999</v>
      </c>
      <c r="D310" s="5">
        <v>0.74099999999999999</v>
      </c>
      <c r="E310" s="5">
        <v>1E-3</v>
      </c>
      <c r="F310" s="10">
        <v>0.84499999999999997</v>
      </c>
      <c r="G310" s="3" t="s">
        <v>338</v>
      </c>
    </row>
    <row r="311" spans="1:7" x14ac:dyDescent="0.25">
      <c r="A311" t="s">
        <v>142</v>
      </c>
      <c r="C311" s="9">
        <v>-2.0720000000000001</v>
      </c>
      <c r="D311" s="5">
        <v>0.879</v>
      </c>
      <c r="E311" s="5">
        <v>1E-3</v>
      </c>
      <c r="F311" s="10">
        <v>0.54500000000000004</v>
      </c>
      <c r="G311" s="3" t="s">
        <v>339</v>
      </c>
    </row>
    <row r="312" spans="1:7" x14ac:dyDescent="0.25">
      <c r="A312" t="s">
        <v>144</v>
      </c>
      <c r="C312" s="9">
        <f>C309</f>
        <v>-2.0710000000000002</v>
      </c>
      <c r="D312" s="5">
        <v>0.79700000000000004</v>
      </c>
      <c r="E312" s="5">
        <v>1E-3</v>
      </c>
      <c r="F312" s="10">
        <v>0.38400000000000001</v>
      </c>
      <c r="G312" s="3" t="s">
        <v>337</v>
      </c>
    </row>
    <row r="313" spans="1:7" x14ac:dyDescent="0.25">
      <c r="A313" t="s">
        <v>143</v>
      </c>
      <c r="C313" s="9">
        <f>C310</f>
        <v>-2.7549999999999999</v>
      </c>
      <c r="D313" s="5">
        <v>0.74099999999999999</v>
      </c>
      <c r="E313" s="5">
        <v>1E-3</v>
      </c>
      <c r="F313" s="10">
        <v>0.84499999999999997</v>
      </c>
      <c r="G313" s="3" t="s">
        <v>338</v>
      </c>
    </row>
    <row r="314" spans="1:7" x14ac:dyDescent="0.25">
      <c r="A314" t="s">
        <v>145</v>
      </c>
      <c r="C314" s="9">
        <v>-1.361</v>
      </c>
      <c r="D314" s="5">
        <v>0.59199999999999997</v>
      </c>
      <c r="E314" s="5">
        <v>1E-3</v>
      </c>
      <c r="F314" s="10">
        <v>0.51600000000000001</v>
      </c>
      <c r="G314" s="201" t="s">
        <v>340</v>
      </c>
    </row>
    <row r="315" spans="1:7" ht="15.75" thickBot="1" x14ac:dyDescent="0.3">
      <c r="A315" t="s">
        <v>146</v>
      </c>
      <c r="C315" s="11">
        <v>-1.361</v>
      </c>
      <c r="D315" s="12">
        <v>0.59199999999999997</v>
      </c>
      <c r="E315" s="12">
        <v>1E-3</v>
      </c>
      <c r="F315" s="13">
        <v>0.51600000000000001</v>
      </c>
      <c r="G315" s="201" t="s">
        <v>340</v>
      </c>
    </row>
    <row r="316" spans="1:7" ht="15.75" thickBot="1" x14ac:dyDescent="0.3">
      <c r="A316" s="4" t="s">
        <v>153</v>
      </c>
      <c r="G316" s="3"/>
    </row>
    <row r="317" spans="1:7" x14ac:dyDescent="0.25">
      <c r="A317" t="s">
        <v>140</v>
      </c>
      <c r="C317" s="161">
        <v>-1.032</v>
      </c>
      <c r="D317" s="7">
        <v>0.379</v>
      </c>
      <c r="E317" s="7">
        <v>1E-3</v>
      </c>
      <c r="F317" s="162">
        <v>0.39400000000000002</v>
      </c>
      <c r="G317" s="3" t="s">
        <v>337</v>
      </c>
    </row>
    <row r="318" spans="1:7" x14ac:dyDescent="0.25">
      <c r="A318" t="s">
        <v>141</v>
      </c>
      <c r="C318" s="9">
        <v>-1.5880000000000001</v>
      </c>
      <c r="D318" s="5">
        <v>0.26500000000000001</v>
      </c>
      <c r="E318" s="5">
        <v>1E-3</v>
      </c>
      <c r="F318" s="10">
        <v>0.90500000000000003</v>
      </c>
      <c r="G318" s="3" t="s">
        <v>338</v>
      </c>
    </row>
    <row r="319" spans="1:7" x14ac:dyDescent="0.25">
      <c r="A319" t="s">
        <v>142</v>
      </c>
      <c r="C319" s="9">
        <v>-2.1749999999999998</v>
      </c>
      <c r="D319" s="5">
        <v>1.1910000000000001</v>
      </c>
      <c r="E319" s="5">
        <v>1E-3</v>
      </c>
      <c r="F319" s="10">
        <v>0.13100000000000001</v>
      </c>
      <c r="G319" s="3" t="s">
        <v>339</v>
      </c>
    </row>
    <row r="320" spans="1:7" x14ac:dyDescent="0.25">
      <c r="A320" t="s">
        <v>144</v>
      </c>
      <c r="C320" s="9">
        <f>C317</f>
        <v>-1.032</v>
      </c>
      <c r="D320" s="5">
        <v>0.379</v>
      </c>
      <c r="E320" s="5">
        <v>1E-3</v>
      </c>
      <c r="F320" s="10">
        <v>0.39400000000000002</v>
      </c>
      <c r="G320" s="3" t="s">
        <v>337</v>
      </c>
    </row>
    <row r="321" spans="1:7" x14ac:dyDescent="0.25">
      <c r="A321" t="s">
        <v>143</v>
      </c>
      <c r="C321" s="9">
        <f>C318</f>
        <v>-1.5880000000000001</v>
      </c>
      <c r="D321" s="5">
        <v>0.191</v>
      </c>
      <c r="E321" s="5">
        <v>1E-3</v>
      </c>
      <c r="F321" s="10">
        <v>0.13100000000000001</v>
      </c>
      <c r="G321" s="3" t="s">
        <v>338</v>
      </c>
    </row>
    <row r="322" spans="1:7" x14ac:dyDescent="0.25">
      <c r="A322" t="s">
        <v>145</v>
      </c>
      <c r="C322" s="9">
        <v>2.1999999999999999E-2</v>
      </c>
      <c r="D322" s="5">
        <v>0.23499999999999999</v>
      </c>
      <c r="E322" s="5">
        <v>1E-3</v>
      </c>
      <c r="F322" s="10">
        <v>0.21199999999999999</v>
      </c>
      <c r="G322" s="201" t="s">
        <v>340</v>
      </c>
    </row>
    <row r="323" spans="1:7" ht="15.75" thickBot="1" x14ac:dyDescent="0.3">
      <c r="A323" t="s">
        <v>146</v>
      </c>
      <c r="C323" s="11">
        <v>2.1999999999999999E-2</v>
      </c>
      <c r="D323" s="12">
        <v>0.23499999999999999</v>
      </c>
      <c r="E323" s="12">
        <v>1E-3</v>
      </c>
      <c r="F323" s="13">
        <v>0.21199999999999999</v>
      </c>
      <c r="G323" s="201" t="s">
        <v>340</v>
      </c>
    </row>
    <row r="324" spans="1:7" ht="15.75" thickBot="1" x14ac:dyDescent="0.3">
      <c r="A324" s="4" t="s">
        <v>154</v>
      </c>
      <c r="D324" s="54"/>
      <c r="F324" s="54"/>
      <c r="G324" s="3"/>
    </row>
    <row r="325" spans="1:7" x14ac:dyDescent="0.25">
      <c r="A325" t="s">
        <v>140</v>
      </c>
      <c r="C325" s="161">
        <v>-1.984</v>
      </c>
      <c r="D325" s="7">
        <v>0.79700000000000004</v>
      </c>
      <c r="E325" s="7">
        <v>1E-3</v>
      </c>
      <c r="F325" s="162">
        <v>0.38400000000000001</v>
      </c>
      <c r="G325" s="3" t="s">
        <v>337</v>
      </c>
    </row>
    <row r="326" spans="1:7" x14ac:dyDescent="0.25">
      <c r="A326" t="s">
        <v>141</v>
      </c>
      <c r="C326" s="9">
        <v>-2.6680000000000001</v>
      </c>
      <c r="D326" s="5">
        <v>0.74099999999999999</v>
      </c>
      <c r="E326" s="5">
        <v>1E-3</v>
      </c>
      <c r="F326" s="10">
        <v>0.84499999999999997</v>
      </c>
      <c r="G326" s="3" t="s">
        <v>338</v>
      </c>
    </row>
    <row r="327" spans="1:7" x14ac:dyDescent="0.25">
      <c r="A327" t="s">
        <v>142</v>
      </c>
      <c r="C327" s="9">
        <v>-1.9850000000000001</v>
      </c>
      <c r="D327" s="5">
        <v>0.879</v>
      </c>
      <c r="E327" s="5">
        <v>1E-3</v>
      </c>
      <c r="F327" s="10">
        <v>0.54500000000000004</v>
      </c>
      <c r="G327" s="3" t="s">
        <v>339</v>
      </c>
    </row>
    <row r="328" spans="1:7" x14ac:dyDescent="0.25">
      <c r="A328" t="s">
        <v>144</v>
      </c>
      <c r="C328" s="9">
        <f>C325</f>
        <v>-1.984</v>
      </c>
      <c r="D328" s="5">
        <v>0.79700000000000004</v>
      </c>
      <c r="E328" s="5">
        <v>1E-3</v>
      </c>
      <c r="F328" s="10">
        <v>0.38400000000000001</v>
      </c>
      <c r="G328" s="3" t="s">
        <v>337</v>
      </c>
    </row>
    <row r="329" spans="1:7" x14ac:dyDescent="0.25">
      <c r="A329" t="s">
        <v>143</v>
      </c>
      <c r="C329" s="9">
        <f>C326</f>
        <v>-2.6680000000000001</v>
      </c>
      <c r="D329" s="5">
        <v>0.74099999999999999</v>
      </c>
      <c r="E329" s="5">
        <v>1E-3</v>
      </c>
      <c r="F329" s="10">
        <v>0.84499999999999997</v>
      </c>
      <c r="G329" s="3" t="s">
        <v>338</v>
      </c>
    </row>
    <row r="330" spans="1:7" x14ac:dyDescent="0.25">
      <c r="A330" t="s">
        <v>145</v>
      </c>
      <c r="C330" s="9">
        <v>-1.274</v>
      </c>
      <c r="D330" s="5">
        <v>0.59199999999999997</v>
      </c>
      <c r="E330" s="5">
        <v>1E-3</v>
      </c>
      <c r="F330" s="10">
        <v>0.51600000000000001</v>
      </c>
      <c r="G330" s="201" t="s">
        <v>340</v>
      </c>
    </row>
    <row r="331" spans="1:7" ht="15.75" thickBot="1" x14ac:dyDescent="0.3">
      <c r="A331" t="s">
        <v>146</v>
      </c>
      <c r="C331" s="11">
        <v>-1.274</v>
      </c>
      <c r="D331" s="12">
        <v>0.59199999999999997</v>
      </c>
      <c r="E331" s="12">
        <v>1E-3</v>
      </c>
      <c r="F331" s="13">
        <v>0.51600000000000001</v>
      </c>
      <c r="G331" s="201" t="s">
        <v>340</v>
      </c>
    </row>
    <row r="332" spans="1:7" ht="15.75" thickBot="1" x14ac:dyDescent="0.3">
      <c r="A332" s="4" t="s">
        <v>155</v>
      </c>
      <c r="G332" s="3"/>
    </row>
    <row r="333" spans="1:7" x14ac:dyDescent="0.25">
      <c r="A333" t="s">
        <v>140</v>
      </c>
      <c r="C333" s="161">
        <v>-0.71199999999999997</v>
      </c>
      <c r="D333" s="7">
        <v>0.379</v>
      </c>
      <c r="E333" s="7">
        <v>1E-3</v>
      </c>
      <c r="F333" s="162">
        <v>0.39400000000000002</v>
      </c>
      <c r="G333" s="3" t="s">
        <v>337</v>
      </c>
    </row>
    <row r="334" spans="1:7" x14ac:dyDescent="0.25">
      <c r="A334" t="s">
        <v>141</v>
      </c>
      <c r="C334" s="9">
        <v>-1.4279999999999999</v>
      </c>
      <c r="D334" s="5">
        <v>0.26500000000000001</v>
      </c>
      <c r="E334" s="5">
        <v>1E-3</v>
      </c>
      <c r="F334" s="10">
        <v>0.90500000000000003</v>
      </c>
      <c r="G334" s="3" t="s">
        <v>338</v>
      </c>
    </row>
    <row r="335" spans="1:7" x14ac:dyDescent="0.25">
      <c r="A335" t="s">
        <v>142</v>
      </c>
      <c r="C335" s="9">
        <v>-2.0150000000000001</v>
      </c>
      <c r="D335" s="5">
        <v>1.1910000000000001</v>
      </c>
      <c r="E335" s="5">
        <v>1E-3</v>
      </c>
      <c r="F335" s="10">
        <v>0.13100000000000001</v>
      </c>
      <c r="G335" s="3" t="s">
        <v>339</v>
      </c>
    </row>
    <row r="336" spans="1:7" x14ac:dyDescent="0.25">
      <c r="A336" t="s">
        <v>144</v>
      </c>
      <c r="C336" s="9">
        <f>C333</f>
        <v>-0.71199999999999997</v>
      </c>
      <c r="D336" s="5">
        <v>0.379</v>
      </c>
      <c r="E336" s="5">
        <v>1E-3</v>
      </c>
      <c r="F336" s="10">
        <v>0.39400000000000002</v>
      </c>
      <c r="G336" s="3" t="s">
        <v>337</v>
      </c>
    </row>
    <row r="337" spans="1:7" x14ac:dyDescent="0.25">
      <c r="A337" t="s">
        <v>143</v>
      </c>
      <c r="C337" s="9">
        <f>C334</f>
        <v>-1.4279999999999999</v>
      </c>
      <c r="D337" s="5">
        <v>0.191</v>
      </c>
      <c r="E337" s="5">
        <v>1E-3</v>
      </c>
      <c r="F337" s="10">
        <v>0.13100000000000001</v>
      </c>
      <c r="G337" s="3" t="s">
        <v>338</v>
      </c>
    </row>
    <row r="338" spans="1:7" x14ac:dyDescent="0.25">
      <c r="A338" t="s">
        <v>145</v>
      </c>
      <c r="C338" s="9">
        <v>0.182</v>
      </c>
      <c r="D338" s="5">
        <v>0.23499999999999999</v>
      </c>
      <c r="E338" s="5">
        <v>1E-3</v>
      </c>
      <c r="F338" s="10">
        <v>0.21199999999999999</v>
      </c>
      <c r="G338" s="201" t="s">
        <v>340</v>
      </c>
    </row>
    <row r="339" spans="1:7" ht="15.75" thickBot="1" x14ac:dyDescent="0.3">
      <c r="A339" t="s">
        <v>146</v>
      </c>
      <c r="C339" s="11">
        <v>0.182</v>
      </c>
      <c r="D339" s="12">
        <v>0.23499999999999999</v>
      </c>
      <c r="E339" s="12">
        <v>1E-3</v>
      </c>
      <c r="F339" s="13">
        <v>0.21199999999999999</v>
      </c>
      <c r="G339" s="201" t="s">
        <v>340</v>
      </c>
    </row>
    <row r="340" spans="1:7" ht="15.75" thickBot="1" x14ac:dyDescent="0.3">
      <c r="A340" s="4" t="s">
        <v>156</v>
      </c>
      <c r="D340" s="54"/>
      <c r="F340" s="54"/>
      <c r="G340" s="3"/>
    </row>
    <row r="341" spans="1:7" x14ac:dyDescent="0.25">
      <c r="A341" t="s">
        <v>140</v>
      </c>
      <c r="C341" s="161">
        <v>-1.8959999999999999</v>
      </c>
      <c r="D341" s="7">
        <v>0.79700000000000004</v>
      </c>
      <c r="E341" s="7">
        <v>1E-3</v>
      </c>
      <c r="F341" s="162">
        <v>0.38400000000000001</v>
      </c>
      <c r="G341" s="3" t="s">
        <v>337</v>
      </c>
    </row>
    <row r="342" spans="1:7" x14ac:dyDescent="0.25">
      <c r="A342" t="s">
        <v>141</v>
      </c>
      <c r="C342" s="9">
        <v>-2.58</v>
      </c>
      <c r="D342" s="5">
        <v>0.74099999999999999</v>
      </c>
      <c r="E342" s="5">
        <v>1E-3</v>
      </c>
      <c r="F342" s="10">
        <v>0.84499999999999997</v>
      </c>
      <c r="G342" s="3" t="s">
        <v>338</v>
      </c>
    </row>
    <row r="343" spans="1:7" x14ac:dyDescent="0.25">
      <c r="A343" t="s">
        <v>142</v>
      </c>
      <c r="C343" s="9">
        <v>-1.897</v>
      </c>
      <c r="D343" s="5">
        <v>0.879</v>
      </c>
      <c r="E343" s="5">
        <v>1E-3</v>
      </c>
      <c r="F343" s="10">
        <v>0.54500000000000004</v>
      </c>
      <c r="G343" s="3" t="s">
        <v>339</v>
      </c>
    </row>
    <row r="344" spans="1:7" x14ac:dyDescent="0.25">
      <c r="A344" t="s">
        <v>144</v>
      </c>
      <c r="C344" s="9">
        <f>C341</f>
        <v>-1.8959999999999999</v>
      </c>
      <c r="D344" s="5">
        <v>0.79700000000000004</v>
      </c>
      <c r="E344" s="5">
        <v>1E-3</v>
      </c>
      <c r="F344" s="10">
        <v>0.38400000000000001</v>
      </c>
      <c r="G344" s="3" t="s">
        <v>337</v>
      </c>
    </row>
    <row r="345" spans="1:7" x14ac:dyDescent="0.25">
      <c r="A345" t="s">
        <v>143</v>
      </c>
      <c r="C345" s="9">
        <f>C342</f>
        <v>-2.58</v>
      </c>
      <c r="D345" s="5">
        <v>0.74099999999999999</v>
      </c>
      <c r="E345" s="5">
        <v>1E-3</v>
      </c>
      <c r="F345" s="10">
        <v>0.84499999999999997</v>
      </c>
      <c r="G345" s="3" t="s">
        <v>338</v>
      </c>
    </row>
    <row r="346" spans="1:7" x14ac:dyDescent="0.25">
      <c r="A346" t="s">
        <v>145</v>
      </c>
      <c r="C346" s="9">
        <v>-1.1859999999999999</v>
      </c>
      <c r="D346" s="5">
        <v>0.59199999999999997</v>
      </c>
      <c r="E346" s="5">
        <v>1E-3</v>
      </c>
      <c r="F346" s="10">
        <v>0.51600000000000001</v>
      </c>
      <c r="G346" s="201" t="s">
        <v>340</v>
      </c>
    </row>
    <row r="347" spans="1:7" ht="15.75" thickBot="1" x14ac:dyDescent="0.3">
      <c r="A347" t="s">
        <v>146</v>
      </c>
      <c r="C347" s="11">
        <v>-1.1859999999999999</v>
      </c>
      <c r="D347" s="12">
        <v>0.59199999999999997</v>
      </c>
      <c r="E347" s="12">
        <v>1E-3</v>
      </c>
      <c r="F347" s="13">
        <v>0.51600000000000001</v>
      </c>
      <c r="G347" s="201" t="s">
        <v>340</v>
      </c>
    </row>
    <row r="348" spans="1:7" x14ac:dyDescent="0.25">
      <c r="G348" s="3"/>
    </row>
    <row r="349" spans="1:7" ht="15.75" thickBot="1" x14ac:dyDescent="0.3">
      <c r="A349" s="4" t="s">
        <v>157</v>
      </c>
      <c r="G349" s="3"/>
    </row>
    <row r="350" spans="1:7" x14ac:dyDescent="0.25">
      <c r="A350" t="s">
        <v>140</v>
      </c>
      <c r="C350" s="161">
        <v>-2.899</v>
      </c>
      <c r="D350" s="7">
        <v>0.58199999999999996</v>
      </c>
      <c r="E350" s="7">
        <v>1E-3</v>
      </c>
      <c r="F350" s="162">
        <v>0.89900000000000002</v>
      </c>
      <c r="G350" s="3" t="s">
        <v>162</v>
      </c>
    </row>
    <row r="351" spans="1:7" x14ac:dyDescent="0.25">
      <c r="A351" t="s">
        <v>141</v>
      </c>
      <c r="C351" s="9">
        <v>-2.8170000000000002</v>
      </c>
      <c r="D351" s="5">
        <v>0.70899999999999996</v>
      </c>
      <c r="E351" s="5">
        <v>1E-3</v>
      </c>
      <c r="F351" s="10">
        <v>0.73</v>
      </c>
      <c r="G351" s="3" t="s">
        <v>163</v>
      </c>
    </row>
    <row r="352" spans="1:7" x14ac:dyDescent="0.25">
      <c r="A352" t="s">
        <v>142</v>
      </c>
      <c r="C352" s="9">
        <v>-2.74</v>
      </c>
      <c r="D352" s="5">
        <v>1.008</v>
      </c>
      <c r="E352" s="5">
        <v>1E-3</v>
      </c>
      <c r="F352" s="10">
        <v>0.17699999999999999</v>
      </c>
      <c r="G352" s="3" t="s">
        <v>164</v>
      </c>
    </row>
    <row r="353" spans="1:7" x14ac:dyDescent="0.25">
      <c r="A353" t="s">
        <v>144</v>
      </c>
      <c r="C353" s="9">
        <v>-2.899</v>
      </c>
      <c r="D353" s="5">
        <v>0.58199999999999996</v>
      </c>
      <c r="E353" s="5">
        <v>1E-3</v>
      </c>
      <c r="F353" s="10">
        <v>0.89900000000000002</v>
      </c>
      <c r="G353" s="3" t="s">
        <v>162</v>
      </c>
    </row>
    <row r="354" spans="1:7" x14ac:dyDescent="0.25">
      <c r="A354" t="s">
        <v>143</v>
      </c>
      <c r="C354" s="9">
        <v>-2.8170000000000002</v>
      </c>
      <c r="D354" s="5">
        <v>0.70899999999999996</v>
      </c>
      <c r="E354" s="5">
        <v>1E-3</v>
      </c>
      <c r="F354" s="10">
        <v>0.73</v>
      </c>
      <c r="G354" s="3" t="s">
        <v>163</v>
      </c>
    </row>
    <row r="355" spans="1:7" x14ac:dyDescent="0.25">
      <c r="A355" t="s">
        <v>145</v>
      </c>
      <c r="C355" s="9">
        <v>-2.363</v>
      </c>
      <c r="D355" s="5">
        <v>0.26</v>
      </c>
      <c r="E355" s="5">
        <v>1E-3</v>
      </c>
      <c r="F355" s="10">
        <v>0.94699999999999995</v>
      </c>
      <c r="G355" s="3" t="s">
        <v>161</v>
      </c>
    </row>
    <row r="356" spans="1:7" ht="15.75" thickBot="1" x14ac:dyDescent="0.3">
      <c r="A356" t="s">
        <v>146</v>
      </c>
      <c r="C356" s="11">
        <v>-2.363</v>
      </c>
      <c r="D356" s="12">
        <v>0.26</v>
      </c>
      <c r="E356" s="12">
        <v>1E-3</v>
      </c>
      <c r="F356" s="13">
        <v>0.94699999999999995</v>
      </c>
      <c r="G356" s="3" t="s">
        <v>161</v>
      </c>
    </row>
    <row r="357" spans="1:7" ht="15.75" thickBot="1" x14ac:dyDescent="0.3">
      <c r="A357" s="4" t="s">
        <v>158</v>
      </c>
      <c r="G357" s="3"/>
    </row>
    <row r="358" spans="1:7" x14ac:dyDescent="0.25">
      <c r="A358" t="s">
        <v>140</v>
      </c>
      <c r="C358" s="161">
        <v>-2.67</v>
      </c>
      <c r="D358" s="7">
        <v>0.59499999999999997</v>
      </c>
      <c r="E358" s="7">
        <v>1E-3</v>
      </c>
      <c r="F358" s="162">
        <v>0.93700000000000006</v>
      </c>
      <c r="G358" s="3" t="s">
        <v>162</v>
      </c>
    </row>
    <row r="359" spans="1:7" x14ac:dyDescent="0.25">
      <c r="A359" t="s">
        <v>141</v>
      </c>
      <c r="C359" s="9">
        <v>-2.3580000000000001</v>
      </c>
      <c r="D359" s="5">
        <v>0.88500000000000001</v>
      </c>
      <c r="E359" s="5">
        <v>1E-3</v>
      </c>
      <c r="F359" s="10">
        <v>0.35</v>
      </c>
      <c r="G359" s="3" t="s">
        <v>163</v>
      </c>
    </row>
    <row r="360" spans="1:7" x14ac:dyDescent="0.25">
      <c r="A360" t="s">
        <v>142</v>
      </c>
      <c r="C360" s="9">
        <v>-2.4319999999999999</v>
      </c>
      <c r="D360" s="5">
        <v>0.84499999999999997</v>
      </c>
      <c r="E360" s="5">
        <v>1E-3</v>
      </c>
      <c r="F360" s="10">
        <v>0.47599999999999998</v>
      </c>
      <c r="G360" s="3" t="s">
        <v>164</v>
      </c>
    </row>
    <row r="361" spans="1:7" x14ac:dyDescent="0.25">
      <c r="A361" t="s">
        <v>144</v>
      </c>
      <c r="C361" s="9">
        <v>-2.67</v>
      </c>
      <c r="D361" s="5">
        <v>0.59499999999999997</v>
      </c>
      <c r="E361" s="5">
        <v>1E-3</v>
      </c>
      <c r="F361" s="10">
        <v>0.93700000000000006</v>
      </c>
      <c r="G361" s="3" t="s">
        <v>162</v>
      </c>
    </row>
    <row r="362" spans="1:7" x14ac:dyDescent="0.25">
      <c r="A362" t="s">
        <v>143</v>
      </c>
      <c r="C362" s="9">
        <v>-2.3580000000000001</v>
      </c>
      <c r="D362" s="5">
        <v>0.88500000000000001</v>
      </c>
      <c r="E362" s="5">
        <v>1E-3</v>
      </c>
      <c r="F362" s="10">
        <v>0.35</v>
      </c>
      <c r="G362" s="3" t="s">
        <v>163</v>
      </c>
    </row>
    <row r="363" spans="1:7" x14ac:dyDescent="0.25">
      <c r="A363" t="s">
        <v>145</v>
      </c>
      <c r="C363" s="9">
        <v>-3.0550000000000002</v>
      </c>
      <c r="D363" s="5">
        <v>0.77300000000000002</v>
      </c>
      <c r="E363" s="5">
        <v>1E-3</v>
      </c>
      <c r="F363" s="10">
        <v>0.878</v>
      </c>
      <c r="G363" s="3" t="s">
        <v>161</v>
      </c>
    </row>
    <row r="364" spans="1:7" ht="15.75" thickBot="1" x14ac:dyDescent="0.3">
      <c r="A364" t="s">
        <v>146</v>
      </c>
      <c r="C364" s="11">
        <v>-3.0550000000000002</v>
      </c>
      <c r="D364" s="12">
        <v>0.77300000000000002</v>
      </c>
      <c r="E364" s="12">
        <v>1E-3</v>
      </c>
      <c r="F364" s="13">
        <v>0.878</v>
      </c>
      <c r="G364" s="3" t="s">
        <v>161</v>
      </c>
    </row>
    <row r="365" spans="1:7" ht="15.75" thickBot="1" x14ac:dyDescent="0.3">
      <c r="A365" s="4" t="s">
        <v>159</v>
      </c>
      <c r="G365" s="3"/>
    </row>
    <row r="366" spans="1:7" x14ac:dyDescent="0.25">
      <c r="A366" t="s">
        <v>140</v>
      </c>
      <c r="C366" s="161">
        <v>-3.2229999999999999</v>
      </c>
      <c r="D366" s="7">
        <v>0.58199999999999996</v>
      </c>
      <c r="E366" s="7">
        <v>1E-3</v>
      </c>
      <c r="F366" s="162">
        <v>0.89900000000000002</v>
      </c>
      <c r="G366" s="3" t="s">
        <v>162</v>
      </c>
    </row>
    <row r="367" spans="1:7" x14ac:dyDescent="0.25">
      <c r="A367" t="s">
        <v>141</v>
      </c>
      <c r="C367" s="9">
        <v>-2.3580000000000001</v>
      </c>
      <c r="D367" s="5">
        <v>0.88500000000000001</v>
      </c>
      <c r="E367" s="5">
        <v>1E-3</v>
      </c>
      <c r="F367" s="10">
        <v>0.35</v>
      </c>
      <c r="G367" s="3" t="s">
        <v>163</v>
      </c>
    </row>
    <row r="368" spans="1:7" x14ac:dyDescent="0.25">
      <c r="A368" t="s">
        <v>142</v>
      </c>
      <c r="C368" s="9">
        <v>-3.0640000000000001</v>
      </c>
      <c r="D368" s="5">
        <v>1.008</v>
      </c>
      <c r="E368" s="5">
        <v>1E-3</v>
      </c>
      <c r="F368" s="10">
        <v>0.17699999999999999</v>
      </c>
      <c r="G368" s="3" t="s">
        <v>164</v>
      </c>
    </row>
    <row r="369" spans="1:7" x14ac:dyDescent="0.25">
      <c r="A369" t="s">
        <v>144</v>
      </c>
      <c r="C369" s="9">
        <v>-3.2229999999999999</v>
      </c>
      <c r="D369" s="5">
        <v>0.58199999999999996</v>
      </c>
      <c r="E369" s="5">
        <v>1E-3</v>
      </c>
      <c r="F369" s="10">
        <v>0.89900000000000002</v>
      </c>
      <c r="G369" s="3" t="s">
        <v>162</v>
      </c>
    </row>
    <row r="370" spans="1:7" x14ac:dyDescent="0.25">
      <c r="A370" t="s">
        <v>143</v>
      </c>
      <c r="C370" s="9">
        <v>-3.141</v>
      </c>
      <c r="D370" s="5">
        <v>0.70899999999999996</v>
      </c>
      <c r="E370" s="5">
        <v>1E-3</v>
      </c>
      <c r="F370" s="10">
        <v>0.73</v>
      </c>
      <c r="G370" s="3" t="s">
        <v>163</v>
      </c>
    </row>
    <row r="371" spans="1:7" x14ac:dyDescent="0.25">
      <c r="A371" t="s">
        <v>145</v>
      </c>
      <c r="C371" s="9">
        <v>-2.6869999999999998</v>
      </c>
      <c r="D371" s="5">
        <v>0.26</v>
      </c>
      <c r="E371" s="5">
        <v>1E-3</v>
      </c>
      <c r="F371" s="10">
        <v>0.94699999999999995</v>
      </c>
      <c r="G371" s="3" t="s">
        <v>161</v>
      </c>
    </row>
    <row r="372" spans="1:7" ht="15.75" thickBot="1" x14ac:dyDescent="0.3">
      <c r="A372" t="s">
        <v>146</v>
      </c>
      <c r="C372" s="11">
        <v>-2.6869999999999998</v>
      </c>
      <c r="D372" s="12">
        <v>0.26</v>
      </c>
      <c r="E372" s="12">
        <v>1E-3</v>
      </c>
      <c r="F372" s="13">
        <v>0.94699999999999995</v>
      </c>
      <c r="G372" s="3" t="s">
        <v>161</v>
      </c>
    </row>
    <row r="373" spans="1:7" ht="15.75" thickBot="1" x14ac:dyDescent="0.3">
      <c r="A373" s="4" t="s">
        <v>160</v>
      </c>
      <c r="G373" s="3"/>
    </row>
    <row r="374" spans="1:7" x14ac:dyDescent="0.25">
      <c r="A374" t="s">
        <v>140</v>
      </c>
      <c r="C374" s="161">
        <v>-2.67</v>
      </c>
      <c r="D374" s="7">
        <v>0.59499999999999997</v>
      </c>
      <c r="E374" s="7">
        <v>1E-3</v>
      </c>
      <c r="F374" s="162">
        <v>0.93700000000000006</v>
      </c>
      <c r="G374" s="3" t="s">
        <v>162</v>
      </c>
    </row>
    <row r="375" spans="1:7" x14ac:dyDescent="0.25">
      <c r="A375" t="s">
        <v>141</v>
      </c>
      <c r="C375" s="9">
        <v>-2.3580000000000001</v>
      </c>
      <c r="D375" s="5">
        <v>0.88500000000000001</v>
      </c>
      <c r="E375" s="5">
        <v>1E-3</v>
      </c>
      <c r="F375" s="10">
        <v>0.35</v>
      </c>
      <c r="G375" s="3" t="s">
        <v>163</v>
      </c>
    </row>
    <row r="376" spans="1:7" x14ac:dyDescent="0.25">
      <c r="A376" t="s">
        <v>142</v>
      </c>
      <c r="C376" s="9">
        <v>-2.4319999999999999</v>
      </c>
      <c r="D376" s="5">
        <v>0.84499999999999997</v>
      </c>
      <c r="E376" s="5">
        <v>1E-3</v>
      </c>
      <c r="F376" s="10">
        <v>0.47599999999999998</v>
      </c>
      <c r="G376" s="3" t="s">
        <v>164</v>
      </c>
    </row>
    <row r="377" spans="1:7" x14ac:dyDescent="0.25">
      <c r="A377" t="s">
        <v>144</v>
      </c>
      <c r="C377" s="9">
        <v>-2.67</v>
      </c>
      <c r="D377" s="5">
        <v>0.59499999999999997</v>
      </c>
      <c r="E377" s="5">
        <v>1E-3</v>
      </c>
      <c r="F377" s="10">
        <v>0.93700000000000006</v>
      </c>
      <c r="G377" s="3" t="s">
        <v>162</v>
      </c>
    </row>
    <row r="378" spans="1:7" x14ac:dyDescent="0.25">
      <c r="A378" t="s">
        <v>143</v>
      </c>
      <c r="C378" s="9">
        <v>-2.3580000000000001</v>
      </c>
      <c r="D378" s="5">
        <v>0.88500000000000001</v>
      </c>
      <c r="E378" s="5">
        <v>1E-3</v>
      </c>
      <c r="F378" s="10">
        <v>0.35</v>
      </c>
      <c r="G378" s="3" t="s">
        <v>163</v>
      </c>
    </row>
    <row r="379" spans="1:7" x14ac:dyDescent="0.25">
      <c r="A379" t="s">
        <v>145</v>
      </c>
      <c r="C379" s="9">
        <v>-3.0550000000000002</v>
      </c>
      <c r="D379" s="5">
        <v>0.77300000000000002</v>
      </c>
      <c r="E379" s="5">
        <v>1E-3</v>
      </c>
      <c r="F379" s="10">
        <v>0.878</v>
      </c>
      <c r="G379" s="3" t="s">
        <v>161</v>
      </c>
    </row>
    <row r="380" spans="1:7" ht="15.75" thickBot="1" x14ac:dyDescent="0.3">
      <c r="A380" t="s">
        <v>146</v>
      </c>
      <c r="C380" s="11">
        <v>-3.0550000000000002</v>
      </c>
      <c r="D380" s="12">
        <v>0.77300000000000002</v>
      </c>
      <c r="E380" s="12">
        <v>1E-3</v>
      </c>
      <c r="F380" s="13">
        <v>0.878</v>
      </c>
      <c r="G380" s="3" t="s">
        <v>161</v>
      </c>
    </row>
    <row r="383" spans="1:7" x14ac:dyDescent="0.25">
      <c r="A383" s="91"/>
    </row>
    <row r="384" spans="1:7" x14ac:dyDescent="0.25">
      <c r="A384" s="91"/>
    </row>
    <row r="385" spans="1:10" ht="20.25" thickBot="1" x14ac:dyDescent="0.35">
      <c r="A385" s="147" t="s">
        <v>364</v>
      </c>
      <c r="B385" s="114"/>
      <c r="C385" s="114"/>
      <c r="D385" s="114"/>
      <c r="E385" s="114"/>
      <c r="F385" s="114"/>
      <c r="G385" s="114"/>
      <c r="H385" s="114"/>
      <c r="I385" s="114"/>
      <c r="J385" s="114"/>
    </row>
    <row r="386" spans="1:10" ht="15.75" thickTop="1" x14ac:dyDescent="0.25">
      <c r="A386" s="4" t="s">
        <v>20</v>
      </c>
      <c r="B386" s="114"/>
      <c r="C386" s="163" t="s">
        <v>13</v>
      </c>
      <c r="D386" s="163" t="s">
        <v>14</v>
      </c>
      <c r="E386" s="163" t="s">
        <v>15</v>
      </c>
      <c r="F386" s="163" t="s">
        <v>33</v>
      </c>
      <c r="G386" s="163" t="s">
        <v>16</v>
      </c>
      <c r="H386" s="163" t="s">
        <v>17</v>
      </c>
      <c r="I386" s="163" t="s">
        <v>18</v>
      </c>
      <c r="J386" s="163" t="s">
        <v>34</v>
      </c>
    </row>
    <row r="387" spans="1:10" x14ac:dyDescent="0.25">
      <c r="A387" s="114" t="s">
        <v>365</v>
      </c>
      <c r="B387" s="114"/>
      <c r="C387" s="114">
        <v>-4.718</v>
      </c>
      <c r="D387" s="114">
        <v>0.52400000000000002</v>
      </c>
      <c r="E387" s="114">
        <v>1E-3</v>
      </c>
      <c r="F387" s="114">
        <v>6.9900000000000004E-2</v>
      </c>
      <c r="G387" s="114">
        <v>-3.0019999999999998</v>
      </c>
      <c r="H387" s="114">
        <v>0.71799999999999997</v>
      </c>
      <c r="I387" s="114">
        <v>1E-3</v>
      </c>
      <c r="J387" s="114"/>
    </row>
    <row r="388" spans="1:10" x14ac:dyDescent="0.25">
      <c r="A388" s="114" t="s">
        <v>366</v>
      </c>
      <c r="B388" s="114"/>
      <c r="C388" s="114">
        <v>-2.9969999999999999</v>
      </c>
      <c r="D388" s="114">
        <v>0.52400000000000002</v>
      </c>
      <c r="E388" s="114">
        <v>1E-3</v>
      </c>
      <c r="F388" s="114">
        <v>6.9900000000000004E-2</v>
      </c>
      <c r="G388" s="114">
        <v>-2.8479999999999999</v>
      </c>
      <c r="H388" s="114">
        <v>0.71799999999999997</v>
      </c>
      <c r="I388" s="114">
        <v>1E-3</v>
      </c>
      <c r="J388" s="114"/>
    </row>
    <row r="389" spans="1:10" x14ac:dyDescent="0.25">
      <c r="A389" s="114" t="s">
        <v>367</v>
      </c>
      <c r="B389" s="114"/>
      <c r="C389" s="114">
        <v>-2.5150000000000001</v>
      </c>
      <c r="D389" s="114">
        <v>0.52400000000000002</v>
      </c>
      <c r="E389" s="114">
        <v>1E-3</v>
      </c>
      <c r="F389" s="114">
        <v>6.9900000000000004E-2</v>
      </c>
      <c r="G389" s="114">
        <v>-2.8809999999999998</v>
      </c>
      <c r="H389" s="114">
        <v>0.71799999999999997</v>
      </c>
      <c r="I389" s="114">
        <v>1E-3</v>
      </c>
      <c r="J389" s="114"/>
    </row>
    <row r="390" spans="1:10" x14ac:dyDescent="0.25">
      <c r="A390" s="4" t="s">
        <v>21</v>
      </c>
      <c r="B390" s="114"/>
      <c r="C390" s="114"/>
      <c r="D390" s="114"/>
      <c r="E390" s="114"/>
      <c r="F390" s="114"/>
      <c r="G390" s="114"/>
      <c r="H390" s="114"/>
      <c r="I390" s="114"/>
      <c r="J390" s="114"/>
    </row>
    <row r="391" spans="1:10" x14ac:dyDescent="0.25">
      <c r="A391" s="114" t="s">
        <v>365</v>
      </c>
      <c r="B391" s="114"/>
      <c r="C391" s="114">
        <v>-3.3109999999999999</v>
      </c>
      <c r="D391" s="114">
        <v>1.256</v>
      </c>
      <c r="E391" s="114">
        <v>1E-3</v>
      </c>
      <c r="F391" s="114">
        <v>0</v>
      </c>
      <c r="G391" s="114">
        <v>-2.89</v>
      </c>
      <c r="H391" s="114">
        <v>0.68899999999999995</v>
      </c>
      <c r="I391" s="114">
        <v>1E-3</v>
      </c>
      <c r="J391" s="114"/>
    </row>
    <row r="392" spans="1:10" x14ac:dyDescent="0.25">
      <c r="A392" s="114" t="s">
        <v>366</v>
      </c>
      <c r="B392" s="114"/>
      <c r="C392" s="114">
        <v>-3.3109999999999999</v>
      </c>
      <c r="D392" s="114">
        <v>1.256</v>
      </c>
      <c r="E392" s="114">
        <v>1E-3</v>
      </c>
      <c r="F392" s="114">
        <v>0</v>
      </c>
      <c r="G392" s="114">
        <v>-2.6589999999999998</v>
      </c>
      <c r="H392" s="114">
        <v>0.68899999999999995</v>
      </c>
      <c r="I392" s="114">
        <v>1E-3</v>
      </c>
      <c r="J392" s="114"/>
    </row>
    <row r="393" spans="1:10" x14ac:dyDescent="0.25">
      <c r="A393" s="114" t="s">
        <v>367</v>
      </c>
      <c r="B393" s="114"/>
      <c r="C393" s="114">
        <v>-2.4750000000000001</v>
      </c>
      <c r="D393" s="114">
        <v>1.256</v>
      </c>
      <c r="E393" s="114">
        <v>1E-3</v>
      </c>
      <c r="F393" s="114">
        <v>0</v>
      </c>
      <c r="G393" s="114">
        <v>-2.3439999999999999</v>
      </c>
      <c r="H393" s="114">
        <v>0.68899999999999995</v>
      </c>
      <c r="I393" s="114">
        <v>1E-3</v>
      </c>
      <c r="J393" s="114"/>
    </row>
  </sheetData>
  <mergeCells count="19">
    <mergeCell ref="C254:E254"/>
    <mergeCell ref="C206:E206"/>
    <mergeCell ref="C177:F177"/>
    <mergeCell ref="C226:F226"/>
    <mergeCell ref="G177:J177"/>
    <mergeCell ref="C9:E9"/>
    <mergeCell ref="F9:H9"/>
    <mergeCell ref="C26:G26"/>
    <mergeCell ref="E79:F79"/>
    <mergeCell ref="C79:D79"/>
    <mergeCell ref="C45:D45"/>
    <mergeCell ref="C57:D57"/>
    <mergeCell ref="B156:E156"/>
    <mergeCell ref="C99:K99"/>
    <mergeCell ref="C107:D107"/>
    <mergeCell ref="E107:F107"/>
    <mergeCell ref="B115:C115"/>
    <mergeCell ref="D115:E115"/>
    <mergeCell ref="B114:E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L61"/>
  <sheetViews>
    <sheetView topLeftCell="AK1" zoomScale="70" zoomScaleNormal="70" workbookViewId="0">
      <selection activeCell="AU37" sqref="AU37"/>
    </sheetView>
  </sheetViews>
  <sheetFormatPr defaultColWidth="15.28515625" defaultRowHeight="15" x14ac:dyDescent="0.25"/>
  <cols>
    <col min="13" max="13" width="16.85546875" bestFit="1" customWidth="1"/>
    <col min="14" max="14" width="21.42578125" bestFit="1" customWidth="1"/>
    <col min="28" max="28" width="16.85546875" bestFit="1" customWidth="1"/>
    <col min="29" max="29" width="20.7109375" bestFit="1" customWidth="1"/>
    <col min="30" max="30" width="24" bestFit="1" customWidth="1"/>
    <col min="31" max="32" width="15.28515625" customWidth="1"/>
    <col min="45" max="45" width="17.42578125" bestFit="1" customWidth="1"/>
    <col min="46" max="46" width="16.42578125" bestFit="1" customWidth="1"/>
    <col min="47" max="47" width="15.28515625" customWidth="1"/>
  </cols>
  <sheetData>
    <row r="1" spans="1:64" s="26" customFormat="1" ht="15" customHeight="1" x14ac:dyDescent="0.25">
      <c r="A1" s="279"/>
      <c r="B1" s="280"/>
      <c r="C1" s="280"/>
      <c r="D1" s="280"/>
      <c r="E1" s="280"/>
      <c r="F1" s="280"/>
      <c r="G1" s="280"/>
      <c r="H1" s="280"/>
      <c r="I1" s="279"/>
      <c r="J1" s="280"/>
      <c r="K1" s="280"/>
      <c r="L1" s="280"/>
      <c r="M1" s="280"/>
      <c r="N1" s="280"/>
      <c r="O1" s="280"/>
      <c r="P1" s="283"/>
      <c r="Q1" s="279"/>
      <c r="R1" s="280"/>
      <c r="S1" s="280"/>
      <c r="T1" s="280"/>
      <c r="U1" s="280"/>
      <c r="V1" s="280"/>
      <c r="W1" s="280"/>
      <c r="X1" s="283"/>
      <c r="Y1" s="280"/>
      <c r="Z1" s="280"/>
      <c r="AA1" s="280"/>
      <c r="AB1" s="280"/>
      <c r="AC1" s="280"/>
      <c r="AD1" s="280"/>
      <c r="AE1" s="280"/>
      <c r="AF1" s="283"/>
      <c r="AG1" s="279"/>
      <c r="AH1" s="280"/>
      <c r="AI1" s="280"/>
      <c r="AJ1" s="280"/>
      <c r="AK1" s="280"/>
      <c r="AL1" s="280"/>
      <c r="AM1" s="280"/>
      <c r="AN1" s="280"/>
      <c r="AO1" s="279"/>
      <c r="AP1" s="280"/>
      <c r="AQ1" s="280"/>
      <c r="AR1" s="280"/>
      <c r="AS1" s="280"/>
      <c r="AT1" s="280"/>
      <c r="AU1" s="280"/>
      <c r="AV1" s="283"/>
      <c r="AW1" s="279"/>
      <c r="AX1" s="280"/>
      <c r="AY1" s="280"/>
      <c r="AZ1" s="280"/>
      <c r="BA1" s="280"/>
      <c r="BB1" s="280"/>
      <c r="BC1" s="280"/>
      <c r="BD1" s="283"/>
      <c r="BE1" s="279"/>
      <c r="BF1" s="280"/>
      <c r="BG1" s="280"/>
      <c r="BH1" s="280"/>
      <c r="BI1" s="280"/>
      <c r="BJ1" s="280"/>
      <c r="BK1" s="280"/>
      <c r="BL1" s="283"/>
    </row>
    <row r="2" spans="1:64" s="26" customFormat="1" ht="15" customHeight="1" x14ac:dyDescent="0.25">
      <c r="A2" s="281" t="s">
        <v>304</v>
      </c>
      <c r="B2" s="282"/>
      <c r="C2" s="282"/>
      <c r="D2" s="282"/>
      <c r="E2" s="282"/>
      <c r="F2" s="282"/>
      <c r="G2" s="282"/>
      <c r="H2" s="282"/>
      <c r="I2" s="281" t="s">
        <v>387</v>
      </c>
      <c r="J2" s="282"/>
      <c r="K2" s="282"/>
      <c r="L2" s="282"/>
      <c r="M2" s="282"/>
      <c r="N2" s="282"/>
      <c r="O2" s="282"/>
      <c r="P2" s="284"/>
      <c r="Q2" s="281" t="s">
        <v>388</v>
      </c>
      <c r="R2" s="282"/>
      <c r="S2" s="282"/>
      <c r="T2" s="282"/>
      <c r="U2" s="282"/>
      <c r="V2" s="282"/>
      <c r="W2" s="282"/>
      <c r="X2" s="284"/>
      <c r="Y2" s="282" t="s">
        <v>389</v>
      </c>
      <c r="Z2" s="282"/>
      <c r="AA2" s="282"/>
      <c r="AB2" s="282"/>
      <c r="AC2" s="282"/>
      <c r="AD2" s="282"/>
      <c r="AE2" s="282"/>
      <c r="AF2" s="284"/>
      <c r="AG2" s="281" t="s">
        <v>390</v>
      </c>
      <c r="AH2" s="282"/>
      <c r="AI2" s="282"/>
      <c r="AJ2" s="282"/>
      <c r="AK2" s="282"/>
      <c r="AL2" s="282"/>
      <c r="AM2" s="282"/>
      <c r="AN2" s="282"/>
      <c r="AO2" s="281" t="s">
        <v>138</v>
      </c>
      <c r="AP2" s="282"/>
      <c r="AQ2" s="282"/>
      <c r="AR2" s="282"/>
      <c r="AS2" s="282"/>
      <c r="AT2" s="282"/>
      <c r="AU2" s="282"/>
      <c r="AV2" s="284"/>
      <c r="AW2" s="281" t="s">
        <v>223</v>
      </c>
      <c r="AX2" s="282"/>
      <c r="AY2" s="282"/>
      <c r="AZ2" s="282"/>
      <c r="BA2" s="282"/>
      <c r="BB2" s="282"/>
      <c r="BC2" s="282"/>
      <c r="BD2" s="284"/>
      <c r="BE2" s="281" t="s">
        <v>391</v>
      </c>
      <c r="BF2" s="282"/>
      <c r="BG2" s="282"/>
      <c r="BH2" s="282"/>
      <c r="BI2" s="282"/>
      <c r="BJ2" s="282"/>
      <c r="BK2" s="282"/>
      <c r="BL2" s="284"/>
    </row>
    <row r="3" spans="1:64" ht="15" customHeight="1" x14ac:dyDescent="0.25">
      <c r="A3" s="264" t="s">
        <v>94</v>
      </c>
      <c r="B3" s="263"/>
      <c r="C3" s="259" t="s">
        <v>29</v>
      </c>
      <c r="D3" s="259"/>
      <c r="E3" s="259"/>
      <c r="F3" s="259"/>
      <c r="G3" s="259" t="s">
        <v>60</v>
      </c>
      <c r="H3" s="259"/>
      <c r="I3" s="27" t="s">
        <v>0</v>
      </c>
      <c r="J3" s="259" t="s">
        <v>41</v>
      </c>
      <c r="K3" s="259"/>
      <c r="L3" s="259"/>
      <c r="M3" s="259"/>
      <c r="N3" s="259"/>
      <c r="O3" s="259" t="s">
        <v>59</v>
      </c>
      <c r="P3" s="285"/>
      <c r="Q3" s="27" t="s">
        <v>0</v>
      </c>
      <c r="R3" s="259" t="s">
        <v>48</v>
      </c>
      <c r="S3" s="259"/>
      <c r="T3" s="259"/>
      <c r="U3" s="259"/>
      <c r="V3" s="259"/>
      <c r="W3" s="259" t="s">
        <v>58</v>
      </c>
      <c r="X3" s="285"/>
      <c r="Y3" s="53" t="s">
        <v>0</v>
      </c>
      <c r="Z3" s="259" t="s">
        <v>67</v>
      </c>
      <c r="AA3" s="259"/>
      <c r="AB3" s="259"/>
      <c r="AC3" s="259"/>
      <c r="AD3" s="259"/>
      <c r="AE3" s="259" t="s">
        <v>392</v>
      </c>
      <c r="AF3" s="285"/>
      <c r="AG3" s="27" t="s">
        <v>0</v>
      </c>
      <c r="AH3" s="259" t="s">
        <v>69</v>
      </c>
      <c r="AI3" s="259"/>
      <c r="AJ3" s="259"/>
      <c r="AK3" s="259"/>
      <c r="AL3" s="259"/>
      <c r="AM3" s="259" t="s">
        <v>70</v>
      </c>
      <c r="AN3" s="259"/>
      <c r="AO3" s="264" t="s">
        <v>0</v>
      </c>
      <c r="AP3" s="263"/>
      <c r="AQ3" s="259" t="s">
        <v>139</v>
      </c>
      <c r="AR3" s="259"/>
      <c r="AS3" s="259"/>
      <c r="AT3" s="259"/>
      <c r="AU3" s="259" t="s">
        <v>385</v>
      </c>
      <c r="AV3" s="285"/>
      <c r="AW3" s="264" t="s">
        <v>94</v>
      </c>
      <c r="AX3" s="263"/>
      <c r="AY3" s="259" t="s">
        <v>255</v>
      </c>
      <c r="AZ3" s="259"/>
      <c r="BA3" s="259"/>
      <c r="BB3" s="259"/>
      <c r="BC3" s="259" t="s">
        <v>386</v>
      </c>
      <c r="BD3" s="285"/>
      <c r="BE3" s="27" t="s">
        <v>0</v>
      </c>
      <c r="BF3" s="259" t="s">
        <v>41</v>
      </c>
      <c r="BG3" s="259"/>
      <c r="BH3" s="259"/>
      <c r="BI3" s="259"/>
      <c r="BJ3" s="259"/>
      <c r="BK3" s="259" t="s">
        <v>59</v>
      </c>
      <c r="BL3" s="285"/>
    </row>
    <row r="4" spans="1:64" x14ac:dyDescent="0.25">
      <c r="A4" s="28"/>
      <c r="B4" s="18"/>
      <c r="C4" s="18"/>
      <c r="D4" s="18"/>
      <c r="E4" s="18"/>
      <c r="F4" s="18"/>
      <c r="G4" s="18"/>
      <c r="H4" s="18"/>
      <c r="I4" s="28"/>
      <c r="J4" s="17"/>
      <c r="K4" s="17"/>
      <c r="L4" s="17"/>
      <c r="M4" s="17"/>
      <c r="N4" s="17"/>
      <c r="O4" s="17"/>
      <c r="P4" s="33"/>
      <c r="Q4" s="28"/>
      <c r="R4" s="17"/>
      <c r="S4" s="17"/>
      <c r="T4" s="17"/>
      <c r="U4" s="17"/>
      <c r="V4" s="17"/>
      <c r="W4" s="17"/>
      <c r="X4" s="33"/>
      <c r="Y4" s="18"/>
      <c r="Z4" s="17"/>
      <c r="AA4" s="17"/>
      <c r="AB4" s="17"/>
      <c r="AC4" s="17"/>
      <c r="AD4" s="17"/>
      <c r="AE4" s="17"/>
      <c r="AF4" s="33"/>
      <c r="AG4" s="28"/>
      <c r="AH4" s="18"/>
      <c r="AI4" s="18"/>
      <c r="AJ4" s="18"/>
      <c r="AK4" s="18"/>
      <c r="AL4" s="18"/>
      <c r="AM4" s="18"/>
      <c r="AN4" s="18"/>
      <c r="AO4" s="28"/>
      <c r="AP4" s="18"/>
      <c r="AQ4" s="18"/>
      <c r="AR4" s="18"/>
      <c r="AS4" s="18"/>
      <c r="AT4" s="18"/>
      <c r="AU4" s="18"/>
      <c r="AV4" s="29"/>
      <c r="AW4" s="28"/>
      <c r="AX4" s="18"/>
      <c r="AY4" s="18"/>
      <c r="AZ4" s="18"/>
      <c r="BA4" s="18"/>
      <c r="BB4" s="18"/>
      <c r="BC4" s="18"/>
      <c r="BD4" s="29"/>
      <c r="BE4" s="28"/>
      <c r="BF4" s="17"/>
      <c r="BG4" s="17"/>
      <c r="BH4" s="17"/>
      <c r="BI4" s="17"/>
      <c r="BJ4" s="17"/>
      <c r="BK4" s="17"/>
      <c r="BL4" s="33"/>
    </row>
    <row r="5" spans="1:64" ht="18" x14ac:dyDescent="0.35">
      <c r="A5" s="47" t="s">
        <v>37</v>
      </c>
      <c r="B5" s="50">
        <v>14000</v>
      </c>
      <c r="C5" s="48" t="s">
        <v>38</v>
      </c>
      <c r="D5" s="50">
        <v>4000</v>
      </c>
      <c r="E5" s="274" t="s">
        <v>10</v>
      </c>
      <c r="F5" s="266"/>
      <c r="G5" s="275" t="s">
        <v>24</v>
      </c>
      <c r="H5" s="295"/>
      <c r="I5" s="116" t="s">
        <v>30</v>
      </c>
      <c r="J5" s="118">
        <v>6750</v>
      </c>
      <c r="K5" s="115" t="s">
        <v>40</v>
      </c>
      <c r="L5" s="118">
        <v>0.15</v>
      </c>
      <c r="M5" s="263" t="s">
        <v>31</v>
      </c>
      <c r="N5" s="263"/>
      <c r="O5" s="275" t="s">
        <v>32</v>
      </c>
      <c r="P5" s="276"/>
      <c r="Q5" s="116" t="s">
        <v>50</v>
      </c>
      <c r="R5" s="118">
        <v>120000</v>
      </c>
      <c r="S5" s="115" t="s">
        <v>49</v>
      </c>
      <c r="T5" s="118">
        <v>0.1</v>
      </c>
      <c r="U5" s="263" t="s">
        <v>31</v>
      </c>
      <c r="V5" s="263"/>
      <c r="W5" s="275" t="s">
        <v>63</v>
      </c>
      <c r="X5" s="276"/>
      <c r="Y5" s="115" t="s">
        <v>50</v>
      </c>
      <c r="Z5" s="64">
        <v>120000</v>
      </c>
      <c r="AA5" s="62" t="s">
        <v>65</v>
      </c>
      <c r="AB5" s="64">
        <v>0.1</v>
      </c>
      <c r="AC5" s="292" t="s">
        <v>66</v>
      </c>
      <c r="AD5" s="259"/>
      <c r="AE5" s="275" t="s">
        <v>289</v>
      </c>
      <c r="AF5" s="276"/>
      <c r="AG5" s="39" t="s">
        <v>71</v>
      </c>
      <c r="AH5" s="40">
        <v>0</v>
      </c>
      <c r="AI5" s="41" t="s">
        <v>72</v>
      </c>
      <c r="AJ5" s="40">
        <v>1.05</v>
      </c>
      <c r="AK5" s="41" t="s">
        <v>73</v>
      </c>
      <c r="AL5" s="40">
        <v>0</v>
      </c>
      <c r="AM5" s="41" t="s">
        <v>74</v>
      </c>
      <c r="AN5" s="85">
        <v>0</v>
      </c>
      <c r="AO5" s="122" t="s">
        <v>165</v>
      </c>
      <c r="AP5" s="68">
        <f>0.5*(AP8+AP9)</f>
        <v>1700</v>
      </c>
      <c r="AQ5" s="18"/>
      <c r="AR5" s="123" t="s">
        <v>170</v>
      </c>
      <c r="AS5" s="40" t="s">
        <v>220</v>
      </c>
      <c r="AT5" s="123" t="s">
        <v>172</v>
      </c>
      <c r="AU5" s="277" t="s">
        <v>145</v>
      </c>
      <c r="AV5" s="278"/>
      <c r="AW5" s="95" t="s">
        <v>254</v>
      </c>
      <c r="AX5" s="94">
        <v>14000</v>
      </c>
      <c r="AY5" s="96" t="s">
        <v>256</v>
      </c>
      <c r="AZ5" s="94">
        <v>1</v>
      </c>
      <c r="BA5" s="274" t="s">
        <v>253</v>
      </c>
      <c r="BB5" s="266"/>
      <c r="BC5" s="275" t="s">
        <v>232</v>
      </c>
      <c r="BD5" s="276"/>
      <c r="BE5" s="168" t="s">
        <v>30</v>
      </c>
      <c r="BF5" s="171">
        <v>6750</v>
      </c>
      <c r="BG5" s="164" t="s">
        <v>40</v>
      </c>
      <c r="BH5" s="171">
        <v>0.15</v>
      </c>
      <c r="BI5" s="263" t="s">
        <v>31</v>
      </c>
      <c r="BJ5" s="263"/>
      <c r="BK5" s="275" t="s">
        <v>367</v>
      </c>
      <c r="BL5" s="276"/>
    </row>
    <row r="6" spans="1:64" ht="18" x14ac:dyDescent="0.35">
      <c r="A6" s="28"/>
      <c r="B6" s="18"/>
      <c r="C6" s="18"/>
      <c r="D6" s="18"/>
      <c r="E6" s="18"/>
      <c r="F6" s="18"/>
      <c r="G6" s="18"/>
      <c r="H6" s="18"/>
      <c r="I6" s="28"/>
      <c r="J6" s="18"/>
      <c r="K6" s="18"/>
      <c r="L6" s="18"/>
      <c r="M6" s="18"/>
      <c r="N6" s="18"/>
      <c r="O6" s="18"/>
      <c r="P6" s="29"/>
      <c r="Q6" s="116" t="s">
        <v>288</v>
      </c>
      <c r="R6" s="118">
        <v>200</v>
      </c>
      <c r="S6" s="115" t="s">
        <v>284</v>
      </c>
      <c r="T6" s="118" t="s">
        <v>287</v>
      </c>
      <c r="U6" s="18"/>
      <c r="V6" s="18"/>
      <c r="W6" s="18"/>
      <c r="X6" s="29"/>
      <c r="Y6" s="18"/>
      <c r="Z6" s="18"/>
      <c r="AA6" s="18"/>
      <c r="AB6" s="18"/>
      <c r="AC6" s="18"/>
      <c r="AD6" s="18"/>
      <c r="AE6" s="18"/>
      <c r="AF6" s="29"/>
      <c r="AG6" s="39" t="s">
        <v>75</v>
      </c>
      <c r="AH6" s="40">
        <v>0</v>
      </c>
      <c r="AI6" s="41" t="s">
        <v>76</v>
      </c>
      <c r="AJ6" s="40">
        <v>1.1000000000000001</v>
      </c>
      <c r="AK6" s="41" t="s">
        <v>77</v>
      </c>
      <c r="AL6" s="40">
        <v>0.05</v>
      </c>
      <c r="AM6" s="41" t="s">
        <v>78</v>
      </c>
      <c r="AN6" s="85">
        <v>0.1</v>
      </c>
      <c r="AO6" s="122" t="s">
        <v>166</v>
      </c>
      <c r="AP6" s="42">
        <v>1600</v>
      </c>
      <c r="AQ6" s="18"/>
      <c r="AR6" s="18"/>
      <c r="AS6" s="18"/>
      <c r="AT6" s="18"/>
      <c r="AU6" s="18"/>
      <c r="AV6" s="29"/>
      <c r="AW6" s="28"/>
      <c r="AX6" s="18"/>
      <c r="AY6" s="18"/>
      <c r="AZ6" s="18"/>
      <c r="BA6" s="274" t="s">
        <v>257</v>
      </c>
      <c r="BB6" s="266"/>
      <c r="BC6" s="275" t="s">
        <v>258</v>
      </c>
      <c r="BD6" s="276"/>
      <c r="BE6" s="28"/>
      <c r="BF6" s="18"/>
      <c r="BG6" s="18"/>
      <c r="BH6" s="18"/>
      <c r="BI6" s="18"/>
      <c r="BJ6" s="18"/>
      <c r="BK6" s="18"/>
      <c r="BL6" s="29"/>
    </row>
    <row r="7" spans="1:64" ht="18" x14ac:dyDescent="0.35">
      <c r="A7" s="28"/>
      <c r="B7" s="18"/>
      <c r="C7" s="48" t="s">
        <v>8</v>
      </c>
      <c r="D7" s="48" t="s">
        <v>7</v>
      </c>
      <c r="E7" s="48" t="s">
        <v>9</v>
      </c>
      <c r="F7" s="18"/>
      <c r="G7" s="17"/>
      <c r="H7" s="17"/>
      <c r="I7" s="28"/>
      <c r="J7" s="18"/>
      <c r="K7" s="115" t="s">
        <v>8</v>
      </c>
      <c r="L7" s="115" t="s">
        <v>7</v>
      </c>
      <c r="M7" s="115" t="s">
        <v>9</v>
      </c>
      <c r="N7" s="115" t="s">
        <v>39</v>
      </c>
      <c r="O7" s="17"/>
      <c r="P7" s="33"/>
      <c r="Q7" s="28"/>
      <c r="R7" s="18"/>
      <c r="S7" s="115" t="s">
        <v>8</v>
      </c>
      <c r="T7" s="115" t="s">
        <v>7</v>
      </c>
      <c r="U7" s="115" t="s">
        <v>9</v>
      </c>
      <c r="V7" s="18"/>
      <c r="W7" s="17"/>
      <c r="X7" s="33"/>
      <c r="Y7" s="18"/>
      <c r="Z7" s="18"/>
      <c r="AA7" s="62" t="s">
        <v>8</v>
      </c>
      <c r="AB7" s="62" t="s">
        <v>7</v>
      </c>
      <c r="AC7" s="62" t="s">
        <v>9</v>
      </c>
      <c r="AD7" s="18"/>
      <c r="AE7" s="17"/>
      <c r="AF7" s="33"/>
      <c r="AG7" s="43" t="s">
        <v>79</v>
      </c>
      <c r="AH7" s="40">
        <v>3900</v>
      </c>
      <c r="AI7" s="41" t="s">
        <v>80</v>
      </c>
      <c r="AJ7" s="40">
        <v>6800</v>
      </c>
      <c r="AK7" s="41" t="s">
        <v>81</v>
      </c>
      <c r="AL7" s="40">
        <v>10200</v>
      </c>
      <c r="AM7" s="41" t="s">
        <v>82</v>
      </c>
      <c r="AN7" s="85">
        <v>3750</v>
      </c>
      <c r="AO7" s="122" t="s">
        <v>167</v>
      </c>
      <c r="AP7" s="42">
        <v>1500</v>
      </c>
      <c r="AQ7" s="297" t="s">
        <v>171</v>
      </c>
      <c r="AR7" s="298"/>
      <c r="AS7" s="40">
        <v>4</v>
      </c>
      <c r="AT7" s="18"/>
      <c r="AU7" s="18"/>
      <c r="AV7" s="29"/>
      <c r="AW7" s="28"/>
      <c r="AX7" s="18"/>
      <c r="AY7" s="96" t="s">
        <v>8</v>
      </c>
      <c r="AZ7" s="96" t="s">
        <v>7</v>
      </c>
      <c r="BA7" s="18"/>
      <c r="BB7" s="18"/>
      <c r="BC7" s="17"/>
      <c r="BD7" s="33"/>
      <c r="BE7" s="28"/>
      <c r="BF7" s="18"/>
      <c r="BG7" s="164" t="s">
        <v>8</v>
      </c>
      <c r="BH7" s="164" t="s">
        <v>7</v>
      </c>
      <c r="BI7" s="164" t="s">
        <v>9</v>
      </c>
      <c r="BJ7" s="164" t="s">
        <v>39</v>
      </c>
      <c r="BK7" s="17"/>
      <c r="BL7" s="33"/>
    </row>
    <row r="8" spans="1:64" ht="18" x14ac:dyDescent="0.35">
      <c r="A8" s="264" t="s">
        <v>22</v>
      </c>
      <c r="B8" s="263"/>
      <c r="C8" s="19">
        <f>LOOKUP(G5,Reference!$A$11:$A$14,Reference!$C$11:$C$14)</f>
        <v>-12.13</v>
      </c>
      <c r="D8" s="19">
        <f>LOOKUP(G5,Reference!$A$11:$A$14,Reference!$D$11:$D$14)</f>
        <v>1.1100000000000001</v>
      </c>
      <c r="E8" s="19">
        <f>LOOKUP(G5,Reference!$A$11:$A$14,Reference!$E$11:$E$14)</f>
        <v>0.26</v>
      </c>
      <c r="F8" s="18"/>
      <c r="G8" s="18"/>
      <c r="H8" s="113">
        <f>EXP(C8+D8*LN(B5)+E8*LN(D5))</f>
        <v>1.8652869502226623</v>
      </c>
      <c r="I8" s="264" t="s">
        <v>2</v>
      </c>
      <c r="J8" s="263"/>
      <c r="K8" s="21">
        <f ca="1">LOOKUP(O5,Reference!$A$180:$A$184,Reference!$C$179:$C$184)</f>
        <v>-5.226</v>
      </c>
      <c r="L8" s="21">
        <f ca="1">LOOKUP(O5,Reference!$A$180:$A$184,Reference!$D$179:$D$184)</f>
        <v>0.52400000000000002</v>
      </c>
      <c r="M8" s="21">
        <f ca="1">LOOKUP(O5,Reference!$A$180:$A$184,Reference!$E$179:$E$184)</f>
        <v>1E-3</v>
      </c>
      <c r="N8" s="21">
        <f ca="1">LOOKUP(O5,Reference!$A$180:$A$184,Reference!$F$179:$F$184)</f>
        <v>6.9900000000000004E-2</v>
      </c>
      <c r="O8" s="18"/>
      <c r="P8" s="34">
        <f ca="1">L5*EXP(K8+L8*LN(M8*J5)+N8*(M8*J5))</f>
        <v>3.5150739612747734E-3</v>
      </c>
      <c r="Q8" s="264" t="s">
        <v>20</v>
      </c>
      <c r="R8" s="263"/>
      <c r="S8" s="21">
        <f>LOOKUP(W5,Reference!$A$208:$A$215,Reference!$C$208:$C$215)</f>
        <v>-3.9740000000000002</v>
      </c>
      <c r="T8" s="21">
        <f>LOOKUP(W5,Reference!$A$208:$A$215,Reference!$D$208:$D$215)</f>
        <v>1.173</v>
      </c>
      <c r="U8" s="25">
        <f>LOOKUP(W5,Reference!$A$208:$A$215,Reference!$E$208:$E$215)</f>
        <v>5.0000000000000001E-4</v>
      </c>
      <c r="V8" s="18"/>
      <c r="W8" s="18"/>
      <c r="X8" s="34">
        <f>T5*EXP(S8+T8*LN(U8*R5))</f>
        <v>0.22902618854511886</v>
      </c>
      <c r="Y8" s="263" t="s">
        <v>2</v>
      </c>
      <c r="Z8" s="263"/>
      <c r="AA8" s="21">
        <f>LOOKUP(AE5,Reference!$A$256:$A$259,Reference!$C$256:$C$259)</f>
        <v>-5.8419999999999996</v>
      </c>
      <c r="AB8" s="21">
        <f>LOOKUP(AE5,Reference!$A$256:$A$259,Reference!$D$256:$D$259)</f>
        <v>1.492</v>
      </c>
      <c r="AC8" s="21">
        <f>LOOKUP(AE5,Reference!$A$256:$A$259,Reference!$E$256:$E$259)</f>
        <v>1E-3</v>
      </c>
      <c r="AD8" s="18"/>
      <c r="AE8" s="18"/>
      <c r="AF8" s="34">
        <f>AB5*EXP(AA8+AB8*LN(AC8*Z5))</f>
        <v>0.36727389081737011</v>
      </c>
      <c r="AG8" s="43" t="s">
        <v>83</v>
      </c>
      <c r="AH8" s="40">
        <v>1</v>
      </c>
      <c r="AI8" s="18"/>
      <c r="AJ8" s="18"/>
      <c r="AK8" s="18"/>
      <c r="AL8" s="18"/>
      <c r="AM8" s="18"/>
      <c r="AN8" s="18"/>
      <c r="AO8" s="122" t="s">
        <v>168</v>
      </c>
      <c r="AP8" s="42">
        <v>1500</v>
      </c>
      <c r="AQ8" s="18"/>
      <c r="AR8" s="18"/>
      <c r="AS8" s="18"/>
      <c r="AT8" s="18"/>
      <c r="AU8" s="18"/>
      <c r="AV8" s="29"/>
      <c r="AW8" s="264" t="s">
        <v>344</v>
      </c>
      <c r="AX8" s="263"/>
      <c r="AY8" s="19">
        <f>LOOKUP(BC5,Reference!$A$81:$A$85,Reference!$C$81:$C$85)</f>
        <v>-15.22</v>
      </c>
      <c r="AZ8" s="19">
        <f>LOOKUP(BC5,Reference!$A$81:$A$85,Reference!$D$81:$D$85)</f>
        <v>1.68</v>
      </c>
      <c r="BA8" s="18"/>
      <c r="BB8" s="18"/>
      <c r="BC8" s="18"/>
      <c r="BD8" s="34">
        <f>EXP(AY8+AZ8*LN(AX5)+LN(AZ5))</f>
        <v>2.2674258073360116</v>
      </c>
      <c r="BE8" s="264" t="s">
        <v>2</v>
      </c>
      <c r="BF8" s="263"/>
      <c r="BG8" s="21">
        <f>LOOKUP(BK5,Reference!$A$387:$A$389,Reference!$C$387:$C$389)</f>
        <v>-2.5150000000000001</v>
      </c>
      <c r="BH8" s="21">
        <f>LOOKUP(BK5,Reference!$A$387:$A$389,Reference!$D$387:$D$389)</f>
        <v>0.52400000000000002</v>
      </c>
      <c r="BI8" s="21">
        <f>LOOKUP(BK5,Reference!$A$387:$A$389,Reference!$E$387:$E$389)</f>
        <v>1E-3</v>
      </c>
      <c r="BJ8" s="21">
        <f>LOOKUP(BK5,Reference!$A$387:$A$389,Reference!$F$387:$F$389)</f>
        <v>6.9900000000000004E-2</v>
      </c>
      <c r="BK8" s="18"/>
      <c r="BL8" s="34">
        <f>BH5*EXP(BG8+BH8*LN(BI8*BF5)+BJ8*(BI8*BF5))</f>
        <v>5.2881870457496767E-2</v>
      </c>
    </row>
    <row r="9" spans="1:64" ht="18" x14ac:dyDescent="0.35">
      <c r="A9" s="264" t="s">
        <v>2</v>
      </c>
      <c r="B9" s="263"/>
      <c r="C9" s="19">
        <f>LOOKUP(G5,Reference!$A$16:$A$19,Reference!$C$16:$C$19)</f>
        <v>-11.58</v>
      </c>
      <c r="D9" s="19">
        <f>LOOKUP(G5,Reference!$A$16:$A$19,Reference!$D$16:$D$19)</f>
        <v>1.02</v>
      </c>
      <c r="E9" s="19">
        <f>LOOKUP(G5,Reference!$A$16:$A$19,Reference!$E$16:$E$19)</f>
        <v>0.17</v>
      </c>
      <c r="F9" s="18"/>
      <c r="G9" s="18"/>
      <c r="H9" s="113">
        <f>EXP(C9+D9*LN(B5)+E9*LN(D5))</f>
        <v>0.64903885151306362</v>
      </c>
      <c r="I9" s="264" t="s">
        <v>3</v>
      </c>
      <c r="J9" s="263"/>
      <c r="K9" s="21">
        <f>LOOKUP(O5,Reference!$A$186:$A$191,Reference!$C$186:$C$191)</f>
        <v>-4.851</v>
      </c>
      <c r="L9" s="21">
        <f>LOOKUP(O5,Reference!$A$186:$A$191,Reference!$D$186:$D$191)</f>
        <v>1.256</v>
      </c>
      <c r="M9" s="21">
        <f>LOOKUP(O5,Reference!$A$186:$A$191,Reference!$E$186:$E$191)</f>
        <v>1E-3</v>
      </c>
      <c r="N9" s="21">
        <f>LOOKUP(O5,Reference!$A$186:$A$191,Reference!$F$186:$F$191)</f>
        <v>0</v>
      </c>
      <c r="O9" s="18"/>
      <c r="P9" s="34">
        <f>L5*EXP(K9+L9*LN(M9*J5)+N9*(M9*J5))</f>
        <v>1.2910238519263102E-2</v>
      </c>
      <c r="Q9" s="264" t="s">
        <v>21</v>
      </c>
      <c r="R9" s="263"/>
      <c r="S9" s="21">
        <f>LOOKUP(W5,Reference!$A$217:$A$224,Reference!$C$217:$C$224)</f>
        <v>-2.9980000000000002</v>
      </c>
      <c r="T9" s="21">
        <f>LOOKUP(W5,Reference!$A$217:$A$224,Reference!$D$217:$D$224)</f>
        <v>1.2150000000000001</v>
      </c>
      <c r="U9" s="25">
        <f>LOOKUP(W5,Reference!$A$217:$A$224,Reference!$E$217:$E$224)</f>
        <v>5.0000000000000001E-4</v>
      </c>
      <c r="V9" s="18"/>
      <c r="W9" s="18"/>
      <c r="X9" s="34">
        <f>T5*EXP(S9+T9*LN(U9*R5))</f>
        <v>0.72183662280850225</v>
      </c>
      <c r="Y9" s="263" t="s">
        <v>3</v>
      </c>
      <c r="Z9" s="263"/>
      <c r="AA9" s="21">
        <f>LOOKUP(AE5,Reference!$A$261:$A$264,Reference!$C$261:$C$264)</f>
        <v>-7.26</v>
      </c>
      <c r="AB9" s="21">
        <f>LOOKUP(AE5,Reference!$A$261:$A$264,Reference!$D$261:$D$264)</f>
        <v>1.9359999999999999</v>
      </c>
      <c r="AC9" s="21">
        <f>LOOKUP(AE5,Reference!$A$261:$A$264,Reference!$E$261:$E$264)</f>
        <v>1E-3</v>
      </c>
      <c r="AD9" s="18"/>
      <c r="AE9" s="18"/>
      <c r="AF9" s="34">
        <f>AB5*EXP(AA9+AB9*LN(AC9*Z5))</f>
        <v>0.74527568731423266</v>
      </c>
      <c r="AG9" s="28"/>
      <c r="AH9" s="18"/>
      <c r="AI9" s="18"/>
      <c r="AJ9" s="18"/>
      <c r="AK9" s="18"/>
      <c r="AL9" s="18"/>
      <c r="AM9" s="18"/>
      <c r="AN9" s="18"/>
      <c r="AO9" s="122" t="s">
        <v>169</v>
      </c>
      <c r="AP9" s="42">
        <v>1900</v>
      </c>
      <c r="AQ9" s="35"/>
      <c r="AR9" s="123" t="s">
        <v>173</v>
      </c>
      <c r="AS9" s="40" t="s">
        <v>174</v>
      </c>
      <c r="AT9" s="18"/>
      <c r="AU9" s="18"/>
      <c r="AV9" s="29"/>
      <c r="AW9" s="264" t="s">
        <v>224</v>
      </c>
      <c r="AX9" s="263"/>
      <c r="AY9" s="19">
        <f>LOOKUP(BC5,Reference!$A$87:$A$91,Reference!$C$87:$C$91)</f>
        <v>-16.22</v>
      </c>
      <c r="AZ9" s="19">
        <f>LOOKUP(BC5,Reference!$A$87:$A$91,Reference!$D$87:$D$91)</f>
        <v>1.66</v>
      </c>
      <c r="BA9" s="18"/>
      <c r="BB9" s="18"/>
      <c r="BC9" s="18"/>
      <c r="BD9" s="34">
        <f>EXP(AY9+AZ9*LN(AX5)+LN(AZ5))</f>
        <v>0.68915362157089199</v>
      </c>
      <c r="BE9" s="264" t="s">
        <v>3</v>
      </c>
      <c r="BF9" s="263"/>
      <c r="BG9" s="21">
        <f>LOOKUP(BK5,Reference!$A$391:$A$393,Reference!$C$391:$C$393)</f>
        <v>-2.4750000000000001</v>
      </c>
      <c r="BH9" s="21">
        <f>LOOKUP(BK5,Reference!$A$391:$A$393,Reference!$D$391:$D$393)</f>
        <v>1.256</v>
      </c>
      <c r="BI9" s="21">
        <f>LOOKUP(BK5,Reference!$A$391:$A$393,Reference!$E$391:$E$393)</f>
        <v>1E-3</v>
      </c>
      <c r="BJ9" s="21">
        <f>LOOKUP(BK5,Reference!$A$391:$A$393,Reference!$F$391:$F$393)</f>
        <v>0</v>
      </c>
      <c r="BK9" s="18"/>
      <c r="BL9" s="34">
        <f>BH5*EXP(BG9+BH9*LN(BI9*BF5)+BJ9*(BI9*BF5))</f>
        <v>0.13893701212275555</v>
      </c>
    </row>
    <row r="10" spans="1:64" x14ac:dyDescent="0.25">
      <c r="A10" s="264" t="s">
        <v>3</v>
      </c>
      <c r="B10" s="263"/>
      <c r="C10" s="19">
        <f>LOOKUP(G5,Reference!$A$21:$A$24,Reference!$C$21:$C$24)</f>
        <v>-13.24</v>
      </c>
      <c r="D10" s="19">
        <f>LOOKUP(G5,Reference!$A$21:$A$24,Reference!$D$21:$D$24)</f>
        <v>1.1399999999999999</v>
      </c>
      <c r="E10" s="19">
        <f>LOOKUP(G5,Reference!$A$21:$A$24,Reference!$E$21:$E$24)</f>
        <v>0.3</v>
      </c>
      <c r="F10" s="18"/>
      <c r="G10" s="18"/>
      <c r="H10" s="113">
        <f>EXP(C10+D10*LN(B5)+E10*LN(D5))</f>
        <v>1.1406305982501921</v>
      </c>
      <c r="I10" s="264" t="s">
        <v>5</v>
      </c>
      <c r="J10" s="263"/>
      <c r="K10" s="21">
        <f ca="1">LOOKUP(O5,Reference!$A$180:$A$184,Reference!$G$179:$G$184)</f>
        <v>-2.12</v>
      </c>
      <c r="L10" s="21">
        <f ca="1">LOOKUP(O5,Reference!$A$180:$A$184,Reference!$H$179:$H$184)</f>
        <v>0.71799999999999997</v>
      </c>
      <c r="M10" s="21">
        <f ca="1">LOOKUP(O5,Reference!$A$180:$A$184,Reference!$I$179:$I$184)</f>
        <v>1E-3</v>
      </c>
      <c r="N10" s="21">
        <f ca="1">LOOKUP(O5,Reference!$A$180:$A$184,Reference!$J$179:$J$184)</f>
        <v>0</v>
      </c>
      <c r="O10" s="18"/>
      <c r="P10" s="34">
        <f ca="1">L5*EXP(K10+L10*LN(M10*J5)+N10*(M10*J5))</f>
        <v>7.0929527422596436E-2</v>
      </c>
      <c r="Q10" s="28"/>
      <c r="R10" s="18"/>
      <c r="S10" s="18"/>
      <c r="T10" s="18"/>
      <c r="U10" s="18"/>
      <c r="V10" s="18"/>
      <c r="W10" s="18"/>
      <c r="X10" s="29"/>
      <c r="Y10" s="263" t="s">
        <v>5</v>
      </c>
      <c r="Z10" s="263"/>
      <c r="AA10" s="21">
        <f>LOOKUP(AE5,Reference!$A$256:$A$259,Reference!$F$256:$F$259)</f>
        <v>-1.915</v>
      </c>
      <c r="AB10" s="21">
        <f>LOOKUP(AE5,Reference!$A$256:$A$259,Reference!$G$256:$G$259)</f>
        <v>0.64600000000000002</v>
      </c>
      <c r="AC10" s="21">
        <f>LOOKUP(AE5,Reference!$A$256:$A$259,Reference!$H$256:$H$259)</f>
        <v>1E-3</v>
      </c>
      <c r="AD10" s="18"/>
      <c r="AE10" s="18"/>
      <c r="AF10" s="34">
        <f>AB5*EXP(AA10+AB10*LN(AC10*Z5))</f>
        <v>0.32469615970375537</v>
      </c>
      <c r="AG10" s="28"/>
      <c r="AH10" s="18"/>
      <c r="AI10" s="38" t="s">
        <v>8</v>
      </c>
      <c r="AJ10" s="38" t="s">
        <v>7</v>
      </c>
      <c r="AK10" s="38" t="s">
        <v>9</v>
      </c>
      <c r="AL10" s="38" t="s">
        <v>39</v>
      </c>
      <c r="AM10" s="18"/>
      <c r="AN10" s="18"/>
      <c r="AO10" s="122"/>
      <c r="AP10" s="18"/>
      <c r="AQ10" s="18"/>
      <c r="AR10" s="18"/>
      <c r="AS10" s="18"/>
      <c r="AT10" s="18"/>
      <c r="AU10" s="18"/>
      <c r="AV10" s="29"/>
      <c r="AW10" s="264" t="s">
        <v>225</v>
      </c>
      <c r="AX10" s="263"/>
      <c r="AY10" s="19">
        <f>LOOKUP(BC5,Reference!$A$93:$A$97,Reference!$C$93:$C$97)</f>
        <v>-15.62</v>
      </c>
      <c r="AZ10" s="19">
        <f>LOOKUP(BC5,Reference!$A$93:$A$97,Reference!$D$93:$D$97)</f>
        <v>1.69</v>
      </c>
      <c r="BA10" s="18"/>
      <c r="BB10" s="18"/>
      <c r="BC10" s="18"/>
      <c r="BD10" s="34">
        <f>EXP(AY10+AZ10*LN(AX5)+LN(AZ5))</f>
        <v>1.6721551585445442</v>
      </c>
      <c r="BE10" s="264" t="s">
        <v>5</v>
      </c>
      <c r="BF10" s="263"/>
      <c r="BG10" s="21">
        <f>LOOKUP(BK5,Reference!$A$387:$A$389,Reference!$G$387:$G$389)</f>
        <v>-2.8809999999999998</v>
      </c>
      <c r="BH10" s="21">
        <f>LOOKUP(BK5,Reference!$A$387:$A$389,Reference!$H$387:$H$389)</f>
        <v>0.71799999999999997</v>
      </c>
      <c r="BI10" s="21">
        <f>LOOKUP(BK5,Reference!$A$387:$A$389,Reference!$I$387:$I$389)</f>
        <v>1E-3</v>
      </c>
      <c r="BJ10" s="21">
        <f>LOOKUP(BK5,Reference!$A$387:$A$389,Reference!$J$387:$J$389)</f>
        <v>0</v>
      </c>
      <c r="BK10" s="18"/>
      <c r="BL10" s="34">
        <f>BH5*EXP(BG10+BH10*LN(BI10*BF5)+BJ10*(BI10*BF5))</f>
        <v>3.3138203880719988E-2</v>
      </c>
    </row>
    <row r="11" spans="1:64" x14ac:dyDescent="0.25">
      <c r="A11" s="264" t="s">
        <v>4</v>
      </c>
      <c r="B11" s="263"/>
      <c r="C11" s="19">
        <f>LOOKUP(G5,Reference!$A$11:$A$14,Reference!$F$11:$F$14)</f>
        <v>-9.02</v>
      </c>
      <c r="D11" s="19">
        <f>LOOKUP(G5,Reference!$A$11:$A$14,Reference!$G$11:$G$14)</f>
        <v>0.42</v>
      </c>
      <c r="E11" s="19">
        <f>LOOKUP(G5,Reference!$A$11:$A$14,Reference!$H$11:$H$14)</f>
        <v>0.4</v>
      </c>
      <c r="F11" s="18"/>
      <c r="G11" s="18"/>
      <c r="H11" s="113">
        <f>EXP(C11+D11*LN(B5)+E11*LN(D5))</f>
        <v>0.18401852476903252</v>
      </c>
      <c r="I11" s="264" t="s">
        <v>6</v>
      </c>
      <c r="J11" s="263"/>
      <c r="K11" s="21">
        <f>LOOKUP(O5,Reference!$A$186:$A$191,Reference!$G$186:$G$191)</f>
        <v>-1.7390000000000001</v>
      </c>
      <c r="L11" s="21">
        <f>LOOKUP(O5,Reference!$A$186:$A$191,Reference!$H$186:$H$191)</f>
        <v>0.68899999999999995</v>
      </c>
      <c r="M11" s="21">
        <f>LOOKUP(O5,Reference!$A$186:$A$191,Reference!$I$186:$I$191)</f>
        <v>1E-3</v>
      </c>
      <c r="N11" s="21">
        <f>LOOKUP(O5,Reference!$A$186:$A$191,Reference!$J$186:$J$191)</f>
        <v>0</v>
      </c>
      <c r="O11" s="18"/>
      <c r="P11" s="34">
        <f>L5*EXP(K11+L11*LN(M11*J5)+N11*(M11*J5))</f>
        <v>9.822984403788286E-2</v>
      </c>
      <c r="Q11" s="28"/>
      <c r="R11" s="18"/>
      <c r="S11" s="18"/>
      <c r="T11" s="18"/>
      <c r="U11" s="18"/>
      <c r="V11" s="18"/>
      <c r="W11" s="18"/>
      <c r="X11" s="29"/>
      <c r="Y11" s="263" t="s">
        <v>6</v>
      </c>
      <c r="Z11" s="263"/>
      <c r="AA11" s="21">
        <f>LOOKUP(AE5,Reference!$A$261:$A$264,Reference!$F$261:$F$264)</f>
        <v>-2.351</v>
      </c>
      <c r="AB11" s="21">
        <f>LOOKUP(AE5,Reference!$A$261:$A$264,Reference!$G$261:$G$264)</f>
        <v>0.876</v>
      </c>
      <c r="AC11" s="21">
        <f>LOOKUP(AE5,Reference!$A$261:$A$264,Reference!$H$261:$H$264)</f>
        <v>1E-3</v>
      </c>
      <c r="AD11" s="18"/>
      <c r="AE11" s="18"/>
      <c r="AF11" s="34">
        <f>AB5*EXP(AA11+AB11*LN(AC11*Z5))</f>
        <v>0.6314463316479666</v>
      </c>
      <c r="AG11" s="264" t="s">
        <v>20</v>
      </c>
      <c r="AH11" s="263"/>
      <c r="AI11" s="25">
        <v>0.17499999999999999</v>
      </c>
      <c r="AJ11" s="25">
        <v>12.56</v>
      </c>
      <c r="AK11" s="25">
        <v>1E-3</v>
      </c>
      <c r="AL11" s="25">
        <v>-0.27200000000000002</v>
      </c>
      <c r="AM11" s="18"/>
      <c r="AN11" s="18"/>
      <c r="AO11" s="28"/>
      <c r="AP11" s="18"/>
      <c r="AQ11" s="18"/>
      <c r="AR11" s="18"/>
      <c r="AS11" s="18"/>
      <c r="AT11" s="18"/>
      <c r="AU11" s="18"/>
      <c r="AV11" s="29"/>
      <c r="AW11" s="264" t="s">
        <v>4</v>
      </c>
      <c r="AX11" s="263"/>
      <c r="AY11" s="19">
        <f>LOOKUP(BC5,Reference!$A$81:$A$85,Reference!$E$81:$E$85)</f>
        <v>-5.47</v>
      </c>
      <c r="AZ11" s="19">
        <f>LOOKUP(BC5,Reference!$A$81:$A$85,Reference!$F$81:$F$85)</f>
        <v>0.56000000000000005</v>
      </c>
      <c r="BA11" s="18"/>
      <c r="BB11" s="18"/>
      <c r="BC11" s="18"/>
      <c r="BD11" s="34">
        <f>EXP(AY11+AZ11*LN(AX5)+LN(AZ5))</f>
        <v>0.88356984170101416</v>
      </c>
      <c r="BE11" s="264" t="s">
        <v>6</v>
      </c>
      <c r="BF11" s="263"/>
      <c r="BG11" s="21">
        <f>LOOKUP(BK5,Reference!$A$391:$A$393,Reference!$G$391:$G$393)</f>
        <v>-2.3439999999999999</v>
      </c>
      <c r="BH11" s="21">
        <f>LOOKUP(BK5,Reference!$A$391:$A$393,Reference!$H$391:$H$393)</f>
        <v>0.68899999999999995</v>
      </c>
      <c r="BI11" s="21">
        <f>LOOKUP(BK5,Reference!$A$391:$A$393,Reference!$I$391:$I$393)</f>
        <v>1E-3</v>
      </c>
      <c r="BJ11" s="21">
        <f>LOOKUP(BK5,Reference!$A$391:$A$393,Reference!$J$391:$J$393)</f>
        <v>0</v>
      </c>
      <c r="BK11" s="18"/>
      <c r="BL11" s="34">
        <f>BH5*EXP(BG11+BH11*LN(BI11*BF5)+BJ11*(BI11*BF5))</f>
        <v>5.3640805761894977E-2</v>
      </c>
    </row>
    <row r="12" spans="1:64" x14ac:dyDescent="0.25">
      <c r="A12" s="264" t="s">
        <v>5</v>
      </c>
      <c r="B12" s="263"/>
      <c r="C12" s="19">
        <f>LOOKUP(G5,Reference!$A$16:$A$19,Reference!$F$16:$F$19)</f>
        <v>-9.75</v>
      </c>
      <c r="D12" s="19">
        <f>LOOKUP(G5,Reference!$A$16:$A$19,Reference!$G$16:$G$19)</f>
        <v>0.27</v>
      </c>
      <c r="E12" s="19">
        <f>LOOKUP(G5,Reference!$A$16:$A$19,Reference!$H$16:$H$19)</f>
        <v>0.51</v>
      </c>
      <c r="F12" s="18"/>
      <c r="G12" s="18"/>
      <c r="H12" s="113">
        <f>IF(C12=0,LOOKUP(G5,Reference!$A$16:$A$19,Reference!$J$16:$J$19)*H11,EXP(C12+D12*LN(B5)+E12*LN(D5)))</f>
        <v>5.2739252090414607E-2</v>
      </c>
      <c r="I12" s="28"/>
      <c r="J12" s="18"/>
      <c r="K12" s="18"/>
      <c r="L12" s="18"/>
      <c r="M12" s="18"/>
      <c r="N12" s="18"/>
      <c r="O12" s="18"/>
      <c r="P12" s="29"/>
      <c r="Q12" s="28"/>
      <c r="R12" s="18"/>
      <c r="S12" s="18"/>
      <c r="T12" s="18"/>
      <c r="U12" s="18"/>
      <c r="V12" s="18"/>
      <c r="W12" s="18"/>
      <c r="X12" s="29"/>
      <c r="Y12" s="18"/>
      <c r="Z12" s="18"/>
      <c r="AA12" s="18"/>
      <c r="AB12" s="18"/>
      <c r="AC12" s="18"/>
      <c r="AD12" s="18"/>
      <c r="AE12" s="18"/>
      <c r="AF12" s="29"/>
      <c r="AG12" s="264" t="s">
        <v>21</v>
      </c>
      <c r="AH12" s="266"/>
      <c r="AI12" s="25">
        <v>0.123</v>
      </c>
      <c r="AJ12" s="25">
        <v>13.46</v>
      </c>
      <c r="AK12" s="25">
        <v>1E-3</v>
      </c>
      <c r="AL12" s="25">
        <v>-0.28299999999999997</v>
      </c>
      <c r="AM12" s="18"/>
      <c r="AN12" s="18"/>
      <c r="AO12" s="28"/>
      <c r="AP12" s="18"/>
      <c r="AQ12" s="115" t="s">
        <v>8</v>
      </c>
      <c r="AR12" s="115" t="s">
        <v>7</v>
      </c>
      <c r="AS12" s="115" t="s">
        <v>9</v>
      </c>
      <c r="AT12" s="115" t="s">
        <v>39</v>
      </c>
      <c r="AU12" s="18"/>
      <c r="AV12" s="29"/>
      <c r="AW12" s="264" t="s">
        <v>5</v>
      </c>
      <c r="AX12" s="263"/>
      <c r="AY12" s="19">
        <f>LOOKUP(BC5,Reference!$A$87:$A$91,Reference!$E$87:$E$91)</f>
        <v>-3.96</v>
      </c>
      <c r="AZ12" s="19">
        <f>LOOKUP(BC5,Reference!$A$87:$A$91,Reference!$F$87:$F$91)</f>
        <v>0.23</v>
      </c>
      <c r="BA12" s="18"/>
      <c r="BB12" s="18"/>
      <c r="BC12" s="18"/>
      <c r="BD12" s="34">
        <f>EXP(AY12+AZ12*LN(AX5)+LN(AZ5))</f>
        <v>0.17131811998101834</v>
      </c>
      <c r="BE12" s="28"/>
      <c r="BF12" s="18"/>
      <c r="BG12" s="18"/>
      <c r="BH12" s="18"/>
      <c r="BI12" s="18"/>
      <c r="BJ12" s="18"/>
      <c r="BK12" s="18"/>
      <c r="BL12" s="29"/>
    </row>
    <row r="13" spans="1:64" x14ac:dyDescent="0.25">
      <c r="A13" s="264" t="s">
        <v>6</v>
      </c>
      <c r="B13" s="263"/>
      <c r="C13" s="19">
        <f>LOOKUP(G5,Reference!$A$21:$A$24,Reference!$F$21:$F$24)</f>
        <v>-9.08</v>
      </c>
      <c r="D13" s="19">
        <f>LOOKUP(G5,Reference!$A$21:$A$24,Reference!$G$21:$G$24)</f>
        <v>0.45</v>
      </c>
      <c r="E13" s="19">
        <f>LOOKUP(G5,Reference!$A$21:$A$24,Reference!$H$21:$H$24)</f>
        <v>0.33</v>
      </c>
      <c r="F13" s="18"/>
      <c r="G13" s="18"/>
      <c r="H13" s="113">
        <f>EXP(C13+D13*LN(B5)+E13*LN(D5))</f>
        <v>0.12913486638493776</v>
      </c>
      <c r="I13" s="28"/>
      <c r="J13" s="18"/>
      <c r="K13" s="18"/>
      <c r="L13" s="18"/>
      <c r="M13" s="18"/>
      <c r="N13" s="18"/>
      <c r="O13" s="18"/>
      <c r="P13" s="29"/>
      <c r="Q13" s="28"/>
      <c r="R13" s="18"/>
      <c r="S13" s="115" t="s">
        <v>8</v>
      </c>
      <c r="T13" s="115" t="s">
        <v>7</v>
      </c>
      <c r="U13" s="115" t="s">
        <v>9</v>
      </c>
      <c r="V13" s="52" t="s">
        <v>39</v>
      </c>
      <c r="W13" s="18"/>
      <c r="X13" s="29"/>
      <c r="Y13" s="18"/>
      <c r="Z13" s="18"/>
      <c r="AA13" s="18"/>
      <c r="AB13" s="18"/>
      <c r="AC13" s="18"/>
      <c r="AD13" s="18"/>
      <c r="AE13" s="18"/>
      <c r="AF13" s="29"/>
      <c r="AG13" s="28"/>
      <c r="AH13" s="18"/>
      <c r="AI13" s="18"/>
      <c r="AJ13" s="18"/>
      <c r="AK13" s="18"/>
      <c r="AL13" s="18"/>
      <c r="AM13" s="18"/>
      <c r="AN13" s="18"/>
      <c r="AO13" s="264" t="s">
        <v>20</v>
      </c>
      <c r="AP13" s="263"/>
      <c r="AQ13" s="21">
        <f>IF(AS9="Signalized",IF(AS7=2,LOOKUP(AU5,Reference!$A$269:$A$275,Reference!$C$269:$C$275),IF(AS7=3,LOOKUP(AU5,Reference!$A$285:$A$291,Reference!$C$285:$C$291),IF(AS7=4,LOOKUP(AU5,Reference!$A$301:$A$307,Reference!$C$301:$C$307),IF(AS7=5,LOOKUP(AU5,Reference!$A$317:$A$323,Reference!$C$317:$C$323),LOOKUP(AU5,Reference!$A$333:$A$339,Reference!$C$333:$C$339))))),IF(AS5="Rural",LOOKUP(AU5,Reference!$A$350:$A$356,Reference!$C$350:$C$356),LOOKUP(AU5,Reference!$A$366:$A$372,Reference!$C$366:$C$372)))</f>
        <v>-2.6869999999999998</v>
      </c>
      <c r="AR13" s="21">
        <f>IF(AS9="Signalized",IF(AS7=2,LOOKUP(AU5,Reference!$A$269:$A$275,Reference!$D$269:$D$275),IF(AS7=3,LOOKUP(AU5,Reference!$A$285:$A$291,Reference!$D$285:$D$291),IF(AS7=4,LOOKUP(AU5,Reference!$A$301:$A$307,Reference!$D$301:$D$307),IF(AS7=5,LOOKUP(AU5,Reference!$A$317:$A$323,Reference!$D$317:$D$323),LOOKUP(AU5,Reference!$A$333:$A$339,Reference!$D$333:$D$339))))),IF(AS5="Rural",LOOKUP(AU5,Reference!$A$350:$A$356,Reference!$D$350:$D$356),LOOKUP(AU5,Reference!$A$366:$A$372,Reference!$D$366:$D$372)))</f>
        <v>0.26</v>
      </c>
      <c r="AS13" s="21">
        <f>IF(AS9="Signalized",IF(AS7=2,LOOKUP(AU5,Reference!$A$269:$A$275,Reference!$E$269:$E$275),IF(AS7=3,LOOKUP(AU5,Reference!$A$285:$A$291,Reference!$E$285:$E$291),IF(AS7=4,LOOKUP(AU5,Reference!$A$301:$A$307,Reference!$E$301:$E$307),IF(AS7=5,LOOKUP(AU5,Reference!$A$317:$A$323,Reference!$E$317:$E$323),LOOKUP(AU5,Reference!$A$333:$A$339,Reference!$E$333:$E$339))))),IF(AS5="Rural",LOOKUP(AU5,Reference!$A$350:$A$356,Reference!$E$350:$E$356),LOOKUP(AU5,Reference!$A$366:$A$372,Reference!$E$366:$E$372)))</f>
        <v>1E-3</v>
      </c>
      <c r="AT13" s="21">
        <f>IF(AS9="Signalized",IF(AS7=2,LOOKUP(AU5,Reference!$A$269:$A$275,Reference!$F$269:$F$275),IF(AS7=3,LOOKUP(AU5,Reference!$A$285:$A$291,Reference!$F$285:$F$291),IF(AS7=4,LOOKUP(AU5,Reference!$A$301:$A$307,Reference!$F$301:$F$307),IF(AS7=5,LOOKUP(AU5,Reference!$A$317:$A$323,Reference!$F$317:$F$323),LOOKUP(AU5,Reference!$A$333:$A$339,Reference!$F$333:$F$339))))),IF(AS5="Rural",LOOKUP(AU5,Reference!$A$350:$A$356,Reference!$F$350:$F$356),LOOKUP(AU5,Reference!$A$366:$A$372,Reference!$F$366:$F$372)))</f>
        <v>0.94699999999999995</v>
      </c>
      <c r="AU13" s="18"/>
      <c r="AV13" s="29"/>
      <c r="AW13" s="264" t="s">
        <v>6</v>
      </c>
      <c r="AX13" s="263"/>
      <c r="AY13" s="19">
        <f>LOOKUP(BC5,Reference!$A$93:$A$97,Reference!$E$93:$E$97)</f>
        <v>-6.51</v>
      </c>
      <c r="AZ13" s="19">
        <f>LOOKUP(BC5,Reference!$A$93:$A$97,Reference!$F$93:$F$97)</f>
        <v>0.64</v>
      </c>
      <c r="BA13" s="18"/>
      <c r="BB13" s="18"/>
      <c r="BC13" s="18"/>
      <c r="BD13" s="34">
        <f>EXP(AY13+AZ13*LN(AX5)+LN(AZ5))</f>
        <v>0.67029328035699254</v>
      </c>
      <c r="BE13" s="28"/>
      <c r="BF13" s="18"/>
      <c r="BG13" s="18"/>
      <c r="BH13" s="18"/>
      <c r="BI13" s="18"/>
      <c r="BJ13" s="18"/>
      <c r="BK13" s="18"/>
      <c r="BL13" s="29"/>
    </row>
    <row r="14" spans="1:64" ht="21" x14ac:dyDescent="0.35">
      <c r="A14" s="28"/>
      <c r="B14" s="18"/>
      <c r="C14" s="18"/>
      <c r="D14" s="18"/>
      <c r="E14" s="18"/>
      <c r="F14" s="18"/>
      <c r="G14" s="18"/>
      <c r="H14" s="18"/>
      <c r="I14" s="28"/>
      <c r="J14" s="18"/>
      <c r="K14" s="18"/>
      <c r="L14" s="18"/>
      <c r="M14" s="18"/>
      <c r="N14" s="18"/>
      <c r="O14" s="18"/>
      <c r="P14" s="29"/>
      <c r="Q14" s="264" t="s">
        <v>20</v>
      </c>
      <c r="R14" s="263"/>
      <c r="S14" s="21">
        <f>LOOKUP(W5,Reference!$A$228:$A$235,Reference!$C$228:$C$235)</f>
        <v>0.59399999999999997</v>
      </c>
      <c r="T14" s="21">
        <f>LOOKUP(W5,Reference!$A$228:$A$235,Reference!$D$228:$D$235)</f>
        <v>3.1800000000000002E-2</v>
      </c>
      <c r="U14" s="25">
        <f>LOOKUP(W5,Reference!$A$228:$A$235,Reference!$E$228:$E$235)</f>
        <v>1E-3</v>
      </c>
      <c r="V14" s="25">
        <f>LOOKUP(W5,Reference!$A$228:$A$235,Reference!$F$228:$F$235)</f>
        <v>0.19800000000000001</v>
      </c>
      <c r="W14" s="18"/>
      <c r="X14" s="29"/>
      <c r="Y14" s="263" t="s">
        <v>22</v>
      </c>
      <c r="Z14" s="263"/>
      <c r="AA14" s="56">
        <f>AA15+AA16</f>
        <v>1.1125495781316028</v>
      </c>
      <c r="AB14" s="18"/>
      <c r="AC14" s="18"/>
      <c r="AD14" s="18"/>
      <c r="AE14" s="18"/>
      <c r="AF14" s="29"/>
      <c r="AG14" s="28"/>
      <c r="AH14" s="18"/>
      <c r="AI14" s="18"/>
      <c r="AJ14" s="18"/>
      <c r="AK14" s="18"/>
      <c r="AL14" s="18"/>
      <c r="AO14" s="264" t="s">
        <v>21</v>
      </c>
      <c r="AP14" s="266"/>
      <c r="AQ14" s="21">
        <f>IF(AS9="Signalized",IF(AS7=2,LOOKUP(AU5,Reference!$A$277:$A$283,Reference!$C$277:$C$283),IF(AS7=3,LOOKUP(AU5,Reference!$A$293:$A$299,Reference!$C$293:$C$299),IF(AS7=4,LOOKUP(AU5,Reference!$A$309:$A$315,Reference!$C$309:$C$315),IF(AS7=5,LOOKUP(AU5,Reference!$A$325:$A$331,Reference!$C$325:$C$331),LOOKUP(AU5,Reference!$A$341:$A$347,Reference!$C$341:$C$347))))),IF(AS5="Rural",LOOKUP(AU5,Reference!$A$358:$A$364,Reference!$C$358:$C$364),LOOKUP(AU5,Reference!$A$374:$A$380,Reference!$C$374:$C$380)))</f>
        <v>-3.0550000000000002</v>
      </c>
      <c r="AR14" s="21">
        <f>IF(AS9="Signalized",IF(AS7=2,LOOKUP(AU5,Reference!$A$277:$A$283,Reference!$D$277:$D$283),IF(AS7=3,LOOKUP(AU5,Reference!$A$293:$A$299,Reference!$D$293:$D$299),IF(AS7=4,LOOKUP(AU5,Reference!$A$309:$A$315,Reference!$D$309:$D$315),IF(AS7=5,LOOKUP(AU5,Reference!$A$325:$A$331,Reference!$D$325:$D$331),LOOKUP(AU5,Reference!$A$341:$A$347,Reference!$D$341:$D$347))))),IF(AS5="Rural",LOOKUP(AU5,Reference!$A$358:$A$364,Reference!$D$358:$D$364),LOOKUP(AU5,Reference!$A$374:$A$380,Reference!$D$374:$D$380)))</f>
        <v>0.77300000000000002</v>
      </c>
      <c r="AS14" s="21">
        <f>IF(AS9="Signalized",IF(AS7=2,LOOKUP(AU5,Reference!$A$277:$A$283,Reference!$E$277:$E$283),IF(AS7=3,LOOKUP(AU5,Reference!$A$293:$A$299,Reference!$E$293:$E$299),IF(AS7=4,LOOKUP(AU5,Reference!$A$309:$A$315,Reference!$E$309:$E$315),IF(AS7=5,LOOKUP(AU5,Reference!$A$325:$A$331,Reference!$E$325:$E$331),LOOKUP(AU5,Reference!$A$341:$A$347,Reference!$E$341:$E$347))))),IF(AS5="Rural",LOOKUP(AU5,Reference!$A$358:$A$364,Reference!$E$358:$E$364),LOOKUP(AU5,Reference!$A$374:$A$380,Reference!$E$374:$E$380)))</f>
        <v>1E-3</v>
      </c>
      <c r="AT14" s="21">
        <f>IF(AS9="Signalized",IF(AS7=2,LOOKUP(AU5,Reference!$A$277:$A$283,Reference!$F$277:$F$283),IF(AS7=3,LOOKUP(AU5,Reference!$A$293:$A$299,Reference!$F$293:$F$299),IF(AS7=4,LOOKUP(AU5,Reference!$A$309:$A$315,Reference!$F$309:$F$315),IF(AS7=5,LOOKUP(AU5,Reference!$A$325:$A$331,Reference!$F$325:$F$331),LOOKUP(AU5,Reference!$A$341:$A$347,Reference!$F$341:$F$347))))),IF(AS5="Rural",LOOKUP(AU5,Reference!$A$358:$A$364,Reference!$F$358:$F$364),LOOKUP(AU5,Reference!$A$374:$A$380,Reference!$F$374:$F$380)))</f>
        <v>0.878</v>
      </c>
      <c r="AU14" s="18"/>
      <c r="AV14" s="29"/>
      <c r="AW14" s="264" t="s">
        <v>245</v>
      </c>
      <c r="AX14" s="263"/>
      <c r="AY14" s="265" t="s">
        <v>246</v>
      </c>
      <c r="AZ14" s="259"/>
      <c r="BA14" s="259"/>
      <c r="BB14" s="259"/>
      <c r="BC14" s="259" t="s">
        <v>247</v>
      </c>
      <c r="BD14" s="285"/>
      <c r="BE14" s="28"/>
      <c r="BF14" s="18"/>
      <c r="BG14" s="18"/>
      <c r="BH14" s="18"/>
      <c r="BI14" s="18"/>
      <c r="BJ14" s="18"/>
      <c r="BK14" s="18"/>
      <c r="BL14" s="29"/>
    </row>
    <row r="15" spans="1:64" ht="18.75" customHeight="1" x14ac:dyDescent="0.35">
      <c r="A15" s="264" t="s">
        <v>95</v>
      </c>
      <c r="B15" s="263"/>
      <c r="C15" s="294" t="s">
        <v>120</v>
      </c>
      <c r="D15" s="294"/>
      <c r="E15" s="294"/>
      <c r="F15" s="294"/>
      <c r="G15" s="259" t="s">
        <v>96</v>
      </c>
      <c r="H15" s="259"/>
      <c r="I15" s="28"/>
      <c r="J15" s="18"/>
      <c r="K15" s="18"/>
      <c r="L15" s="18"/>
      <c r="M15" s="18"/>
      <c r="N15" s="18"/>
      <c r="O15" s="18"/>
      <c r="P15" s="29"/>
      <c r="Q15" s="264" t="s">
        <v>21</v>
      </c>
      <c r="R15" s="263"/>
      <c r="S15" s="21">
        <f>LOOKUP(W5,Reference!$A$237:$A$244,Reference!$C$237:$C$244)</f>
        <v>0.82399999999999995</v>
      </c>
      <c r="T15" s="21">
        <f>LOOKUP(W5,Reference!$A$237:$A$244,Reference!$D$237:$D$244)</f>
        <v>2.52E-2</v>
      </c>
      <c r="U15" s="25">
        <f>LOOKUP(W5,Reference!$A$237:$A$244,Reference!$E$237:$E$244)</f>
        <v>1E-3</v>
      </c>
      <c r="V15" s="25">
        <f>LOOKUP(W5,Reference!$A$237:$A$244,Reference!$F$237:$F$244)</f>
        <v>0</v>
      </c>
      <c r="W15" s="18"/>
      <c r="X15" s="29"/>
      <c r="Y15" s="263" t="s">
        <v>2</v>
      </c>
      <c r="Z15" s="263"/>
      <c r="AA15" s="56">
        <f>AF8</f>
        <v>0.36727389081737011</v>
      </c>
      <c r="AB15" s="18"/>
      <c r="AC15" s="18"/>
      <c r="AD15" s="18"/>
      <c r="AE15" s="18"/>
      <c r="AF15" s="29"/>
      <c r="AG15" s="28"/>
      <c r="AH15" s="18"/>
      <c r="AI15" s="18"/>
      <c r="AJ15" s="18"/>
      <c r="AK15" s="18"/>
      <c r="AL15" s="18"/>
      <c r="AM15" s="48"/>
      <c r="AN15" s="62"/>
      <c r="AO15" s="28"/>
      <c r="AP15" s="18"/>
      <c r="AQ15" s="18"/>
      <c r="AR15" s="18"/>
      <c r="AS15" s="18"/>
      <c r="AT15" s="18"/>
      <c r="AU15" s="18"/>
      <c r="AV15" s="29"/>
      <c r="AW15" s="28"/>
      <c r="AX15" s="18"/>
      <c r="AY15" s="96" t="s">
        <v>249</v>
      </c>
      <c r="AZ15" s="96" t="s">
        <v>250</v>
      </c>
      <c r="BA15" s="18"/>
      <c r="BB15" s="18"/>
      <c r="BC15" s="96" t="s">
        <v>249</v>
      </c>
      <c r="BD15" s="36" t="s">
        <v>250</v>
      </c>
      <c r="BE15" s="28"/>
      <c r="BF15" s="18"/>
      <c r="BG15" s="18"/>
      <c r="BH15" s="18"/>
      <c r="BI15" s="18"/>
      <c r="BJ15" s="18"/>
      <c r="BK15" s="18"/>
      <c r="BL15" s="29"/>
    </row>
    <row r="16" spans="1:64" x14ac:dyDescent="0.25">
      <c r="A16" s="28"/>
      <c r="B16" s="18"/>
      <c r="C16" s="18"/>
      <c r="D16" s="18"/>
      <c r="E16" s="18"/>
      <c r="F16" s="18"/>
      <c r="G16" s="18"/>
      <c r="H16" s="18"/>
      <c r="I16" s="28"/>
      <c r="J16" s="18"/>
      <c r="K16" s="18"/>
      <c r="L16" s="18"/>
      <c r="M16" s="18"/>
      <c r="N16" s="18"/>
      <c r="O16" s="18"/>
      <c r="P16" s="29"/>
      <c r="Q16" s="28"/>
      <c r="R16" s="18"/>
      <c r="S16" s="18"/>
      <c r="T16" s="18"/>
      <c r="U16" s="18"/>
      <c r="V16" s="18"/>
      <c r="W16" s="18"/>
      <c r="X16" s="29"/>
      <c r="Y16" s="263" t="s">
        <v>3</v>
      </c>
      <c r="Z16" s="263"/>
      <c r="AA16" s="56">
        <f>AF9</f>
        <v>0.74527568731423266</v>
      </c>
      <c r="AB16" s="18"/>
      <c r="AC16" s="18"/>
      <c r="AD16" s="18"/>
      <c r="AE16" s="18"/>
      <c r="AF16" s="29"/>
      <c r="AG16" s="28"/>
      <c r="AH16" s="18"/>
      <c r="AI16" s="18"/>
      <c r="AJ16" s="18"/>
      <c r="AK16" s="18"/>
      <c r="AL16" s="18"/>
      <c r="AM16" s="48"/>
      <c r="AN16" s="62"/>
      <c r="AO16" s="28"/>
      <c r="AP16" s="18"/>
      <c r="AQ16" s="18"/>
      <c r="AR16" s="18"/>
      <c r="AS16" s="18"/>
      <c r="AT16" s="18"/>
      <c r="AU16" s="18"/>
      <c r="AV16" s="29"/>
      <c r="AW16" s="264" t="s">
        <v>233</v>
      </c>
      <c r="AX16" s="263"/>
      <c r="AY16" s="94"/>
      <c r="AZ16" s="21">
        <f>LOOKUP(BC5,Reference!$A$101:$A$105,Reference!$C$101:$C$105)</f>
        <v>0.158</v>
      </c>
      <c r="BA16" s="263" t="s">
        <v>234</v>
      </c>
      <c r="BB16" s="263"/>
      <c r="BC16" s="94"/>
      <c r="BD16" s="104">
        <f>LOOKUP(BC5,Reference!$A$101:$A$105,Reference!$G$101:$G$105)</f>
        <v>8.3000000000000004E-2</v>
      </c>
      <c r="BE16" s="28"/>
      <c r="BF16" s="18"/>
      <c r="BG16" s="18"/>
      <c r="BH16" s="18"/>
      <c r="BI16" s="18"/>
      <c r="BJ16" s="18"/>
      <c r="BK16" s="18"/>
      <c r="BL16" s="29"/>
    </row>
    <row r="17" spans="1:64" ht="18" x14ac:dyDescent="0.35">
      <c r="A17" s="47" t="s">
        <v>97</v>
      </c>
      <c r="B17" s="50">
        <v>100</v>
      </c>
      <c r="C17" s="48" t="s">
        <v>98</v>
      </c>
      <c r="D17" s="50">
        <v>3</v>
      </c>
      <c r="E17" s="18"/>
      <c r="F17" s="18"/>
      <c r="G17" s="18"/>
      <c r="H17" s="18"/>
      <c r="I17" s="28"/>
      <c r="J17" s="18"/>
      <c r="K17" s="18"/>
      <c r="L17" s="18"/>
      <c r="M17" s="18"/>
      <c r="N17" s="18"/>
      <c r="O17" s="18"/>
      <c r="P17" s="29"/>
      <c r="Q17" s="28"/>
      <c r="R17" s="18"/>
      <c r="S17" s="18"/>
      <c r="T17" s="18"/>
      <c r="U17" s="18"/>
      <c r="V17" s="18"/>
      <c r="W17" s="18"/>
      <c r="X17" s="29"/>
      <c r="Y17" s="263" t="s">
        <v>4</v>
      </c>
      <c r="Z17" s="263"/>
      <c r="AA17" s="56">
        <f>AA18+AA19</f>
        <v>0.95614249135172202</v>
      </c>
      <c r="AB17" s="18"/>
      <c r="AC17" s="18"/>
      <c r="AD17" s="18"/>
      <c r="AE17" s="18"/>
      <c r="AF17" s="29"/>
      <c r="AG17" s="28"/>
      <c r="AH17" s="18"/>
      <c r="AI17" s="18"/>
      <c r="AJ17" s="18"/>
      <c r="AK17" s="18"/>
      <c r="AL17" s="18"/>
      <c r="AM17" s="48"/>
      <c r="AN17" s="62"/>
      <c r="AO17" s="264" t="s">
        <v>112</v>
      </c>
      <c r="AP17" s="267"/>
      <c r="AQ17" s="56">
        <f>SUM(AQ18:AQ19)</f>
        <v>0.41995593985754354</v>
      </c>
      <c r="AR17" s="18"/>
      <c r="AS17" s="18"/>
      <c r="AT17" s="18"/>
      <c r="AU17" s="18"/>
      <c r="AV17" s="29"/>
      <c r="AW17" s="264" t="s">
        <v>235</v>
      </c>
      <c r="AX17" s="263"/>
      <c r="AY17" s="94"/>
      <c r="AZ17" s="21">
        <f>LOOKUP(BC5,Reference!$A$101:$A$105,Reference!$D$101:$D$105)</f>
        <v>0.05</v>
      </c>
      <c r="BA17" s="263" t="s">
        <v>236</v>
      </c>
      <c r="BB17" s="263"/>
      <c r="BC17" s="94"/>
      <c r="BD17" s="104">
        <f>LOOKUP(BC5,Reference!$A$101:$A$105,Reference!$H$101:$H$105)</f>
        <v>1.6E-2</v>
      </c>
      <c r="BE17" s="28"/>
      <c r="BF17" s="18"/>
      <c r="BG17" s="18"/>
      <c r="BH17" s="18"/>
      <c r="BI17" s="18"/>
      <c r="BJ17" s="18"/>
      <c r="BK17" s="18"/>
      <c r="BL17" s="29"/>
    </row>
    <row r="18" spans="1:64" x14ac:dyDescent="0.25">
      <c r="A18" s="47"/>
      <c r="B18" s="51"/>
      <c r="C18" s="52"/>
      <c r="D18" s="51"/>
      <c r="E18" s="18"/>
      <c r="F18" s="18"/>
      <c r="G18" s="18"/>
      <c r="H18" s="18"/>
      <c r="I18" s="28"/>
      <c r="J18" s="18"/>
      <c r="K18" s="18"/>
      <c r="L18" s="18"/>
      <c r="M18" s="18"/>
      <c r="N18" s="18"/>
      <c r="O18" s="18"/>
      <c r="P18" s="29"/>
      <c r="Q18" s="28"/>
      <c r="R18" s="18"/>
      <c r="S18" s="18"/>
      <c r="T18" s="18"/>
      <c r="U18" s="18"/>
      <c r="V18" s="18"/>
      <c r="W18" s="18"/>
      <c r="X18" s="29"/>
      <c r="Y18" s="263" t="s">
        <v>5</v>
      </c>
      <c r="Z18" s="263"/>
      <c r="AA18" s="56">
        <f>AF10</f>
        <v>0.32469615970375537</v>
      </c>
      <c r="AB18" s="18"/>
      <c r="AC18" s="18"/>
      <c r="AD18" s="18"/>
      <c r="AE18" s="18"/>
      <c r="AF18" s="29"/>
      <c r="AG18" s="28"/>
      <c r="AH18" s="18"/>
      <c r="AI18" s="18"/>
      <c r="AJ18" s="18"/>
      <c r="AK18" s="18"/>
      <c r="AL18" s="18"/>
      <c r="AM18" s="48"/>
      <c r="AN18" s="62"/>
      <c r="AO18" s="264" t="s">
        <v>113</v>
      </c>
      <c r="AP18" s="267"/>
      <c r="AQ18" s="56">
        <f>EXP(AQ13+AR13*LN(AS13*AP5)+AT13*LN(AS13*SUM(AP6:AP7)))</f>
        <v>0.22818493619652264</v>
      </c>
      <c r="AR18" s="18"/>
      <c r="AS18" s="18"/>
      <c r="AT18" s="18"/>
      <c r="AU18" s="18"/>
      <c r="AV18" s="29"/>
      <c r="AW18" s="264" t="s">
        <v>345</v>
      </c>
      <c r="AX18" s="263"/>
      <c r="AY18" s="94"/>
      <c r="AZ18" s="21">
        <f>LOOKUP(BC5,Reference!$A$101:$A$105,Reference!$E$101:$E$105)</f>
        <v>0.17199999999999999</v>
      </c>
      <c r="BA18" s="263" t="s">
        <v>244</v>
      </c>
      <c r="BB18" s="263"/>
      <c r="BC18" s="94"/>
      <c r="BD18" s="104">
        <f>LOOKUP(BC5,Reference!$A$101:$A$105,Reference!$I$101:$I$105)</f>
        <v>2.5000000000000001E-2</v>
      </c>
      <c r="BE18" s="28"/>
      <c r="BF18" s="18"/>
      <c r="BG18" s="18"/>
      <c r="BH18" s="18"/>
      <c r="BI18" s="18"/>
      <c r="BJ18" s="18"/>
      <c r="BK18" s="18"/>
      <c r="BL18" s="29"/>
    </row>
    <row r="19" spans="1:64" x14ac:dyDescent="0.25">
      <c r="A19" s="28"/>
      <c r="B19" s="18"/>
      <c r="C19" s="48" t="s">
        <v>8</v>
      </c>
      <c r="D19" s="48" t="s">
        <v>7</v>
      </c>
      <c r="E19" s="48" t="s">
        <v>9</v>
      </c>
      <c r="F19" s="48" t="s">
        <v>39</v>
      </c>
      <c r="G19" s="48" t="s">
        <v>102</v>
      </c>
      <c r="H19" s="18"/>
      <c r="I19" s="28"/>
      <c r="J19" s="18"/>
      <c r="K19" s="18"/>
      <c r="L19" s="18"/>
      <c r="M19" s="18"/>
      <c r="N19" s="18"/>
      <c r="O19" s="18"/>
      <c r="P19" s="29"/>
      <c r="Q19" s="28"/>
      <c r="R19" s="18"/>
      <c r="S19" s="18"/>
      <c r="T19" s="18"/>
      <c r="U19" s="18"/>
      <c r="V19" s="18"/>
      <c r="W19" s="18"/>
      <c r="X19" s="29"/>
      <c r="Y19" s="263" t="s">
        <v>6</v>
      </c>
      <c r="Z19" s="263"/>
      <c r="AA19" s="56">
        <f>AF11</f>
        <v>0.6314463316479666</v>
      </c>
      <c r="AB19" s="18"/>
      <c r="AC19" s="18"/>
      <c r="AD19" s="18"/>
      <c r="AE19" s="18"/>
      <c r="AF19" s="29"/>
      <c r="AG19" s="28"/>
      <c r="AH19" s="18"/>
      <c r="AI19" s="18"/>
      <c r="AJ19" s="18"/>
      <c r="AK19" s="18"/>
      <c r="AL19" s="18"/>
      <c r="AM19" s="48"/>
      <c r="AN19" s="62"/>
      <c r="AO19" s="264" t="s">
        <v>114</v>
      </c>
      <c r="AP19" s="267"/>
      <c r="AQ19" s="56">
        <f>EXP(AQ14+AR14*LN(AS14*AP5)+AT14*LN(AS14*SUM(AP6:AP7)))</f>
        <v>0.19177100366102093</v>
      </c>
      <c r="AR19" s="18"/>
      <c r="AS19" s="18"/>
      <c r="AT19" s="18"/>
      <c r="AU19" s="18"/>
      <c r="AV19" s="29"/>
      <c r="AW19" s="264" t="s">
        <v>346</v>
      </c>
      <c r="AX19" s="263"/>
      <c r="AY19" s="94"/>
      <c r="AZ19" s="21">
        <f>LOOKUP(BC5,Reference!$A$101:$A$105,Reference!$F$101:$F$105)</f>
        <v>2.3E-2</v>
      </c>
      <c r="BA19" s="263" t="s">
        <v>248</v>
      </c>
      <c r="BB19" s="263"/>
      <c r="BC19" s="18"/>
      <c r="BD19" s="104">
        <f>LOOKUP(BC5,Reference!$A$101:$A$105,Reference!$J$101:$J$105)</f>
        <v>1</v>
      </c>
      <c r="BE19" s="28"/>
      <c r="BF19" s="18"/>
      <c r="BG19" s="18"/>
      <c r="BH19" s="18"/>
      <c r="BI19" s="18"/>
      <c r="BJ19" s="18"/>
      <c r="BK19" s="18"/>
      <c r="BL19" s="29"/>
    </row>
    <row r="20" spans="1:64" x14ac:dyDescent="0.25">
      <c r="A20" s="264" t="s">
        <v>103</v>
      </c>
      <c r="B20" s="263"/>
      <c r="C20" s="19">
        <f>LOOKUP(G5,Reference!$A$28:$A$31,Reference!$C$28:$C$31)</f>
        <v>-6.6</v>
      </c>
      <c r="D20" s="19">
        <f>LOOKUP(G5,Reference!$A$28:$A$31,Reference!$D$28:$D$31)</f>
        <v>0.05</v>
      </c>
      <c r="E20" s="19">
        <f>LOOKUP(G5,Reference!$A$28:$A$31,Reference!$E$28:$E$31)</f>
        <v>0.24</v>
      </c>
      <c r="F20" s="19">
        <f>LOOKUP(G5,Reference!$A$28:$A$31,Reference!$F$28:$F$31)</f>
        <v>0.41</v>
      </c>
      <c r="G20" s="19">
        <f>LOOKUP(G5,Reference!$A$28:$A$31,Reference!$G$28:$G$31)</f>
        <v>0.09</v>
      </c>
      <c r="H20" s="18"/>
      <c r="I20" s="264" t="s">
        <v>22</v>
      </c>
      <c r="J20" s="263"/>
      <c r="K20" s="56">
        <f ca="1">K21+K22</f>
        <v>1.6425312480537874E-2</v>
      </c>
      <c r="L20" s="18"/>
      <c r="M20" s="18"/>
      <c r="N20" s="18"/>
      <c r="O20" s="18"/>
      <c r="P20" s="29"/>
      <c r="Q20" s="28"/>
      <c r="R20" s="18"/>
      <c r="S20" s="18"/>
      <c r="T20" s="18"/>
      <c r="U20" s="18"/>
      <c r="V20" s="18"/>
      <c r="W20" s="18"/>
      <c r="X20" s="29"/>
      <c r="Y20" s="18"/>
      <c r="Z20" s="18"/>
      <c r="AA20" s="18"/>
      <c r="AB20" s="18"/>
      <c r="AC20" s="18"/>
      <c r="AD20" s="18"/>
      <c r="AE20" s="18"/>
      <c r="AF20" s="29"/>
      <c r="AG20" s="28"/>
      <c r="AH20" s="18"/>
      <c r="AI20" s="18"/>
      <c r="AJ20" s="18"/>
      <c r="AK20" s="18"/>
      <c r="AL20" s="18"/>
      <c r="AM20" s="48"/>
      <c r="AN20" s="62"/>
      <c r="AO20" s="28"/>
      <c r="AP20" s="18"/>
      <c r="AQ20" s="18"/>
      <c r="AR20" s="18"/>
      <c r="AS20" s="18"/>
      <c r="AT20" s="18"/>
      <c r="AU20" s="18"/>
      <c r="AV20" s="29"/>
      <c r="AW20" s="105"/>
      <c r="AX20" s="17"/>
      <c r="AY20" s="18"/>
      <c r="AZ20" s="18"/>
      <c r="BA20" s="18"/>
      <c r="BB20" s="18"/>
      <c r="BC20" s="18"/>
      <c r="BD20" s="29"/>
      <c r="BE20" s="264" t="s">
        <v>1</v>
      </c>
      <c r="BF20" s="263"/>
      <c r="BG20" s="56">
        <f>BG21+BG22</f>
        <v>0.19181888258025231</v>
      </c>
      <c r="BH20" s="18"/>
      <c r="BI20" s="18"/>
      <c r="BJ20" s="18"/>
      <c r="BK20" s="18"/>
      <c r="BL20" s="29"/>
    </row>
    <row r="21" spans="1:64" ht="18" x14ac:dyDescent="0.35">
      <c r="A21" s="47"/>
      <c r="B21" s="48"/>
      <c r="C21" s="48" t="s">
        <v>105</v>
      </c>
      <c r="D21" s="18"/>
      <c r="E21" s="18"/>
      <c r="F21" s="18"/>
      <c r="G21" s="48" t="s">
        <v>108</v>
      </c>
      <c r="H21" s="18"/>
      <c r="I21" s="264" t="s">
        <v>2</v>
      </c>
      <c r="J21" s="263"/>
      <c r="K21" s="56">
        <f ca="1">P8</f>
        <v>3.5150739612747734E-3</v>
      </c>
      <c r="L21" s="18"/>
      <c r="M21" s="18"/>
      <c r="N21" s="18"/>
      <c r="O21" s="18"/>
      <c r="P21" s="29"/>
      <c r="Q21" s="28"/>
      <c r="R21" s="18"/>
      <c r="S21" s="18"/>
      <c r="T21" s="18"/>
      <c r="U21" s="18"/>
      <c r="V21" s="18"/>
      <c r="W21" s="18"/>
      <c r="X21" s="29"/>
      <c r="Y21" s="263" t="s">
        <v>19</v>
      </c>
      <c r="Z21" s="263"/>
      <c r="AA21" s="56">
        <f>AA22+AA23</f>
        <v>2.0686920694833248</v>
      </c>
      <c r="AB21" s="18"/>
      <c r="AC21" s="18"/>
      <c r="AD21" s="18"/>
      <c r="AE21" s="18"/>
      <c r="AF21" s="29"/>
      <c r="AG21" s="28"/>
      <c r="AH21" s="18"/>
      <c r="AI21" s="18"/>
      <c r="AJ21" s="18"/>
      <c r="AK21" s="18"/>
      <c r="AL21" s="18"/>
      <c r="AM21" s="48"/>
      <c r="AN21" s="62"/>
      <c r="AO21" s="28"/>
      <c r="AP21" s="18"/>
      <c r="AQ21" s="18"/>
      <c r="AR21" s="18"/>
      <c r="AS21" s="18"/>
      <c r="AT21" s="18"/>
      <c r="AU21" s="18"/>
      <c r="AV21" s="29"/>
      <c r="AW21" s="95"/>
      <c r="AX21" s="96"/>
      <c r="AY21" s="96" t="s">
        <v>105</v>
      </c>
      <c r="AZ21" s="18"/>
      <c r="BA21" s="18"/>
      <c r="BB21" s="18"/>
      <c r="BC21" s="96" t="s">
        <v>108</v>
      </c>
      <c r="BD21" s="29"/>
      <c r="BE21" s="264" t="s">
        <v>2</v>
      </c>
      <c r="BF21" s="263"/>
      <c r="BG21" s="56">
        <f>BL8</f>
        <v>5.2881870457496767E-2</v>
      </c>
      <c r="BH21" s="18"/>
      <c r="BI21" s="18"/>
      <c r="BJ21" s="18"/>
      <c r="BK21" s="18"/>
      <c r="BL21" s="29"/>
    </row>
    <row r="22" spans="1:64" x14ac:dyDescent="0.25">
      <c r="A22" s="264" t="s">
        <v>104</v>
      </c>
      <c r="B22" s="263"/>
      <c r="C22" s="21" t="str">
        <f ca="1">LOOKUP(G5,Reference!$A$34:$A$36,Reference!$C$34:$C$37)</f>
        <v>-</v>
      </c>
      <c r="D22" s="18"/>
      <c r="E22" s="263" t="s">
        <v>107</v>
      </c>
      <c r="F22" s="266"/>
      <c r="G22" s="21">
        <f>LOOKUP(G5,Reference!$A$40:$A$43,Reference!$C$40:$C$43)</f>
        <v>1.0999999999999999E-2</v>
      </c>
      <c r="H22" s="18"/>
      <c r="I22" s="264" t="s">
        <v>3</v>
      </c>
      <c r="J22" s="263"/>
      <c r="K22" s="56">
        <f>P9</f>
        <v>1.2910238519263102E-2</v>
      </c>
      <c r="L22" s="18"/>
      <c r="M22" s="18"/>
      <c r="N22" s="18"/>
      <c r="O22" s="18"/>
      <c r="P22" s="29"/>
      <c r="Q22" s="28"/>
      <c r="R22" s="18"/>
      <c r="S22" s="18"/>
      <c r="T22" s="18"/>
      <c r="U22" s="18"/>
      <c r="V22" s="18"/>
      <c r="W22" s="18"/>
      <c r="X22" s="29"/>
      <c r="Y22" s="263" t="s">
        <v>20</v>
      </c>
      <c r="Z22" s="263"/>
      <c r="AA22" s="56">
        <f>AF8+AF10</f>
        <v>0.69197005052112548</v>
      </c>
      <c r="AB22" s="18"/>
      <c r="AC22" s="18"/>
      <c r="AD22" s="18"/>
      <c r="AE22" s="18"/>
      <c r="AF22" s="29"/>
      <c r="AG22" s="28"/>
      <c r="AH22" s="18"/>
      <c r="AI22" s="18"/>
      <c r="AJ22" s="18"/>
      <c r="AK22" s="18"/>
      <c r="AL22" s="18"/>
      <c r="AM22" s="48"/>
      <c r="AN22" s="62"/>
      <c r="AO22" s="28"/>
      <c r="AP22" s="18"/>
      <c r="AQ22" s="18"/>
      <c r="AR22" s="18"/>
      <c r="AS22" s="18"/>
      <c r="AT22" s="89"/>
      <c r="AU22" s="18"/>
      <c r="AV22" s="29"/>
      <c r="AW22" s="264" t="s">
        <v>104</v>
      </c>
      <c r="AX22" s="263"/>
      <c r="AY22" s="21">
        <f>LOOKUP(BC5,Reference!$A$109:$A$113,IF(BC6="Greater Than 30 MPH",Reference!$D$109:$D$113,Reference!$C$109:$C$113))</f>
        <v>3.5999999999999997E-2</v>
      </c>
      <c r="AZ22" s="18"/>
      <c r="BA22" s="263" t="s">
        <v>107</v>
      </c>
      <c r="BB22" s="266"/>
      <c r="BC22" s="21">
        <f>LOOKUP(BC5,Reference!$A$109:$A$113,IF(BC6="Greater Than 30 MPH",Reference!$F$109:$F$113,Reference!$E$109:$E$113))</f>
        <v>1.7999999999999999E-2</v>
      </c>
      <c r="BD22" s="29"/>
      <c r="BE22" s="264" t="s">
        <v>3</v>
      </c>
      <c r="BF22" s="263"/>
      <c r="BG22" s="56">
        <f>BL9</f>
        <v>0.13893701212275555</v>
      </c>
      <c r="BH22" s="18"/>
      <c r="BI22" s="18"/>
      <c r="BJ22" s="18"/>
      <c r="BK22" s="18"/>
      <c r="BL22" s="29"/>
    </row>
    <row r="23" spans="1:64" x14ac:dyDescent="0.25">
      <c r="A23" s="28"/>
      <c r="B23" s="18"/>
      <c r="C23" s="18"/>
      <c r="D23" s="18"/>
      <c r="E23" s="18"/>
      <c r="F23" s="18"/>
      <c r="G23" s="18"/>
      <c r="H23" s="18"/>
      <c r="I23" s="264" t="s">
        <v>4</v>
      </c>
      <c r="J23" s="263"/>
      <c r="K23" s="56">
        <f ca="1">K24+K25</f>
        <v>0.1691593714604793</v>
      </c>
      <c r="L23" s="18"/>
      <c r="M23" s="18"/>
      <c r="N23" s="18"/>
      <c r="O23" s="18"/>
      <c r="P23" s="29"/>
      <c r="Q23" s="28"/>
      <c r="R23" s="18"/>
      <c r="S23" s="18"/>
      <c r="T23" s="18"/>
      <c r="U23" s="18"/>
      <c r="V23" s="18"/>
      <c r="W23" s="18"/>
      <c r="X23" s="29"/>
      <c r="Y23" s="263" t="s">
        <v>21</v>
      </c>
      <c r="Z23" s="267"/>
      <c r="AA23" s="56">
        <f>AF9+AF11</f>
        <v>1.3767220189621994</v>
      </c>
      <c r="AB23" s="18"/>
      <c r="AC23" s="18"/>
      <c r="AD23" s="18"/>
      <c r="AE23" s="18"/>
      <c r="AF23" s="29"/>
      <c r="AG23" s="28"/>
      <c r="AH23" s="18"/>
      <c r="AI23" s="18"/>
      <c r="AJ23" s="18"/>
      <c r="AK23" s="18"/>
      <c r="AL23" s="18"/>
      <c r="AM23" s="38" t="s">
        <v>20</v>
      </c>
      <c r="AN23" s="62" t="s">
        <v>21</v>
      </c>
      <c r="AO23" s="28"/>
      <c r="AP23" s="18"/>
      <c r="AQ23" s="18"/>
      <c r="AR23" s="18"/>
      <c r="AS23" s="18"/>
      <c r="AT23" s="18"/>
      <c r="AU23" s="18"/>
      <c r="AV23" s="29"/>
      <c r="AW23" s="28"/>
      <c r="AX23" s="18"/>
      <c r="AY23" s="18"/>
      <c r="AZ23" s="18"/>
      <c r="BA23" s="18"/>
      <c r="BB23" s="18"/>
      <c r="BC23" s="18"/>
      <c r="BD23" s="29"/>
      <c r="BE23" s="264" t="s">
        <v>4</v>
      </c>
      <c r="BF23" s="263"/>
      <c r="BG23" s="56">
        <f>BG24+BG25</f>
        <v>8.6779009642614965E-2</v>
      </c>
      <c r="BH23" s="18"/>
      <c r="BI23" s="18"/>
      <c r="BJ23" s="18"/>
      <c r="BK23" s="18"/>
      <c r="BL23" s="29"/>
    </row>
    <row r="24" spans="1:64" x14ac:dyDescent="0.25">
      <c r="A24" s="264" t="s">
        <v>22</v>
      </c>
      <c r="B24" s="263"/>
      <c r="C24" s="56">
        <f>H8</f>
        <v>1.8652869502226623</v>
      </c>
      <c r="D24" s="18"/>
      <c r="E24" s="18"/>
      <c r="F24" s="18"/>
      <c r="G24" s="18"/>
      <c r="H24" s="18"/>
      <c r="I24" s="264" t="s">
        <v>5</v>
      </c>
      <c r="J24" s="263"/>
      <c r="K24" s="56">
        <f ca="1">P10</f>
        <v>7.0929527422596436E-2</v>
      </c>
      <c r="L24" s="18"/>
      <c r="M24" s="18"/>
      <c r="N24" s="18"/>
      <c r="O24" s="18"/>
      <c r="P24" s="29"/>
      <c r="Q24" s="264" t="s">
        <v>19</v>
      </c>
      <c r="R24" s="263"/>
      <c r="S24" s="20">
        <f>S25+S26</f>
        <v>0.95086281135362105</v>
      </c>
      <c r="T24" s="18"/>
      <c r="U24" s="18"/>
      <c r="V24" s="18"/>
      <c r="W24" s="18"/>
      <c r="X24" s="29"/>
      <c r="Y24" s="18"/>
      <c r="Z24" s="18"/>
      <c r="AA24" s="18"/>
      <c r="AB24" s="18"/>
      <c r="AC24" s="18"/>
      <c r="AD24" s="18"/>
      <c r="AE24" s="18"/>
      <c r="AF24" s="29"/>
      <c r="AG24" s="28" t="s">
        <v>84</v>
      </c>
      <c r="AH24" s="18" t="s">
        <v>85</v>
      </c>
      <c r="AI24" s="18"/>
      <c r="AJ24" s="18"/>
      <c r="AK24" s="18"/>
      <c r="AL24" s="18"/>
      <c r="AM24" s="46">
        <f>(1-AH5)+AH5*EXP(AI11/AJ5)</f>
        <v>1</v>
      </c>
      <c r="AN24" s="86">
        <f>(1-AH5)+AH5*EXP(AI12/AJ5)</f>
        <v>1</v>
      </c>
      <c r="AO24" s="28"/>
      <c r="AP24" s="18"/>
      <c r="AQ24" s="18"/>
      <c r="AR24" s="18"/>
      <c r="AS24" s="18"/>
      <c r="AT24" s="18"/>
      <c r="AU24" s="18"/>
      <c r="AV24" s="29"/>
      <c r="AW24" s="264" t="s">
        <v>344</v>
      </c>
      <c r="AX24" s="263"/>
      <c r="AY24" s="56">
        <f>BD8</f>
        <v>2.2674258073360116</v>
      </c>
      <c r="AZ24" s="18"/>
      <c r="BA24" s="263" t="s">
        <v>347</v>
      </c>
      <c r="BB24" s="267"/>
      <c r="BC24" s="56">
        <f>(SUMPRODUCT(AY16:AY19,AZ16:AZ19)+SUMPRODUCT(BC16:BC18,BD16:BD18))*(AX5/15000)^BD19</f>
        <v>0</v>
      </c>
      <c r="BD24" s="29"/>
      <c r="BE24" s="264" t="s">
        <v>5</v>
      </c>
      <c r="BF24" s="263"/>
      <c r="BG24" s="56">
        <f>BL10</f>
        <v>3.3138203880719988E-2</v>
      </c>
      <c r="BH24" s="18"/>
      <c r="BI24" s="18"/>
      <c r="BJ24" s="18"/>
      <c r="BK24" s="18"/>
      <c r="BL24" s="29"/>
    </row>
    <row r="25" spans="1:64" x14ac:dyDescent="0.25">
      <c r="A25" s="264" t="s">
        <v>2</v>
      </c>
      <c r="B25" s="263"/>
      <c r="C25" s="56">
        <f>H8*(H9/(H9+H10))</f>
        <v>0.67646218136816849</v>
      </c>
      <c r="D25" s="18"/>
      <c r="E25" s="263" t="s">
        <v>115</v>
      </c>
      <c r="F25" s="267"/>
      <c r="G25" s="56">
        <f ca="1">IF(C22="-",EXP(C20+D20*LN(B5+D5)+E20*LN(D5/B5)+F20*LN(B17)+G20*D17),G51*C22)</f>
        <v>1.4226668898501342E-2</v>
      </c>
      <c r="H25" s="18"/>
      <c r="I25" s="264" t="s">
        <v>6</v>
      </c>
      <c r="J25" s="263"/>
      <c r="K25" s="56">
        <f>P11</f>
        <v>9.822984403788286E-2</v>
      </c>
      <c r="L25" s="18"/>
      <c r="M25" s="18"/>
      <c r="N25" s="18"/>
      <c r="O25" s="18"/>
      <c r="P25" s="29"/>
      <c r="Q25" s="264" t="s">
        <v>20</v>
      </c>
      <c r="R25" s="263"/>
      <c r="S25" s="20">
        <f>X8</f>
        <v>0.22902618854511886</v>
      </c>
      <c r="T25" s="18"/>
      <c r="U25" s="18"/>
      <c r="V25" s="18"/>
      <c r="W25" s="18"/>
      <c r="X25" s="29"/>
      <c r="Y25" s="18"/>
      <c r="Z25" s="18"/>
      <c r="AA25" s="18"/>
      <c r="AB25" s="18"/>
      <c r="AC25" s="18"/>
      <c r="AD25" s="18"/>
      <c r="AE25" s="18"/>
      <c r="AF25" s="29"/>
      <c r="AG25" s="28" t="s">
        <v>86</v>
      </c>
      <c r="AH25" s="18" t="s">
        <v>87</v>
      </c>
      <c r="AI25" s="18"/>
      <c r="AJ25" s="18"/>
      <c r="AK25" s="18"/>
      <c r="AL25" s="18"/>
      <c r="AM25" s="46">
        <f>(1-AH6)+AH6*EXP(AI11/AJ6)</f>
        <v>1</v>
      </c>
      <c r="AN25" s="86">
        <f>(1-AH6)+AH6*EXP(AI12/AJ6)</f>
        <v>1</v>
      </c>
      <c r="AO25" s="28"/>
      <c r="AP25" s="18"/>
      <c r="AQ25" s="18"/>
      <c r="AR25" s="18"/>
      <c r="AS25" s="18"/>
      <c r="AT25" s="18"/>
      <c r="AU25" s="18"/>
      <c r="AV25" s="29"/>
      <c r="AW25" s="264" t="s">
        <v>224</v>
      </c>
      <c r="AX25" s="263"/>
      <c r="AY25" s="56">
        <f>BD8*(BD9/(BD9+BD10))</f>
        <v>0.661753651164811</v>
      </c>
      <c r="AZ25" s="18"/>
      <c r="BA25" s="263" t="s">
        <v>226</v>
      </c>
      <c r="BB25" s="267"/>
      <c r="BC25" s="56">
        <f>BC24*BD25</f>
        <v>0</v>
      </c>
      <c r="BD25" s="106">
        <f>LOOKUP(BC5,Reference!$A$101:$A$105,Reference!$K$101:$K$105)</f>
        <v>0.32300000000000001</v>
      </c>
      <c r="BE25" s="264" t="s">
        <v>6</v>
      </c>
      <c r="BF25" s="263"/>
      <c r="BG25" s="56">
        <f>BL11</f>
        <v>5.3640805761894977E-2</v>
      </c>
      <c r="BH25" s="18"/>
      <c r="BI25" s="18"/>
      <c r="BJ25" s="18"/>
      <c r="BK25" s="18"/>
      <c r="BL25" s="29"/>
    </row>
    <row r="26" spans="1:64" x14ac:dyDescent="0.25">
      <c r="A26" s="264" t="s">
        <v>3</v>
      </c>
      <c r="B26" s="263"/>
      <c r="C26" s="56">
        <f>C24-C25</f>
        <v>1.1888247688544937</v>
      </c>
      <c r="D26" s="18"/>
      <c r="E26" s="18"/>
      <c r="F26" s="18"/>
      <c r="G26" s="18"/>
      <c r="H26" s="18"/>
      <c r="I26" s="28"/>
      <c r="J26" s="18"/>
      <c r="K26" s="18"/>
      <c r="L26" s="18"/>
      <c r="M26" s="18"/>
      <c r="N26" s="18"/>
      <c r="O26" s="18"/>
      <c r="P26" s="29"/>
      <c r="Q26" s="264" t="s">
        <v>21</v>
      </c>
      <c r="R26" s="267"/>
      <c r="S26" s="20">
        <f>X9</f>
        <v>0.72183662280850225</v>
      </c>
      <c r="T26" s="18"/>
      <c r="U26" s="18"/>
      <c r="V26" s="18"/>
      <c r="W26" s="18"/>
      <c r="X26" s="29"/>
      <c r="Y26" s="55"/>
      <c r="Z26" s="273" t="s">
        <v>46</v>
      </c>
      <c r="AA26" s="273"/>
      <c r="AB26" s="273"/>
      <c r="AC26" s="273"/>
      <c r="AD26" s="273"/>
      <c r="AE26" s="62" t="s">
        <v>20</v>
      </c>
      <c r="AF26" s="36" t="s">
        <v>21</v>
      </c>
      <c r="AG26" s="28"/>
      <c r="AH26" s="18"/>
      <c r="AI26" s="18"/>
      <c r="AJ26" s="18"/>
      <c r="AK26" s="18"/>
      <c r="AL26" s="18"/>
      <c r="AM26" s="18"/>
      <c r="AN26" s="18"/>
      <c r="AO26" s="28"/>
      <c r="AP26" s="18"/>
      <c r="AQ26" s="18"/>
      <c r="AR26" s="18"/>
      <c r="AS26" s="18"/>
      <c r="AT26" s="18"/>
      <c r="AU26" s="18"/>
      <c r="AV26" s="29"/>
      <c r="AW26" s="264" t="s">
        <v>225</v>
      </c>
      <c r="AX26" s="263"/>
      <c r="AY26" s="56">
        <f>AY24-AY25</f>
        <v>1.6056721561712006</v>
      </c>
      <c r="AZ26" s="18"/>
      <c r="BA26" s="263" t="s">
        <v>227</v>
      </c>
      <c r="BB26" s="267"/>
      <c r="BC26" s="56">
        <f>BD26*BC24</f>
        <v>0</v>
      </c>
      <c r="BD26" s="106">
        <f>1-BD25</f>
        <v>0.67700000000000005</v>
      </c>
      <c r="BE26" s="28"/>
      <c r="BF26" s="18"/>
      <c r="BG26" s="18"/>
      <c r="BH26" s="18"/>
      <c r="BI26" s="18"/>
      <c r="BJ26" s="18"/>
      <c r="BK26" s="18"/>
      <c r="BL26" s="29"/>
    </row>
    <row r="27" spans="1:64" ht="15" customHeight="1" x14ac:dyDescent="0.25">
      <c r="A27" s="264" t="s">
        <v>4</v>
      </c>
      <c r="B27" s="263"/>
      <c r="C27" s="56">
        <f>H11</f>
        <v>0.18401852476903252</v>
      </c>
      <c r="D27" s="18"/>
      <c r="E27" s="18"/>
      <c r="F27" s="18"/>
      <c r="G27" s="18"/>
      <c r="H27" s="18"/>
      <c r="I27" s="264" t="s">
        <v>19</v>
      </c>
      <c r="J27" s="263"/>
      <c r="K27" s="56">
        <f ca="1">K28+K29</f>
        <v>0.18558468394101718</v>
      </c>
      <c r="L27" s="18"/>
      <c r="M27" s="18"/>
      <c r="N27" s="18"/>
      <c r="O27" s="18"/>
      <c r="P27" s="29"/>
      <c r="Q27" s="28"/>
      <c r="R27" s="18"/>
      <c r="S27" s="18"/>
      <c r="T27" s="18"/>
      <c r="U27" s="18"/>
      <c r="V27" s="18"/>
      <c r="W27" s="18"/>
      <c r="X27" s="29"/>
      <c r="Y27" s="115">
        <v>1</v>
      </c>
      <c r="Z27" s="306" t="s">
        <v>341</v>
      </c>
      <c r="AA27" s="306"/>
      <c r="AB27" s="306"/>
      <c r="AC27" s="306"/>
      <c r="AD27" s="306"/>
      <c r="AE27" s="60">
        <v>1</v>
      </c>
      <c r="AF27" s="61">
        <v>1</v>
      </c>
      <c r="AG27" s="28" t="s">
        <v>88</v>
      </c>
      <c r="AH27" s="296" t="s">
        <v>89</v>
      </c>
      <c r="AI27" s="296"/>
      <c r="AJ27" s="296"/>
      <c r="AK27" s="296"/>
      <c r="AL27" s="296"/>
      <c r="AM27" s="44">
        <f>((1+(EXP(-AJ11*AL5+AL11*LN(AK11*AH7)))/(AJ11*AH8))*(1-EXP(-AJ11*AH8)))*((1+(EXP(-AJ11*AN6+AL11*LN(AK11*AN7)))/(AJ11*AH8))*(1-EXP(-AJ11*AH8)))</f>
        <v>1.0716743357448117</v>
      </c>
      <c r="AN27" s="87">
        <f>((1+(EXP(-AJ12*AL5+AL12*LN(AK12*AH7)))/(AJ12*AH8))*(1-EXP(-AJ12*AH8)))*((1+(EXP(-AJ12*AN6+AL12*LN(AK12*AN7)))/(AJ12*AH8))*(1-EXP(-AJ12*AH8)))</f>
        <v>1.0645178165967635</v>
      </c>
      <c r="AO27" s="28"/>
      <c r="AP27" s="18"/>
      <c r="AQ27" s="18"/>
      <c r="AR27" s="18"/>
      <c r="AS27" s="18"/>
      <c r="AT27" s="18"/>
      <c r="AU27" s="18"/>
      <c r="AV27" s="29"/>
      <c r="AW27" s="264" t="s">
        <v>4</v>
      </c>
      <c r="AX27" s="263"/>
      <c r="AY27" s="56">
        <f>BD11</f>
        <v>0.88356984170101416</v>
      </c>
      <c r="AZ27" s="18"/>
      <c r="BA27" s="18"/>
      <c r="BB27" s="18"/>
      <c r="BC27" s="18"/>
      <c r="BD27" s="29"/>
      <c r="BE27" s="264" t="s">
        <v>19</v>
      </c>
      <c r="BF27" s="263"/>
      <c r="BG27" s="56">
        <f>BG28+BG29</f>
        <v>0.27859789222286729</v>
      </c>
      <c r="BH27" s="18"/>
      <c r="BI27" s="18"/>
      <c r="BJ27" s="18"/>
      <c r="BK27" s="18"/>
      <c r="BL27" s="29"/>
    </row>
    <row r="28" spans="1:64" x14ac:dyDescent="0.25">
      <c r="A28" s="264" t="s">
        <v>5</v>
      </c>
      <c r="B28" s="263"/>
      <c r="C28" s="56">
        <f>IF(C12=0,H12,H11*(H12/(H12+H13)))</f>
        <v>5.336107989667279E-2</v>
      </c>
      <c r="D28" s="18"/>
      <c r="E28" s="263" t="s">
        <v>116</v>
      </c>
      <c r="F28" s="267"/>
      <c r="G28" s="56">
        <f>G51*G22</f>
        <v>1.2277614387010428E-2</v>
      </c>
      <c r="H28" s="18"/>
      <c r="I28" s="264" t="s">
        <v>20</v>
      </c>
      <c r="J28" s="263"/>
      <c r="K28" s="56">
        <f ca="1">P8+P10</f>
        <v>7.4444601383871212E-2</v>
      </c>
      <c r="L28" s="18"/>
      <c r="M28" s="18"/>
      <c r="N28" s="18"/>
      <c r="O28" s="18"/>
      <c r="P28" s="29"/>
      <c r="Q28" s="28"/>
      <c r="R28" s="18"/>
      <c r="S28" s="18"/>
      <c r="T28" s="18"/>
      <c r="U28" s="18"/>
      <c r="V28" s="18"/>
      <c r="W28" s="18"/>
      <c r="X28" s="29"/>
      <c r="Y28" s="115">
        <v>2</v>
      </c>
      <c r="Z28" s="286" t="s">
        <v>200</v>
      </c>
      <c r="AA28" s="287"/>
      <c r="AB28" s="287"/>
      <c r="AC28" s="288"/>
      <c r="AD28" s="79">
        <v>13</v>
      </c>
      <c r="AE28" s="60">
        <f>IF(AD28&gt;=13,0.963,EXP(-0.0376*(AD28-12)))</f>
        <v>0.96299999999999997</v>
      </c>
      <c r="AF28" s="61">
        <v>1</v>
      </c>
      <c r="AG28" s="28"/>
      <c r="AH28" s="296"/>
      <c r="AI28" s="296"/>
      <c r="AJ28" s="296"/>
      <c r="AK28" s="296"/>
      <c r="AL28" s="296"/>
      <c r="AM28" s="45"/>
      <c r="AN28" s="18"/>
      <c r="AO28" s="28"/>
      <c r="AP28" s="18"/>
      <c r="AQ28" s="18"/>
      <c r="AR28" s="18"/>
      <c r="AS28" s="18"/>
      <c r="AT28" s="18"/>
      <c r="AU28" s="18"/>
      <c r="AV28" s="29"/>
      <c r="AW28" s="264" t="s">
        <v>5</v>
      </c>
      <c r="AX28" s="263"/>
      <c r="AY28" s="56">
        <f>IF(AY12=0,BD12,BD11*(BD12/(BD12+BD13)))</f>
        <v>0.17985916551433284</v>
      </c>
      <c r="AZ28" s="18"/>
      <c r="BA28" s="263" t="s">
        <v>115</v>
      </c>
      <c r="BB28" s="267"/>
      <c r="BC28" s="56">
        <f>BC51*AY22</f>
        <v>9.2802387724916044E-2</v>
      </c>
      <c r="BD28" s="29"/>
      <c r="BE28" s="264" t="s">
        <v>20</v>
      </c>
      <c r="BF28" s="263"/>
      <c r="BG28" s="56">
        <f>BL8+BL10</f>
        <v>8.6020074338216762E-2</v>
      </c>
      <c r="BH28" s="18"/>
      <c r="BI28" s="18"/>
      <c r="BJ28" s="18"/>
      <c r="BK28" s="18"/>
      <c r="BL28" s="29"/>
    </row>
    <row r="29" spans="1:64" x14ac:dyDescent="0.25">
      <c r="A29" s="264" t="s">
        <v>6</v>
      </c>
      <c r="B29" s="263"/>
      <c r="C29" s="56">
        <f>C27-C28</f>
        <v>0.13065744487235972</v>
      </c>
      <c r="D29" s="18"/>
      <c r="E29" s="18"/>
      <c r="F29" s="18"/>
      <c r="G29" s="18"/>
      <c r="H29" s="18"/>
      <c r="I29" s="264" t="s">
        <v>21</v>
      </c>
      <c r="J29" s="267"/>
      <c r="K29" s="56">
        <f>P9+P11</f>
        <v>0.11114008255714597</v>
      </c>
      <c r="L29" s="18"/>
      <c r="M29" s="18"/>
      <c r="N29" s="18"/>
      <c r="O29" s="18"/>
      <c r="P29" s="29"/>
      <c r="Q29" s="35"/>
      <c r="R29" s="273" t="s">
        <v>46</v>
      </c>
      <c r="S29" s="273"/>
      <c r="T29" s="273"/>
      <c r="U29" s="273"/>
      <c r="V29" s="273"/>
      <c r="W29" s="115" t="s">
        <v>20</v>
      </c>
      <c r="X29" s="36" t="s">
        <v>21</v>
      </c>
      <c r="Y29" s="115">
        <v>3</v>
      </c>
      <c r="Z29" s="286" t="s">
        <v>208</v>
      </c>
      <c r="AA29" s="287"/>
      <c r="AB29" s="287"/>
      <c r="AC29" s="288"/>
      <c r="AD29" s="77">
        <v>13</v>
      </c>
      <c r="AE29" s="60">
        <f>EXP(-0.0172*(AD29-6))</f>
        <v>0.88656573948664608</v>
      </c>
      <c r="AF29" s="61">
        <f>EXP(-0.0153*(AD29-6))</f>
        <v>0.89843582491548513</v>
      </c>
      <c r="AG29" s="28"/>
      <c r="AH29" s="18"/>
      <c r="AI29" s="18"/>
      <c r="AJ29" s="18"/>
      <c r="AK29" s="18"/>
      <c r="AL29" s="18"/>
      <c r="AM29" s="18"/>
      <c r="AN29" s="18"/>
      <c r="AO29" s="35"/>
      <c r="AP29" s="273" t="s">
        <v>46</v>
      </c>
      <c r="AQ29" s="273"/>
      <c r="AR29" s="273"/>
      <c r="AS29" s="273"/>
      <c r="AT29" s="273"/>
      <c r="AU29" s="115" t="s">
        <v>20</v>
      </c>
      <c r="AV29" s="36" t="s">
        <v>21</v>
      </c>
      <c r="AW29" s="264" t="s">
        <v>6</v>
      </c>
      <c r="AX29" s="263"/>
      <c r="AY29" s="56">
        <f>AY27-AY28</f>
        <v>0.70371067618668137</v>
      </c>
      <c r="AZ29" s="18"/>
      <c r="BA29" s="263" t="s">
        <v>116</v>
      </c>
      <c r="BB29" s="267"/>
      <c r="BC29" s="56">
        <f>BC51*BC22</f>
        <v>4.6401193862458022E-2</v>
      </c>
      <c r="BD29" s="29"/>
      <c r="BE29" s="264" t="s">
        <v>21</v>
      </c>
      <c r="BF29" s="267"/>
      <c r="BG29" s="56">
        <f>BL9+BL11</f>
        <v>0.19257781788465053</v>
      </c>
      <c r="BH29" s="18"/>
      <c r="BI29" s="18"/>
      <c r="BJ29" s="18"/>
      <c r="BK29" s="18"/>
      <c r="BL29" s="29"/>
    </row>
    <row r="30" spans="1:64" ht="15" customHeight="1" x14ac:dyDescent="0.25">
      <c r="A30" s="28"/>
      <c r="B30" s="18"/>
      <c r="C30" s="18"/>
      <c r="D30" s="18"/>
      <c r="E30" s="18"/>
      <c r="F30" s="18"/>
      <c r="G30" s="18"/>
      <c r="H30" s="18"/>
      <c r="I30" s="28"/>
      <c r="J30" s="18"/>
      <c r="K30" s="18"/>
      <c r="L30" s="18"/>
      <c r="M30" s="18"/>
      <c r="N30" s="18"/>
      <c r="O30" s="18"/>
      <c r="P30" s="29"/>
      <c r="Q30" s="116">
        <v>1</v>
      </c>
      <c r="R30" s="268" t="s">
        <v>286</v>
      </c>
      <c r="S30" s="268"/>
      <c r="T30" s="268"/>
      <c r="U30" s="268"/>
      <c r="V30" s="268"/>
      <c r="W30" s="60">
        <f>IF(OR(W5="1 (Merge, 4 Through Lanes)",W5="2 (Merge, 6 Through Lanes)"),EXP(S14*IF(T6="Left",1,0)+T14/T5+V14*LN(U14*R6)),EXP(S14*IF(T6="Left",1,0)+T14/T5))</f>
        <v>1.3743762612275612</v>
      </c>
      <c r="X30" s="61">
        <f>IF(OR(W5="1 (Merge, 4 Through Lanes)",W5="2 (Merge, 6 Through Lanes)"),EXP(S15*IF(T6="Left",1,0)+T15/T5+V15*LN(U15*R6)),EXP(S15*IF(T6="Left",1,0)+T15/T5))</f>
        <v>1.2865960372848406</v>
      </c>
      <c r="Y30" s="115">
        <v>5</v>
      </c>
      <c r="Z30" s="286" t="s">
        <v>210</v>
      </c>
      <c r="AA30" s="287"/>
      <c r="AB30" s="288"/>
      <c r="AC30" s="76">
        <v>0.5</v>
      </c>
      <c r="AD30" s="78">
        <v>13</v>
      </c>
      <c r="AE30" s="60">
        <f>(1-AC30)+AC30*EXP(0.131/AD30)</f>
        <v>1.0050639331196289</v>
      </c>
      <c r="AF30" s="61">
        <f>(1-AC30)+AC30*EXP(0.169/AD30)</f>
        <v>1.0065424336799045</v>
      </c>
      <c r="AG30" s="28" t="s">
        <v>90</v>
      </c>
      <c r="AH30" s="296" t="s">
        <v>91</v>
      </c>
      <c r="AI30" s="296"/>
      <c r="AJ30" s="296"/>
      <c r="AK30" s="296"/>
      <c r="AL30" s="296"/>
      <c r="AM30" s="44">
        <f>((1+(EXP(-AJ11*AN5+AL11*LN(AK11*AL7)))/(AJ11*AH8))*(1-EXP(-AJ11*AH8)))*((1+(EXP(-AJ11*AL6+AL11*LN(AK11*AJ7)))/(AJ11*AH8))*(1-EXP(-AJ11*AH8)))</f>
        <v>1.068617545755145</v>
      </c>
      <c r="AN30" s="87">
        <f>((1+(EXP(-AJ12*AN5+AL12*LN(AK12*AL7)))/(AJ12*AH8))*(1-EXP(-AJ12*AH8)))*((1+(EXP(-AJ12*AL6+AL12*LN(AK12*AJ7)))/(AJ12*AH8))*(1-EXP(-AJ12*AH8)))</f>
        <v>1.0613837686389982</v>
      </c>
      <c r="AO30" s="124">
        <v>10</v>
      </c>
      <c r="AP30" s="289" t="s">
        <v>175</v>
      </c>
      <c r="AQ30" s="290"/>
      <c r="AR30" s="291"/>
      <c r="AS30" s="125">
        <v>1</v>
      </c>
      <c r="AT30" s="118" t="s">
        <v>176</v>
      </c>
      <c r="AU30" s="60">
        <f>(1-(AP6/SUM(AP6:AP9)))+(AP6/SUM(AP6:AP9))*EXP(IF(AS9="Signalized",0.0668,0.151)*(0.001*AP6)/IF(AT30="Merge/Freeflow",0.5*(AS30-1)+1,0.5*AS30))</f>
        <v>1.1529240919172521</v>
      </c>
      <c r="AV30" s="61">
        <f>(1-(AP6/SUM(AP6:AP9)))+(AP6/SUM(AP6:AP9))*EXP(IF(AS9="Signalized",0.0668,0.151)*(0.001*AP6)/IF(AT30="Merge/Freeflow",0.5*(AS30-1)+1,0.5*AS30))</f>
        <v>1.1529240919172521</v>
      </c>
      <c r="AW30" s="28"/>
      <c r="AX30" s="18"/>
      <c r="AY30" s="18"/>
      <c r="AZ30" s="18"/>
      <c r="BA30" s="18"/>
      <c r="BB30" s="18"/>
      <c r="BC30" s="18"/>
      <c r="BD30" s="29"/>
      <c r="BE30" s="28"/>
      <c r="BF30" s="18"/>
      <c r="BG30" s="18"/>
      <c r="BH30" s="18"/>
      <c r="BI30" s="18"/>
      <c r="BJ30" s="18"/>
      <c r="BK30" s="18"/>
      <c r="BL30" s="29"/>
    </row>
    <row r="31" spans="1:64" x14ac:dyDescent="0.25">
      <c r="A31" s="264" t="s">
        <v>112</v>
      </c>
      <c r="B31" s="263"/>
      <c r="C31" s="56">
        <f>C24+C27</f>
        <v>2.0493054749916948</v>
      </c>
      <c r="D31" s="18"/>
      <c r="E31" s="18"/>
      <c r="F31" s="18"/>
      <c r="G31" s="18"/>
      <c r="H31" s="18"/>
      <c r="I31" s="28"/>
      <c r="J31" s="18"/>
      <c r="K31" s="18"/>
      <c r="L31" s="18"/>
      <c r="M31" s="18"/>
      <c r="N31" s="18"/>
      <c r="O31" s="18"/>
      <c r="P31" s="29"/>
      <c r="Q31" s="116">
        <v>2</v>
      </c>
      <c r="R31" s="268"/>
      <c r="S31" s="268"/>
      <c r="T31" s="268"/>
      <c r="U31" s="268"/>
      <c r="V31" s="268"/>
      <c r="W31" s="118"/>
      <c r="X31" s="119"/>
      <c r="Y31" s="115" t="s">
        <v>214</v>
      </c>
      <c r="Z31" s="268"/>
      <c r="AA31" s="268"/>
      <c r="AB31" s="268"/>
      <c r="AC31" s="268"/>
      <c r="AD31" s="268"/>
      <c r="AE31" s="60"/>
      <c r="AF31" s="61"/>
      <c r="AG31" s="28"/>
      <c r="AH31" s="296"/>
      <c r="AI31" s="296"/>
      <c r="AJ31" s="296"/>
      <c r="AK31" s="296"/>
      <c r="AL31" s="296"/>
      <c r="AM31" s="18"/>
      <c r="AN31" s="18"/>
      <c r="AO31" s="299">
        <v>11</v>
      </c>
      <c r="AP31" s="268" t="s">
        <v>178</v>
      </c>
      <c r="AQ31" s="268"/>
      <c r="AR31" s="268"/>
      <c r="AS31" s="268"/>
      <c r="AT31" s="118" t="s">
        <v>132</v>
      </c>
      <c r="AU31" s="60">
        <f>IF(AT31="Present",(1-(AP8/SUM(AP6:AP9)))+(AP8/SUM(AP6:AP9))*IF(AS9="Signalized",IF(AS5="Rural",0.44,0.65),IF(AS5="Rural",0.36,0.59)),1)</f>
        <v>0.90538461538461534</v>
      </c>
      <c r="AV31" s="61">
        <f>IF(AT31="Present",(1-(AP8/SUM(AP6:AP9)))+(AP8/SUM(AP6:AP9))*IF(AS9="Signalized",IF(AS5="Rural",0.66,0.68),IF(AS5="Rural",0.55,0.58)),1)</f>
        <v>0.903076923076923</v>
      </c>
      <c r="AW31" s="264" t="s">
        <v>112</v>
      </c>
      <c r="AX31" s="263"/>
      <c r="AY31" s="56">
        <f>AY24+AY27+BC24</f>
        <v>3.1509956490370259</v>
      </c>
      <c r="AZ31" s="18"/>
      <c r="BA31" s="18"/>
      <c r="BB31" s="18"/>
      <c r="BC31" s="18"/>
      <c r="BD31" s="29"/>
      <c r="BE31" s="28"/>
      <c r="BF31" s="18"/>
      <c r="BG31" s="18"/>
      <c r="BH31" s="18"/>
      <c r="BI31" s="18"/>
      <c r="BJ31" s="18"/>
      <c r="BK31" s="18"/>
      <c r="BL31" s="29"/>
    </row>
    <row r="32" spans="1:64" x14ac:dyDescent="0.25">
      <c r="A32" s="264" t="s">
        <v>113</v>
      </c>
      <c r="B32" s="263"/>
      <c r="C32" s="56">
        <f>C25+C28</f>
        <v>0.72982326126484132</v>
      </c>
      <c r="D32" s="18"/>
      <c r="E32" s="18"/>
      <c r="F32" s="18"/>
      <c r="G32" s="18"/>
      <c r="H32" s="18"/>
      <c r="I32" s="35"/>
      <c r="J32" s="273" t="s">
        <v>212</v>
      </c>
      <c r="K32" s="273"/>
      <c r="L32" s="273"/>
      <c r="M32" s="273"/>
      <c r="N32" s="273"/>
      <c r="O32" s="115" t="s">
        <v>20</v>
      </c>
      <c r="P32" s="36" t="s">
        <v>21</v>
      </c>
      <c r="Q32" s="116">
        <v>3</v>
      </c>
      <c r="R32" s="268"/>
      <c r="S32" s="268"/>
      <c r="T32" s="268"/>
      <c r="U32" s="268"/>
      <c r="V32" s="268"/>
      <c r="W32" s="118"/>
      <c r="X32" s="119"/>
      <c r="Y32" s="115"/>
      <c r="Z32" s="302"/>
      <c r="AA32" s="302"/>
      <c r="AB32" s="302"/>
      <c r="AC32" s="302"/>
      <c r="AD32" s="302"/>
      <c r="AE32" s="22">
        <f>IF(AE27=0,1,AE27)*IF(AE28=0,1,AE28)*IF(AE29=0,1,AE29)*IF(AE30=0,1,AE30)*IF(AE31=0,1,AE31)</f>
        <v>0.858086204880951</v>
      </c>
      <c r="AF32" s="37">
        <f>IF(AF27=0,1,AF27)*IF(AF28=0,1,AF28)*IF(AF29=0,1,AF29)*IF(AF30=0,1,AF30)*IF(AF31=0,1,AF31)</f>
        <v>0.90431378171564492</v>
      </c>
      <c r="AG32" s="28"/>
      <c r="AH32" s="18"/>
      <c r="AI32" s="18"/>
      <c r="AJ32" s="18"/>
      <c r="AK32" s="18"/>
      <c r="AL32" s="18"/>
      <c r="AM32" s="18"/>
      <c r="AN32" s="18"/>
      <c r="AO32" s="299"/>
      <c r="AP32" s="268" t="s">
        <v>177</v>
      </c>
      <c r="AQ32" s="268"/>
      <c r="AR32" s="268"/>
      <c r="AS32" s="268"/>
      <c r="AT32" s="118" t="s">
        <v>133</v>
      </c>
      <c r="AU32" s="60">
        <f>IF(AT32="Present",(1-(AP9/SUM(AP6:AP9)))+(AP9/SUM(AP6:AP9))*IF(AS9="Signalized",IF(AS5="Rural",0.44,0.65),IF(AS5="Rural",0.36,0.59)),1)</f>
        <v>1</v>
      </c>
      <c r="AV32" s="61">
        <f>IF(AT32="Present",(1-(AP9/SUM(AP6:AP9)))+(AP9/SUM(AP6:AP9))*IF(AS9="Signalized",IF(AS5="Rural",0.66,0.68),IF(AS5="Rural",0.55,0.58)),1)</f>
        <v>1</v>
      </c>
      <c r="AW32" s="264" t="s">
        <v>113</v>
      </c>
      <c r="AX32" s="263"/>
      <c r="AY32" s="56">
        <f>AY25+AY28+BC25</f>
        <v>0.84161281667914389</v>
      </c>
      <c r="AZ32" s="18"/>
      <c r="BA32" s="18"/>
      <c r="BB32" s="18"/>
      <c r="BC32" s="18"/>
      <c r="BD32" s="29"/>
      <c r="BE32" s="35"/>
      <c r="BF32" s="273" t="s">
        <v>212</v>
      </c>
      <c r="BG32" s="273"/>
      <c r="BH32" s="273"/>
      <c r="BI32" s="273"/>
      <c r="BJ32" s="273"/>
      <c r="BK32" s="164" t="s">
        <v>20</v>
      </c>
      <c r="BL32" s="36" t="s">
        <v>21</v>
      </c>
    </row>
    <row r="33" spans="1:64" x14ac:dyDescent="0.25">
      <c r="A33" s="264" t="s">
        <v>114</v>
      </c>
      <c r="B33" s="263"/>
      <c r="C33" s="56">
        <f>C26+C29</f>
        <v>1.3194822137268534</v>
      </c>
      <c r="D33" s="18"/>
      <c r="E33" s="18"/>
      <c r="F33" s="18"/>
      <c r="G33" s="18"/>
      <c r="H33" s="18"/>
      <c r="I33" s="116">
        <v>1</v>
      </c>
      <c r="J33" s="272" t="s">
        <v>199</v>
      </c>
      <c r="K33" s="272"/>
      <c r="L33" s="272"/>
      <c r="M33" s="272"/>
      <c r="N33" s="272"/>
      <c r="O33" s="60">
        <v>1</v>
      </c>
      <c r="P33" s="61">
        <v>1</v>
      </c>
      <c r="Q33" s="116">
        <v>4</v>
      </c>
      <c r="R33" s="268"/>
      <c r="S33" s="268"/>
      <c r="T33" s="268"/>
      <c r="U33" s="268"/>
      <c r="V33" s="268"/>
      <c r="W33" s="118"/>
      <c r="X33" s="119"/>
      <c r="Y33" s="115"/>
      <c r="Z33" s="273" t="s">
        <v>213</v>
      </c>
      <c r="AA33" s="273"/>
      <c r="AB33" s="273"/>
      <c r="AC33" s="273"/>
      <c r="AD33" s="273"/>
      <c r="AE33" s="62" t="s">
        <v>20</v>
      </c>
      <c r="AF33" s="36" t="s">
        <v>21</v>
      </c>
      <c r="AG33" s="28" t="s">
        <v>92</v>
      </c>
      <c r="AH33" s="18" t="s">
        <v>93</v>
      </c>
      <c r="AI33" s="18"/>
      <c r="AJ33" s="18"/>
      <c r="AK33" s="18"/>
      <c r="AL33" s="18"/>
      <c r="AM33" s="20">
        <f>(0.5*AM24*AM27)+(0.5*AM25*AM30)</f>
        <v>1.0701459407499785</v>
      </c>
      <c r="AN33" s="88">
        <f>(0.5*AN24*AN27)+(0.5*AN25*AN30)</f>
        <v>1.0629507926178809</v>
      </c>
      <c r="AO33" s="299">
        <v>12</v>
      </c>
      <c r="AP33" s="268" t="s">
        <v>221</v>
      </c>
      <c r="AQ33" s="268"/>
      <c r="AR33" s="268"/>
      <c r="AS33" s="268"/>
      <c r="AT33" s="118" t="s">
        <v>133</v>
      </c>
      <c r="AU33" s="60">
        <f>IF(AT33="Present",(1-(AP8/SUM(AP6:AP9)))+(AP8/SUM(AP6:AP9))*IF(AS9="Signalized",IF(AS5="Rural",0.59,0.76),IF(AS5="Rural",0.76,0.87)),1)</f>
        <v>1</v>
      </c>
      <c r="AV33" s="61">
        <f>IF(AT33="Present",(1-(AP8/SUM(AP6:AP9)))+(AP8/SUM(AP6:AP9))*IF(AS9="Signalized",IF(AS5="Rural",0.97,0.94),IF(AS5="Rural",0.63,0.69)),1)</f>
        <v>1</v>
      </c>
      <c r="AW33" s="264" t="s">
        <v>114</v>
      </c>
      <c r="AX33" s="263"/>
      <c r="AY33" s="56">
        <f>AY26+AY29+BC26</f>
        <v>2.309382832357882</v>
      </c>
      <c r="AZ33" s="18"/>
      <c r="BA33" s="18"/>
      <c r="BB33" s="18"/>
      <c r="BC33" s="18"/>
      <c r="BD33" s="29"/>
      <c r="BE33" s="168">
        <v>1</v>
      </c>
      <c r="BF33" s="272" t="s">
        <v>199</v>
      </c>
      <c r="BG33" s="272"/>
      <c r="BH33" s="272"/>
      <c r="BI33" s="272"/>
      <c r="BJ33" s="272"/>
      <c r="BK33" s="60">
        <v>1</v>
      </c>
      <c r="BL33" s="61">
        <v>1</v>
      </c>
    </row>
    <row r="34" spans="1:64" x14ac:dyDescent="0.25">
      <c r="A34" s="28"/>
      <c r="B34" s="18"/>
      <c r="C34" s="18"/>
      <c r="D34" s="18"/>
      <c r="E34" s="18"/>
      <c r="F34" s="18"/>
      <c r="G34" s="18"/>
      <c r="H34" s="18"/>
      <c r="I34" s="116">
        <v>2</v>
      </c>
      <c r="J34" s="289" t="s">
        <v>200</v>
      </c>
      <c r="K34" s="290"/>
      <c r="L34" s="290"/>
      <c r="M34" s="291"/>
      <c r="N34" s="69">
        <v>13</v>
      </c>
      <c r="O34" s="60">
        <f>EXP(-0.458*(N34-14))</f>
        <v>1.5809090030614199</v>
      </c>
      <c r="P34" s="61">
        <v>1</v>
      </c>
      <c r="Q34" s="116">
        <v>5</v>
      </c>
      <c r="R34" s="268"/>
      <c r="S34" s="268"/>
      <c r="T34" s="268"/>
      <c r="U34" s="268"/>
      <c r="V34" s="268"/>
      <c r="W34" s="118"/>
      <c r="X34" s="119"/>
      <c r="Y34" s="115">
        <v>4</v>
      </c>
      <c r="Z34" s="286" t="s">
        <v>209</v>
      </c>
      <c r="AA34" s="288"/>
      <c r="AB34" s="80">
        <v>13</v>
      </c>
      <c r="AC34" s="76">
        <v>0.5</v>
      </c>
      <c r="AD34" s="78">
        <v>13</v>
      </c>
      <c r="AE34" s="60">
        <f>(1-AC34)*EXP(-0.00302*(AB34-2*AD34-48))+AC34*EXP(-0.00302*(2*AD34-48))</f>
        <v>1.1354885680046793</v>
      </c>
      <c r="AF34" s="61">
        <f>(1-AC34)*EXP(-0.00291*(AB34-2*AD34-48))+AC34*EXP(-0.00291*(2*AD34-48))</f>
        <v>1.1301768605327251</v>
      </c>
      <c r="AG34" s="28"/>
      <c r="AH34" s="18"/>
      <c r="AI34" s="18"/>
      <c r="AJ34" s="18"/>
      <c r="AK34" s="18"/>
      <c r="AL34" s="18"/>
      <c r="AM34" s="18"/>
      <c r="AN34" s="18"/>
      <c r="AO34" s="299"/>
      <c r="AP34" s="268" t="s">
        <v>179</v>
      </c>
      <c r="AQ34" s="268"/>
      <c r="AR34" s="268"/>
      <c r="AS34" s="268"/>
      <c r="AT34" s="118" t="s">
        <v>133</v>
      </c>
      <c r="AU34" s="60">
        <f>IF(AT34="Present",(1-(AP9/SUM(AP6:AP9)))+(AP9/SUM(AP6:AP9))*IF(AS9="Signalized",IF(AS5="Rural",0.59,0.76),IF(AS5="Rural",0.76,0.87)),1)</f>
        <v>1</v>
      </c>
      <c r="AV34" s="61">
        <f>IF(AT34="Present",(1-(AP9/SUM(AP6:AP9)))+(AP9/SUM(AP6:AP9))*IF(AS9="Signalized",IF(AS5="Rural",0.97,0.94),IF(AS5="Rural",0.63,0.69)),1)</f>
        <v>1</v>
      </c>
      <c r="AW34" s="28"/>
      <c r="AX34" s="18"/>
      <c r="AY34" s="18"/>
      <c r="AZ34" s="18"/>
      <c r="BA34" s="18"/>
      <c r="BB34" s="18"/>
      <c r="BC34" s="18"/>
      <c r="BD34" s="29"/>
      <c r="BE34" s="168">
        <v>2</v>
      </c>
      <c r="BF34" s="289" t="s">
        <v>200</v>
      </c>
      <c r="BG34" s="290"/>
      <c r="BH34" s="290"/>
      <c r="BI34" s="291"/>
      <c r="BJ34" s="69">
        <v>13</v>
      </c>
      <c r="BK34" s="60">
        <f>EXP(-0.458*(BJ34-14))</f>
        <v>1.5809090030614199</v>
      </c>
      <c r="BL34" s="61">
        <v>1</v>
      </c>
    </row>
    <row r="35" spans="1:64" x14ac:dyDescent="0.25">
      <c r="A35" s="28"/>
      <c r="B35" s="18"/>
      <c r="C35" s="18"/>
      <c r="D35" s="18"/>
      <c r="E35" s="18"/>
      <c r="F35" s="18"/>
      <c r="G35" s="18"/>
      <c r="H35" s="18"/>
      <c r="I35" s="116">
        <v>3</v>
      </c>
      <c r="J35" s="289" t="s">
        <v>201</v>
      </c>
      <c r="K35" s="290"/>
      <c r="L35" s="290"/>
      <c r="M35" s="291"/>
      <c r="N35" s="70">
        <v>13</v>
      </c>
      <c r="O35" s="60">
        <f>EXP(-0.0539*(N35-8))</f>
        <v>0.76376127952236417</v>
      </c>
      <c r="P35" s="61">
        <f>EXP(-0.0259*(O35-8))</f>
        <v>1.2061320456021298</v>
      </c>
      <c r="Q35" s="116">
        <v>6</v>
      </c>
      <c r="R35" s="268"/>
      <c r="S35" s="268"/>
      <c r="T35" s="268"/>
      <c r="U35" s="268"/>
      <c r="V35" s="268"/>
      <c r="W35" s="118"/>
      <c r="X35" s="119"/>
      <c r="Y35" s="115">
        <v>6</v>
      </c>
      <c r="Z35" s="286" t="s">
        <v>211</v>
      </c>
      <c r="AA35" s="288"/>
      <c r="AB35" s="303">
        <v>0.5</v>
      </c>
      <c r="AC35" s="304"/>
      <c r="AD35" s="305"/>
      <c r="AE35" s="60">
        <f>EXP(0.35*AB35)</f>
        <v>1.1912462166123581</v>
      </c>
      <c r="AF35" s="61">
        <f>EXP(0.283*AB35)</f>
        <v>1.1520005042608086</v>
      </c>
      <c r="AG35" s="30"/>
      <c r="AH35" s="31"/>
      <c r="AI35" s="31"/>
      <c r="AJ35" s="31"/>
      <c r="AK35" s="31"/>
      <c r="AL35" s="31"/>
      <c r="AM35" s="31"/>
      <c r="AN35" s="31"/>
      <c r="AO35" s="124">
        <v>13</v>
      </c>
      <c r="AP35" s="268" t="s">
        <v>180</v>
      </c>
      <c r="AQ35" s="268"/>
      <c r="AR35" s="268"/>
      <c r="AS35" s="126">
        <v>1</v>
      </c>
      <c r="AT35" s="67">
        <v>2</v>
      </c>
      <c r="AU35" s="60">
        <f>(1-(AP9/SUM(AP6:AP9)))+(AP9/SUM(AP6:AP9))*EXP(IF(AS9="Signalized",0.158,0)*AS35+IF(AS9="Signalized",0.158,0.522)*AT35)</f>
        <v>1.5380088366264362</v>
      </c>
      <c r="AV35" s="61">
        <f>(1-(AP9/SUM(AP6:AP9)))+(AP9/SUM(AP6:AP9))*EXP(IF(AS9="Signalized",0.203,0)*AS35+IF(AS9="Signalized",0.203,0)*AT35)</f>
        <v>1</v>
      </c>
      <c r="AW35" s="28"/>
      <c r="AX35" s="18"/>
      <c r="AY35" s="18"/>
      <c r="AZ35" s="18"/>
      <c r="BA35" s="18"/>
      <c r="BB35" s="18"/>
      <c r="BC35" s="18"/>
      <c r="BD35" s="29"/>
      <c r="BE35" s="168">
        <v>3</v>
      </c>
      <c r="BF35" s="289" t="s">
        <v>201</v>
      </c>
      <c r="BG35" s="290"/>
      <c r="BH35" s="290"/>
      <c r="BI35" s="291"/>
      <c r="BJ35" s="70">
        <v>10</v>
      </c>
      <c r="BK35" s="60">
        <f>EXP(-0.0539*(BJ35-8))</f>
        <v>0.89780713990346983</v>
      </c>
      <c r="BL35" s="61">
        <f>EXP(-0.0259*(BK35-8))</f>
        <v>1.2019518716376694</v>
      </c>
    </row>
    <row r="36" spans="1:64" x14ac:dyDescent="0.25">
      <c r="A36" s="35"/>
      <c r="B36" s="273" t="s">
        <v>46</v>
      </c>
      <c r="C36" s="273"/>
      <c r="D36" s="273"/>
      <c r="E36" s="273"/>
      <c r="F36" s="273"/>
      <c r="G36" s="48" t="s">
        <v>20</v>
      </c>
      <c r="H36" s="115" t="s">
        <v>21</v>
      </c>
      <c r="I36" s="116">
        <v>4</v>
      </c>
      <c r="J36" s="289" t="s">
        <v>202</v>
      </c>
      <c r="K36" s="290"/>
      <c r="L36" s="290"/>
      <c r="M36" s="291"/>
      <c r="N36" s="70">
        <v>13</v>
      </c>
      <c r="O36" s="60">
        <f>EXP(-0.0539*(N36-4))</f>
        <v>0.61563563012299205</v>
      </c>
      <c r="P36" s="61">
        <f>EXP(-0.0259*(O36-4))</f>
        <v>1.0916114916914801</v>
      </c>
      <c r="Q36" s="116">
        <v>7</v>
      </c>
      <c r="R36" s="268"/>
      <c r="S36" s="268"/>
      <c r="T36" s="268"/>
      <c r="U36" s="268"/>
      <c r="V36" s="268"/>
      <c r="W36" s="118"/>
      <c r="X36" s="119"/>
      <c r="Y36" s="115">
        <v>7</v>
      </c>
      <c r="Z36" s="272" t="s">
        <v>342</v>
      </c>
      <c r="AA36" s="272"/>
      <c r="AB36" s="272"/>
      <c r="AC36" s="272"/>
      <c r="AD36" s="272"/>
      <c r="AE36" s="60">
        <v>1</v>
      </c>
      <c r="AF36" s="61">
        <v>1</v>
      </c>
      <c r="AO36" s="58">
        <v>14</v>
      </c>
      <c r="AP36" s="268" t="s">
        <v>181</v>
      </c>
      <c r="AQ36" s="268"/>
      <c r="AR36" s="268"/>
      <c r="AS36" s="135">
        <v>1</v>
      </c>
      <c r="AT36" s="136">
        <v>1</v>
      </c>
      <c r="AU36" s="60">
        <f>EXP(IF(AS9="Signalized",-0.0185,-0.0141)*((1/AS36)+(1/AT36)-0.333))</f>
        <v>0.97676938384195133</v>
      </c>
      <c r="AV36" s="61">
        <f>EXP(IF(AS9="Signalized",-0.0186,0)*((1/AS36)+(1/AT36)-0.33))</f>
        <v>1</v>
      </c>
      <c r="AW36" s="35"/>
      <c r="AX36" s="273" t="s">
        <v>46</v>
      </c>
      <c r="AY36" s="273"/>
      <c r="AZ36" s="273"/>
      <c r="BA36" s="273"/>
      <c r="BB36" s="273"/>
      <c r="BC36" s="96" t="s">
        <v>20</v>
      </c>
      <c r="BD36" s="36" t="s">
        <v>21</v>
      </c>
      <c r="BE36" s="168">
        <v>4</v>
      </c>
      <c r="BF36" s="289" t="s">
        <v>202</v>
      </c>
      <c r="BG36" s="290"/>
      <c r="BH36" s="290"/>
      <c r="BI36" s="291"/>
      <c r="BJ36" s="70">
        <v>10</v>
      </c>
      <c r="BK36" s="60">
        <f>EXP(-0.0539*(BJ36-4))</f>
        <v>0.72368432273635486</v>
      </c>
      <c r="BL36" s="61">
        <f>EXP(-0.0259*(BK36-4))</f>
        <v>1.0885609297837566</v>
      </c>
    </row>
    <row r="37" spans="1:64" x14ac:dyDescent="0.25">
      <c r="A37" s="299">
        <v>1</v>
      </c>
      <c r="B37" s="289" t="s">
        <v>122</v>
      </c>
      <c r="C37" s="290"/>
      <c r="D37" s="290"/>
      <c r="E37" s="291"/>
      <c r="F37" s="57">
        <v>2</v>
      </c>
      <c r="G37" s="60">
        <f>LOOKUP(G5,Reference!$A$47:$A$50,Reference!$C$47:$C$50)^F37</f>
        <v>0.86490000000000011</v>
      </c>
      <c r="H37" s="75">
        <f>LOOKUP(G5,Reference!$A$47:$A$50,Reference!$C$47:$C$50)^F37</f>
        <v>0.86490000000000011</v>
      </c>
      <c r="I37" s="116">
        <v>5</v>
      </c>
      <c r="J37" s="289" t="s">
        <v>203</v>
      </c>
      <c r="K37" s="290"/>
      <c r="L37" s="291"/>
      <c r="M37" s="72">
        <v>0.5</v>
      </c>
      <c r="N37" s="71">
        <v>2</v>
      </c>
      <c r="O37" s="60">
        <f>(1-M37)+M37*EXP(0.21/N37)</f>
        <v>1.0553553051778526</v>
      </c>
      <c r="P37" s="61">
        <f>(1-M37)+M37*EXP(0.193/N37)</f>
        <v>1.050654790571897</v>
      </c>
      <c r="Q37" s="116">
        <v>8</v>
      </c>
      <c r="R37" s="268"/>
      <c r="S37" s="268"/>
      <c r="T37" s="268"/>
      <c r="U37" s="268"/>
      <c r="V37" s="268"/>
      <c r="W37" s="118"/>
      <c r="X37" s="119"/>
      <c r="Y37" s="115" t="s">
        <v>214</v>
      </c>
      <c r="Z37" s="295"/>
      <c r="AA37" s="300"/>
      <c r="AB37" s="300"/>
      <c r="AC37" s="300"/>
      <c r="AD37" s="301"/>
      <c r="AE37" s="64"/>
      <c r="AF37" s="65"/>
      <c r="AO37" s="299">
        <v>15</v>
      </c>
      <c r="AP37" s="268" t="s">
        <v>183</v>
      </c>
      <c r="AQ37" s="268"/>
      <c r="AR37" s="268"/>
      <c r="AS37" s="80">
        <v>4</v>
      </c>
      <c r="AT37" s="127">
        <v>12</v>
      </c>
      <c r="AU37" s="60">
        <f>(1-(AP8/SUM(AP6:AP9)))+(AP8/SUM(AP6:AP9))*EXP(IF(AS9="Signalized",0.0287+(-0.00074)*0.001*AP8,-0.00322+(0.00354)*0.001*AP8)*MAX(0,AS37-MAX(12,AT37)))</f>
        <v>1</v>
      </c>
      <c r="AV37" s="61">
        <f>IF(AS9="Signalized",(1-(AP8/SUM(AP6:AP9)))+(AP8/SUM(AP6:AP9))*EXP((0.061+(-0.00246)*0.001*AP8)*MAX(0,AS37-MAX(12,AT37))),1)</f>
        <v>1</v>
      </c>
      <c r="AW37" s="97">
        <v>1</v>
      </c>
      <c r="AX37" s="272" t="s">
        <v>262</v>
      </c>
      <c r="AY37" s="272"/>
      <c r="AZ37" s="108">
        <v>0</v>
      </c>
      <c r="BA37" s="107" t="s">
        <v>268</v>
      </c>
      <c r="BB37" s="107" t="s">
        <v>269</v>
      </c>
      <c r="BC37" s="109">
        <f>1+AZ37*((IF(BA37="none",1,IF(BA37="Parallel",LOOKUP(BC5,Reference!$A$117:$A$121,IF(BB37="Commercial/Industrial/Institutional",Reference!$C$117:$C$121,Reference!$B$117:$B$121)),LOOKUP(BC5,Reference!$A$117:$A$121,IF(BB37="Commercial/Industrial/Institutional",Reference!$E$117:$E$121,Reference!$D$117:$D$121)))))-1)</f>
        <v>1</v>
      </c>
      <c r="BD37" s="109">
        <f>1+AZ37*((IF(BA37="none",1,IF(BA37="Parallel",LOOKUP(BC5,Reference!$A$117:$A$121,IF(BB37="Commercial/Industrial/Institutional",Reference!$C$117:$C$121,Reference!$B$117:$B$121)),LOOKUP(BC5,Reference!$A$117:$A$121,IF(BB37="Commercial/Industrial/Institutional",Reference!$E$117:$E$121,Reference!$D$117:$D$121)))))-1)</f>
        <v>1</v>
      </c>
      <c r="BE37" s="168">
        <v>5</v>
      </c>
      <c r="BF37" s="289" t="s">
        <v>203</v>
      </c>
      <c r="BG37" s="290"/>
      <c r="BH37" s="291"/>
      <c r="BI37" s="72">
        <v>1</v>
      </c>
      <c r="BJ37" s="71">
        <v>4</v>
      </c>
      <c r="BK37" s="60">
        <f>(1-BI37)+BI37*EXP(0.21/BJ37)</f>
        <v>1.0539025620785374</v>
      </c>
      <c r="BL37" s="61">
        <f>(1-BI37)+BI37*EXP(0.193/BJ37)</f>
        <v>1.049432980777617</v>
      </c>
    </row>
    <row r="38" spans="1:64" x14ac:dyDescent="0.25">
      <c r="A38" s="299"/>
      <c r="B38" s="289" t="s">
        <v>123</v>
      </c>
      <c r="C38" s="290"/>
      <c r="D38" s="290"/>
      <c r="E38" s="291"/>
      <c r="F38" s="57">
        <v>2</v>
      </c>
      <c r="G38" s="60">
        <f>LOOKUP(G5,Reference!$A$47:$A$50,Reference!$D$47:$D$50)^F38</f>
        <v>0.86490000000000011</v>
      </c>
      <c r="H38" s="75">
        <f>LOOKUP(G5,Reference!$A$47:$A$50,Reference!$D$47:$D$50)^F38</f>
        <v>0.86490000000000011</v>
      </c>
      <c r="I38" s="116">
        <v>6</v>
      </c>
      <c r="J38" s="289" t="s">
        <v>204</v>
      </c>
      <c r="K38" s="290"/>
      <c r="L38" s="291"/>
      <c r="M38" s="72">
        <v>0.5</v>
      </c>
      <c r="N38" s="71">
        <v>2</v>
      </c>
      <c r="O38" s="60">
        <f>(1-M38)+M38*EXP(0.21/N38)</f>
        <v>1.0553553051778526</v>
      </c>
      <c r="P38" s="61">
        <f>(1-M38)+M38*EXP(0.193/N38)</f>
        <v>1.050654790571897</v>
      </c>
      <c r="Q38" s="116">
        <v>9</v>
      </c>
      <c r="R38" s="268"/>
      <c r="S38" s="268"/>
      <c r="T38" s="268"/>
      <c r="U38" s="268"/>
      <c r="V38" s="268"/>
      <c r="W38" s="118"/>
      <c r="X38" s="119"/>
      <c r="Y38" s="115"/>
      <c r="Z38" s="302"/>
      <c r="AA38" s="302"/>
      <c r="AB38" s="302"/>
      <c r="AC38" s="302"/>
      <c r="AD38" s="302"/>
      <c r="AE38" s="22">
        <f>IF(AE37=0,1,AE37)*IF(AE34=0,1,AE34)*IF(AE36=0,1,AE36)*IF(AE35=0,1,AE35)</f>
        <v>1.3526464606421584</v>
      </c>
      <c r="AF38" s="37">
        <f>IF(AF37=0,1,AF37)*IF(AF34=0,1,AF34)*IF(AF36=0,1,AF36)*IF(AF35=0,1,AF35)</f>
        <v>1.3019643132375969</v>
      </c>
      <c r="AO38" s="299"/>
      <c r="AP38" s="268" t="s">
        <v>182</v>
      </c>
      <c r="AQ38" s="268"/>
      <c r="AR38" s="268"/>
      <c r="AS38" s="80">
        <v>4</v>
      </c>
      <c r="AT38" s="127">
        <v>12</v>
      </c>
      <c r="AU38" s="60">
        <f>(1-(AP9/SUM(AP6:AP9)))+(AP9/SUM(AP6:AP9))*EXP(IF(AS9="Signalized",0.0287+(-0.00074)*0.001*AP9,-0.00322+(0.00354)*0.001*AP9)*MAX(0,AS38-MAX(12,AT38)))</f>
        <v>1</v>
      </c>
      <c r="AV38" s="61">
        <f>IF(AS9="Signalized",(1-(AP9/SUM(AP6:AP9)))+(AP9/SUM(AP6:AP9))*EXP((0.061+(-0.00246)*0.001*AP9)*MAX(0,AS38-MAX(12,AT38))),1)</f>
        <v>1</v>
      </c>
      <c r="AW38" s="97">
        <v>2</v>
      </c>
      <c r="AX38" s="289" t="s">
        <v>263</v>
      </c>
      <c r="AY38" s="290"/>
      <c r="AZ38" s="291"/>
      <c r="BA38" s="110">
        <v>0</v>
      </c>
      <c r="BB38" s="111">
        <v>15</v>
      </c>
      <c r="BC38" s="109">
        <f>MAX((LOOKUP(BB38,Reference!$A$125:$A$131,Reference!$B$125:$B$131)*BA38*LOOKUP(BC5,Reference!$A$135:$A$139,Reference!$B$135:$B$139)+(1-LOOKUP(BC5,Reference!$A$135:$A$139,Reference!$B$135:$B$139))),1)</f>
        <v>1</v>
      </c>
      <c r="BD38" s="109">
        <f>MAX((LOOKUP(BB38,Reference!$A$125:$A$131,Reference!$B$125:$B$131)*BA38*LOOKUP(BC5,Reference!$A$135:$A$139,Reference!$B$135:$B$139)+(1-LOOKUP(BC5,Reference!$A$135:$A$139,Reference!$B$135:$B$139))),1)</f>
        <v>1</v>
      </c>
      <c r="BE38" s="168">
        <v>6</v>
      </c>
      <c r="BF38" s="289" t="s">
        <v>204</v>
      </c>
      <c r="BG38" s="290"/>
      <c r="BH38" s="291"/>
      <c r="BI38" s="72">
        <v>1</v>
      </c>
      <c r="BJ38" s="71">
        <v>4</v>
      </c>
      <c r="BK38" s="60">
        <f>(1-BI38)+BI38*EXP(0.21/BJ38)</f>
        <v>1.0539025620785374</v>
      </c>
      <c r="BL38" s="61">
        <f>(1-BI38)+BI38*EXP(0.193/BJ38)</f>
        <v>1.049432980777617</v>
      </c>
    </row>
    <row r="39" spans="1:64" x14ac:dyDescent="0.25">
      <c r="A39" s="299">
        <v>2</v>
      </c>
      <c r="B39" s="289" t="s">
        <v>343</v>
      </c>
      <c r="C39" s="290"/>
      <c r="D39" s="290"/>
      <c r="E39" s="291"/>
      <c r="F39" s="57" t="s">
        <v>130</v>
      </c>
      <c r="G39" s="60">
        <f>IF(OR(G5=Reference!$A$4,G5=Reference!$A$6),1,LOOKUP(F39,Reference!$A$53:$A$55,Reference!$C$53:$C$55))</f>
        <v>0.99</v>
      </c>
      <c r="H39" s="75">
        <f>IF(OR(G5=Reference!$A$4,G5=Reference!$A$6),1,LOOKUP(F39,Reference!$A$53:$A$55,Reference!$C$53:$C$55))</f>
        <v>0.99</v>
      </c>
      <c r="I39" s="116">
        <v>7</v>
      </c>
      <c r="J39" s="289" t="s">
        <v>205</v>
      </c>
      <c r="K39" s="290"/>
      <c r="L39" s="291"/>
      <c r="M39" s="73">
        <v>0</v>
      </c>
      <c r="N39" s="57" t="s">
        <v>206</v>
      </c>
      <c r="O39" s="60">
        <f>IF(N39="Not Present",1,(1-M39)+M39*EXP(-0.231*IF(N39="Lane Add",1,-1)))</f>
        <v>1</v>
      </c>
      <c r="P39" s="61">
        <v>1</v>
      </c>
      <c r="Q39" s="116">
        <v>10</v>
      </c>
      <c r="R39" s="268"/>
      <c r="S39" s="268"/>
      <c r="T39" s="268"/>
      <c r="U39" s="268"/>
      <c r="V39" s="268"/>
      <c r="W39" s="118"/>
      <c r="X39" s="119"/>
      <c r="Y39" s="115"/>
      <c r="Z39" s="273" t="s">
        <v>215</v>
      </c>
      <c r="AA39" s="273"/>
      <c r="AB39" s="273"/>
      <c r="AC39" s="273"/>
      <c r="AD39" s="273"/>
      <c r="AE39" s="62" t="s">
        <v>20</v>
      </c>
      <c r="AF39" s="36" t="s">
        <v>21</v>
      </c>
      <c r="AO39" s="299">
        <v>16</v>
      </c>
      <c r="AP39" s="120" t="s">
        <v>184</v>
      </c>
      <c r="AQ39" s="120"/>
      <c r="AR39" s="120"/>
      <c r="AS39" s="128">
        <v>2</v>
      </c>
      <c r="AT39" s="127" t="s">
        <v>129</v>
      </c>
      <c r="AU39" s="60">
        <f>IF(AS9="Signalized",IF(AT39="Protected Only",(1-(SUM(AP8:AP9)/SUM(AP6:AP9)))+(SUM(AP8:AP9)/SUM(AP6:AP9))*EXP(-0.363*AS39),1),1)</f>
        <v>1</v>
      </c>
      <c r="AV39" s="61">
        <f>IF(AS9="Signalized",IF(AT39="Protected Only",(1-(SUM(AP8:AP9)/SUM(AP6:AP9)))+(SUM(AP8:AP9)/SUM(AP6:AP9))*EXP(-0.223*AS39),1),1)</f>
        <v>1</v>
      </c>
      <c r="AW39" s="97">
        <v>3</v>
      </c>
      <c r="AX39" s="272" t="s">
        <v>209</v>
      </c>
      <c r="AY39" s="272"/>
      <c r="AZ39" s="272"/>
      <c r="BA39" s="272"/>
      <c r="BB39" s="112" t="s">
        <v>272</v>
      </c>
      <c r="BC39" s="109">
        <f>LOOKUP(BB39,Reference!$A$142:$A$154,Reference!$B$142:$B$154)</f>
        <v>0.92</v>
      </c>
      <c r="BD39" s="109">
        <f>LOOKUP(BB39,Reference!$A$142:$A$154,Reference!$B$142:$B$154)</f>
        <v>0.92</v>
      </c>
      <c r="BE39" s="168">
        <v>7</v>
      </c>
      <c r="BF39" s="289" t="s">
        <v>205</v>
      </c>
      <c r="BG39" s="290"/>
      <c r="BH39" s="291"/>
      <c r="BI39" s="73">
        <v>0</v>
      </c>
      <c r="BJ39" s="175" t="s">
        <v>206</v>
      </c>
      <c r="BK39" s="60">
        <f>IF(BJ39="Not Present",1,(1-BI39)+BI39*EXP(-0.231*IF(BJ39="Lane Add",1,-1)))</f>
        <v>1</v>
      </c>
      <c r="BL39" s="61">
        <v>1</v>
      </c>
    </row>
    <row r="40" spans="1:64" x14ac:dyDescent="0.25">
      <c r="A40" s="299"/>
      <c r="B40" s="289" t="s">
        <v>124</v>
      </c>
      <c r="C40" s="290"/>
      <c r="D40" s="290"/>
      <c r="E40" s="291"/>
      <c r="F40" s="57" t="s">
        <v>130</v>
      </c>
      <c r="G40" s="60">
        <f>IF(OR(G5=Reference!$A$4,G5=Reference!$A$6),1,LOOKUP(F40,Reference!$A$53:$A$55,Reference!$C$53:$C$55))</f>
        <v>0.99</v>
      </c>
      <c r="H40" s="75">
        <f>IF(OR(G5=Reference!$A$4,G5=Reference!$A$6),1,LOOKUP(F40,Reference!$A$53:$A$55,Reference!$C$53:$C$55))</f>
        <v>0.99</v>
      </c>
      <c r="I40" s="116" t="s">
        <v>214</v>
      </c>
      <c r="J40" s="295"/>
      <c r="K40" s="300"/>
      <c r="L40" s="300"/>
      <c r="M40" s="300"/>
      <c r="N40" s="301"/>
      <c r="O40" s="60"/>
      <c r="P40" s="61"/>
      <c r="Q40" s="28"/>
      <c r="R40" s="117"/>
      <c r="S40" s="117"/>
      <c r="T40" s="117"/>
      <c r="U40" s="117"/>
      <c r="V40" s="18"/>
      <c r="W40" s="22">
        <f>IF(W30=0,1,W30)*IF(W31=0,1,W31)*IF(W32=0,1,W32)*IF(W33=0,1,W33)*IF(W34=0,1,W34)*IF(W35=0,1,W35)*IF(W36=0,1,W36)*IF(W37=0,1,W37)*IF(W38=0,1,W38)*IF(W39=0,1,W39)</f>
        <v>1.3743762612275612</v>
      </c>
      <c r="X40" s="37">
        <f>IF(X30=0,1,X30)*IF(X31=0,1,X31)*IF(X32=0,1,X32)*IF(X33=0,1,X33)*IF(X34=0,1,X34)*IF(X35=0,1,X35)*IF(X36=0,1,X36)*IF(X37=0,1,X37)*IF(X38=0,1,X38)*IF(X39=0,1,X39)</f>
        <v>1.2865960372848406</v>
      </c>
      <c r="Y40" s="115"/>
      <c r="Z40" s="286" t="s">
        <v>209</v>
      </c>
      <c r="AA40" s="288"/>
      <c r="AB40" s="80">
        <v>13</v>
      </c>
      <c r="AC40" s="76">
        <v>0.5</v>
      </c>
      <c r="AD40" s="78">
        <v>13</v>
      </c>
      <c r="AE40" s="175" t="s">
        <v>132</v>
      </c>
      <c r="AF40" s="61">
        <f>(1-AC40)*EXP(-0.00289*(AB40-2*AD40-48))+AC40*EXP(-0.00289*(2*AD40-48))</f>
        <v>1.1292143249023789</v>
      </c>
      <c r="AO40" s="299"/>
      <c r="AP40" s="120" t="s">
        <v>185</v>
      </c>
      <c r="AQ40" s="120"/>
      <c r="AR40" s="120"/>
      <c r="AS40" s="128">
        <v>2</v>
      </c>
      <c r="AT40" s="127" t="s">
        <v>186</v>
      </c>
      <c r="AU40" s="60">
        <f>IF(AS9="Signalized",IF(AT40="Protected Only",(1-(SUM(AP8:AP9)/SUM(AP6:AP9)))+(SUM(AP8:AP9)/SUM(AP6:AP9))*EXP(-0.363*AS40),1),1)</f>
        <v>1</v>
      </c>
      <c r="AV40" s="61">
        <f>IF(AS9="Signalized",IF(AT40="Protected Only",(1-(SUM(AP8:AP9)/SUM(AP6:AP9)))+(SUM(AP8:AP9)/SUM(AP6:AP9))*EXP(-0.223*AS40),1),1)</f>
        <v>1</v>
      </c>
      <c r="AW40" s="97">
        <v>4</v>
      </c>
      <c r="AX40" s="272" t="s">
        <v>264</v>
      </c>
      <c r="AY40" s="272"/>
      <c r="AZ40" s="272"/>
      <c r="BA40" s="272"/>
      <c r="BB40" s="107" t="s">
        <v>132</v>
      </c>
      <c r="BC40" s="109">
        <f>IF(BB40="Present",LOOKUP(BC5,Reference!$A$158:$A$162,Reference!$E$158:$E$162),1)</f>
        <v>0.93154176</v>
      </c>
      <c r="BD40" s="109">
        <f>IF(BB40="Present",LOOKUP(BC5,Reference!$A$158:$A$162,Reference!$E$158:$E$162),1)</f>
        <v>0.93154176</v>
      </c>
      <c r="BE40" s="168" t="s">
        <v>214</v>
      </c>
      <c r="BF40" s="295"/>
      <c r="BG40" s="300"/>
      <c r="BH40" s="300"/>
      <c r="BI40" s="300"/>
      <c r="BJ40" s="301"/>
      <c r="BK40" s="60"/>
      <c r="BL40" s="61"/>
    </row>
    <row r="41" spans="1:64" x14ac:dyDescent="0.25">
      <c r="A41" s="299">
        <v>3</v>
      </c>
      <c r="B41" s="289" t="s">
        <v>125</v>
      </c>
      <c r="C41" s="290"/>
      <c r="D41" s="290"/>
      <c r="E41" s="291"/>
      <c r="F41" s="57">
        <v>2</v>
      </c>
      <c r="G41" s="60">
        <f>LOOKUP(G5,Reference!$A$59:$A$62,Reference!$C$59:$C$62)^F41</f>
        <v>0.92159999999999997</v>
      </c>
      <c r="H41" s="75">
        <f>LOOKUP(G5,Reference!$A$59:$A$62,Reference!$C$59:$C$62)^F41</f>
        <v>0.92159999999999997</v>
      </c>
      <c r="I41" s="116"/>
      <c r="J41" s="302"/>
      <c r="K41" s="302"/>
      <c r="L41" s="302"/>
      <c r="M41" s="302"/>
      <c r="N41" s="302"/>
      <c r="O41" s="22">
        <f>IF(O33=0,1,O33)*IF(O34=0,1,O34)*IF(O35=0,1,O35)*IF(O36=0,1,O36)*IF(O37=0,1,O37)*IF(O38=0,1,O38)</f>
        <v>0.82791481094463759</v>
      </c>
      <c r="P41" s="37">
        <f>IF(P33=0,1,P33)*IF(P34=0,1,P34)*IF(P35=0,1,P35)*IF(P36=0,1,P36)*IF(P37=0,1,P37)*IF(P38=0,1,P38)</f>
        <v>1.4533929373472962</v>
      </c>
      <c r="Q41" s="28"/>
      <c r="R41" s="18"/>
      <c r="S41" s="18"/>
      <c r="T41" s="18"/>
      <c r="U41" s="18"/>
      <c r="V41" s="23"/>
      <c r="W41" s="23"/>
      <c r="X41" s="29"/>
      <c r="Y41" s="115">
        <v>6</v>
      </c>
      <c r="Z41" s="286" t="s">
        <v>211</v>
      </c>
      <c r="AA41" s="288"/>
      <c r="AB41" s="303">
        <v>0.5</v>
      </c>
      <c r="AC41" s="304"/>
      <c r="AD41" s="305"/>
      <c r="AE41" s="60">
        <f>EXP(-0.0675*AB41)</f>
        <v>0.96681317772154285</v>
      </c>
      <c r="AF41" s="61">
        <f>EXP(-0.611*AB41)</f>
        <v>0.7367549048294989</v>
      </c>
      <c r="AO41" s="299">
        <v>17</v>
      </c>
      <c r="AP41" s="268" t="s">
        <v>187</v>
      </c>
      <c r="AQ41" s="268"/>
      <c r="AR41" s="268"/>
      <c r="AS41" s="268"/>
      <c r="AT41" s="127" t="s">
        <v>188</v>
      </c>
      <c r="AU41" s="60">
        <f>IF(AS9="Signalized",IF(AT41="Channelized",(1-AP8/SUM(AP6:AP9))+AP8/SUM(AP6:AP9)*EXP(0.466),1),1)</f>
        <v>1</v>
      </c>
      <c r="AV41" s="61">
        <f>IF(AS9="Signalized",IF(AT41="Channelized",(1-AP8/SUM(AP6:AP9))+AP8/SUM(AP6:AP9)*EXP(0.465),1),1)</f>
        <v>1</v>
      </c>
      <c r="AW41" s="97">
        <v>5</v>
      </c>
      <c r="AX41" s="272" t="s">
        <v>265</v>
      </c>
      <c r="AY41" s="272"/>
      <c r="AZ41" s="272"/>
      <c r="BA41" s="272"/>
      <c r="BB41" s="107" t="s">
        <v>132</v>
      </c>
      <c r="BC41" s="109">
        <f>IF(BB41="Present",0.83,1)</f>
        <v>0.83</v>
      </c>
      <c r="BD41" s="109">
        <v>1</v>
      </c>
      <c r="BE41" s="168"/>
      <c r="BF41" s="302"/>
      <c r="BG41" s="302"/>
      <c r="BH41" s="302"/>
      <c r="BI41" s="302"/>
      <c r="BJ41" s="302"/>
      <c r="BK41" s="22">
        <f>IF(BK33=0,1,BK33)*IF(BK34=0,1,BK34)*IF(BK35=0,1,BK35)*IF(BK36=0,1,BK36)*IF(BK37=0,1,BK37)*IF(BK38=0,1,BK38)</f>
        <v>1.1408801204240269</v>
      </c>
      <c r="BL41" s="37">
        <f>IF(BL33=0,1,BL33)*IF(BL34=0,1,BL34)*IF(BL35=0,1,BL35)*IF(BL36=0,1,BL36)*IF(BL37=0,1,BL37)*IF(BL38=0,1,BL38)</f>
        <v>1.4409510847886911</v>
      </c>
    </row>
    <row r="42" spans="1:64" x14ac:dyDescent="0.25">
      <c r="A42" s="299"/>
      <c r="B42" s="289" t="s">
        <v>126</v>
      </c>
      <c r="C42" s="290"/>
      <c r="D42" s="290"/>
      <c r="E42" s="291"/>
      <c r="F42" s="57">
        <v>2</v>
      </c>
      <c r="G42" s="60">
        <f>LOOKUP(G5,Reference!$A$59:$A$62,Reference!$D$59:$D$62)^F42</f>
        <v>0.92159999999999997</v>
      </c>
      <c r="H42" s="75">
        <f>LOOKUP(G5,Reference!$A$59:$A$62,Reference!$D$59:$D$62)^F42</f>
        <v>0.92159999999999997</v>
      </c>
      <c r="I42" s="116"/>
      <c r="J42" s="273" t="s">
        <v>213</v>
      </c>
      <c r="K42" s="273"/>
      <c r="L42" s="273"/>
      <c r="M42" s="273"/>
      <c r="N42" s="273"/>
      <c r="O42" s="115" t="s">
        <v>20</v>
      </c>
      <c r="P42" s="36" t="s">
        <v>21</v>
      </c>
      <c r="Q42" s="293"/>
      <c r="R42" s="259"/>
      <c r="S42" s="259"/>
      <c r="T42" s="18"/>
      <c r="U42" s="18"/>
      <c r="V42" s="23"/>
      <c r="W42" s="23"/>
      <c r="X42" s="29"/>
      <c r="Y42" s="115">
        <v>8</v>
      </c>
      <c r="Z42" s="306" t="s">
        <v>384</v>
      </c>
      <c r="AA42" s="306"/>
      <c r="AB42" s="306"/>
      <c r="AC42" s="306"/>
      <c r="AD42" s="77">
        <v>13</v>
      </c>
      <c r="AE42" s="60">
        <f>EXP(-0.0647*(AD42-10))</f>
        <v>0.82357554259630228</v>
      </c>
      <c r="AF42" s="61">
        <f>EXP(0*(AD42-10))</f>
        <v>1</v>
      </c>
      <c r="AO42" s="299"/>
      <c r="AP42" s="268" t="s">
        <v>189</v>
      </c>
      <c r="AQ42" s="268"/>
      <c r="AR42" s="268"/>
      <c r="AS42" s="268"/>
      <c r="AT42" s="127" t="s">
        <v>188</v>
      </c>
      <c r="AU42" s="60">
        <f>IF(AS9="Signalized",IF(AT42="Channelized",(1-AP9/SUM(AP6:AP9))+AP9/SUM(AP6:AP9)*EXP(0.466),1),1)</f>
        <v>1</v>
      </c>
      <c r="AV42" s="61">
        <f>IF(AS9="Signalized",IF(AT42="Channelized",(1-AP9/SUM(AP6:AP9))+AP9/SUM(AP6:AP9)*EXP(0.465),1),1)</f>
        <v>1</v>
      </c>
      <c r="AW42" s="97" t="s">
        <v>214</v>
      </c>
      <c r="AX42" s="272"/>
      <c r="AY42" s="272"/>
      <c r="AZ42" s="272"/>
      <c r="BA42" s="272"/>
      <c r="BB42" s="107"/>
      <c r="BC42" s="109"/>
      <c r="BD42" s="109"/>
      <c r="BE42" s="168"/>
      <c r="BF42" s="273" t="s">
        <v>213</v>
      </c>
      <c r="BG42" s="273"/>
      <c r="BH42" s="273"/>
      <c r="BI42" s="273"/>
      <c r="BJ42" s="273"/>
      <c r="BK42" s="164" t="s">
        <v>20</v>
      </c>
      <c r="BL42" s="36" t="s">
        <v>21</v>
      </c>
    </row>
    <row r="43" spans="1:64" x14ac:dyDescent="0.25">
      <c r="A43" s="58">
        <v>4</v>
      </c>
      <c r="B43" s="289" t="s">
        <v>135</v>
      </c>
      <c r="C43" s="290"/>
      <c r="D43" s="290"/>
      <c r="E43" s="291"/>
      <c r="F43" s="57">
        <v>2</v>
      </c>
      <c r="G43" s="60">
        <f>0.98^F43</f>
        <v>0.96039999999999992</v>
      </c>
      <c r="H43" s="75">
        <f>0.98^F43</f>
        <v>0.96039999999999992</v>
      </c>
      <c r="I43" s="116">
        <v>8</v>
      </c>
      <c r="J43" s="289" t="s">
        <v>207</v>
      </c>
      <c r="K43" s="290"/>
      <c r="L43" s="290"/>
      <c r="M43" s="291"/>
      <c r="N43" s="74">
        <v>0.1</v>
      </c>
      <c r="O43" s="60">
        <f>(1-N43)+N43*EXP(0.31)</f>
        <v>1.0363425114132179</v>
      </c>
      <c r="P43" s="61">
        <v>1</v>
      </c>
      <c r="Q43" s="28"/>
      <c r="R43" s="18"/>
      <c r="S43" s="18"/>
      <c r="T43" s="18"/>
      <c r="U43" s="18"/>
      <c r="V43" s="23"/>
      <c r="W43" s="23"/>
      <c r="X43" s="29"/>
      <c r="Y43" s="115">
        <v>9</v>
      </c>
      <c r="Z43" s="286" t="s">
        <v>217</v>
      </c>
      <c r="AA43" s="287"/>
      <c r="AB43" s="288"/>
      <c r="AC43" s="82">
        <v>0.5</v>
      </c>
      <c r="AD43" s="81">
        <v>0.5</v>
      </c>
      <c r="AE43" s="60">
        <f>0.5*((1-AC43)+AC43*0.811)+0.5*((1-AD43)+AD43*0.811)</f>
        <v>0.90549999999999997</v>
      </c>
      <c r="AF43" s="61">
        <v>1</v>
      </c>
      <c r="AO43" s="58">
        <v>18</v>
      </c>
      <c r="AP43" s="268" t="s">
        <v>190</v>
      </c>
      <c r="AQ43" s="268"/>
      <c r="AR43" s="268"/>
      <c r="AS43" s="268"/>
      <c r="AT43" s="127" t="s">
        <v>188</v>
      </c>
      <c r="AU43" s="60">
        <f>IF(AS9="Signalized",IF(AT43="Channelized",(1-AP6/SUM(AP6:AP9))+AP6/SUM(AP6:AP9)*EXP(0.992),1),1)</f>
        <v>1</v>
      </c>
      <c r="AV43" s="61">
        <f>IF(AS9="Signalized",IF(AT43="Channelized",(1-AP6/SUM(AP6:AP9))+AP6/SUM(AP6:AP9)*EXP(1.429),1),1)</f>
        <v>1</v>
      </c>
      <c r="AW43" s="58"/>
      <c r="AX43" s="18"/>
      <c r="AY43" s="18"/>
      <c r="AZ43" s="18"/>
      <c r="BA43" s="18"/>
      <c r="BB43" s="23"/>
      <c r="BC43" s="22">
        <f>IF(BC37=0,1,BC37)*IF(BC38=0,1,BC38)*IF(BC39=0,1,BC39)*IF(BC40=0,1,BC40)*IF(BC41=0,1,BC41)*IF(BC42=0,1,BC42)</f>
        <v>0.71132528793599992</v>
      </c>
      <c r="BD43" s="37">
        <f>IF(BD37=0,1,BD37)*IF(BD38=0,1,BD38)*IF(BD39=0,1,BD39)*IF(BD40=0,1,BD40)*IF(BD41=0,1,BD41)*IF(BD42=0,1,BD42)</f>
        <v>0.85701841919999999</v>
      </c>
      <c r="BE43" s="168">
        <v>8</v>
      </c>
      <c r="BF43" s="289" t="s">
        <v>207</v>
      </c>
      <c r="BG43" s="290"/>
      <c r="BH43" s="290"/>
      <c r="BI43" s="291"/>
      <c r="BJ43" s="74">
        <v>0.1</v>
      </c>
      <c r="BK43" s="60">
        <f>(1-BJ43)+BJ43*EXP(0.31)</f>
        <v>1.0363425114132179</v>
      </c>
      <c r="BL43" s="61">
        <v>1</v>
      </c>
    </row>
    <row r="44" spans="1:64" x14ac:dyDescent="0.25">
      <c r="A44" s="58">
        <v>5</v>
      </c>
      <c r="B44" s="289" t="s">
        <v>127</v>
      </c>
      <c r="C44" s="290"/>
      <c r="D44" s="290"/>
      <c r="E44" s="291"/>
      <c r="F44" s="57" t="s">
        <v>132</v>
      </c>
      <c r="G44" s="60">
        <f>IF(F44="Present",1-0.38*LOOKUP(G5,Reference!$A$69:$A$72,Reference!$C$69:$C$72),1)</f>
        <v>0.91070000000000007</v>
      </c>
      <c r="H44" s="75">
        <f>IF(F44="Present",1-0.38*LOOKUP(G5,Reference!$A$69:$A$72,Reference!$C$69:$C$72),1)</f>
        <v>0.91070000000000007</v>
      </c>
      <c r="I44" s="116" t="s">
        <v>214</v>
      </c>
      <c r="J44" s="268"/>
      <c r="K44" s="268"/>
      <c r="L44" s="268"/>
      <c r="M44" s="268"/>
      <c r="N44" s="268"/>
      <c r="O44" s="60"/>
      <c r="P44" s="61"/>
      <c r="Q44" s="116"/>
      <c r="R44" s="115"/>
      <c r="S44" s="18"/>
      <c r="T44" s="18"/>
      <c r="U44" s="18"/>
      <c r="V44" s="18"/>
      <c r="W44" s="18"/>
      <c r="X44" s="29"/>
      <c r="Y44" s="115">
        <v>10</v>
      </c>
      <c r="Z44" s="286" t="s">
        <v>218</v>
      </c>
      <c r="AA44" s="288"/>
      <c r="AB44" s="76">
        <v>0.5</v>
      </c>
      <c r="AC44" s="83">
        <v>13</v>
      </c>
      <c r="AD44" s="84">
        <v>13</v>
      </c>
      <c r="AE44" s="60">
        <f>(1-AB44)*EXP(-0.00451*(AC44-AD44-20))+AB44*EXP(-0.00451*(AD44-20))</f>
        <v>1.0632333793336479</v>
      </c>
      <c r="AF44" s="61">
        <v>1</v>
      </c>
      <c r="AO44" s="58">
        <v>19</v>
      </c>
      <c r="AP44" s="268" t="s">
        <v>191</v>
      </c>
      <c r="AQ44" s="268"/>
      <c r="AR44" s="268"/>
      <c r="AS44" s="268"/>
      <c r="AT44" s="118" t="s">
        <v>132</v>
      </c>
      <c r="AU44" s="60">
        <f>IF(AS9="signalized",IF(AT44="Present",EXP(0.592),1),1)</f>
        <v>1</v>
      </c>
      <c r="AV44" s="61">
        <f>IF(AS9="signalized",IF(AT44="Present",EXP(0.52),1),1)</f>
        <v>1</v>
      </c>
      <c r="AW44" s="28"/>
      <c r="AX44" s="18"/>
      <c r="AY44" s="18"/>
      <c r="AZ44" s="18"/>
      <c r="BA44" s="18"/>
      <c r="BB44" s="23"/>
      <c r="BC44" s="23"/>
      <c r="BD44" s="29"/>
      <c r="BE44" s="168" t="s">
        <v>214</v>
      </c>
      <c r="BF44" s="268"/>
      <c r="BG44" s="268"/>
      <c r="BH44" s="268"/>
      <c r="BI44" s="268"/>
      <c r="BJ44" s="268"/>
      <c r="BK44" s="60"/>
      <c r="BL44" s="61"/>
    </row>
    <row r="45" spans="1:64" x14ac:dyDescent="0.25">
      <c r="A45" s="58">
        <v>6</v>
      </c>
      <c r="B45" s="289" t="s">
        <v>128</v>
      </c>
      <c r="C45" s="290"/>
      <c r="D45" s="290"/>
      <c r="E45" s="291"/>
      <c r="F45" s="175" t="s">
        <v>133</v>
      </c>
      <c r="G45" s="60">
        <v>1</v>
      </c>
      <c r="H45" s="75">
        <v>1</v>
      </c>
      <c r="I45" s="28"/>
      <c r="J45" s="117"/>
      <c r="K45" s="117"/>
      <c r="L45" s="117"/>
      <c r="M45" s="117"/>
      <c r="N45" s="18"/>
      <c r="O45" s="22">
        <f>IF(O44=0,1,O44)*IF(O43=0,1,O43)</f>
        <v>1.0363425114132179</v>
      </c>
      <c r="P45" s="37">
        <f>IF(P44=0,1,P44)*IF(P43=0,1,P43)</f>
        <v>1</v>
      </c>
      <c r="Q45" s="28"/>
      <c r="R45" s="18"/>
      <c r="S45" s="18"/>
      <c r="T45" s="18"/>
      <c r="U45" s="18"/>
      <c r="V45" s="18"/>
      <c r="W45" s="18"/>
      <c r="X45" s="29"/>
      <c r="Y45" s="115">
        <v>11</v>
      </c>
      <c r="Z45" s="286" t="s">
        <v>219</v>
      </c>
      <c r="AA45" s="287"/>
      <c r="AB45" s="288"/>
      <c r="AC45" s="76">
        <v>0.5</v>
      </c>
      <c r="AD45" s="78">
        <v>13</v>
      </c>
      <c r="AE45" s="60">
        <f>(1-AC45)+AC45*EXP(0.131/AD45)</f>
        <v>1.0050639331196289</v>
      </c>
      <c r="AF45" s="61">
        <f>(1-AC45)+AC45*EXP(0.169/AD45)</f>
        <v>1.0065424336799045</v>
      </c>
      <c r="AO45" s="58">
        <v>20</v>
      </c>
      <c r="AP45" s="268" t="s">
        <v>192</v>
      </c>
      <c r="AQ45" s="268"/>
      <c r="AR45" s="268"/>
      <c r="AS45" s="268"/>
      <c r="AT45" s="129">
        <v>70</v>
      </c>
      <c r="AU45" s="60">
        <f>IF(AS9="Signalized",1,(1-AP6/SUM(AP6:AP9)+AP6/SUM(AP6:AP9)*EXP(0.341*SIN(AT45)*0.001*AP6)))</f>
        <v>1.1293210021890614</v>
      </c>
      <c r="AV45" s="61">
        <v>1</v>
      </c>
      <c r="AW45" s="28"/>
      <c r="AX45" s="18"/>
      <c r="AY45" s="18"/>
      <c r="AZ45" s="18"/>
      <c r="BA45" s="18"/>
      <c r="BB45" s="23"/>
      <c r="BC45" s="23"/>
      <c r="BD45" s="29"/>
      <c r="BE45" s="28"/>
      <c r="BF45" s="170"/>
      <c r="BG45" s="170"/>
      <c r="BH45" s="170"/>
      <c r="BI45" s="170"/>
      <c r="BJ45" s="18"/>
      <c r="BK45" s="22">
        <f>IF(BK44=0,1,BK44)*IF(BK43=0,1,BK43)</f>
        <v>1.0363425114132179</v>
      </c>
      <c r="BL45" s="37">
        <f>IF(BL44=0,1,BL44)*IF(BL43=0,1,BL43)</f>
        <v>1</v>
      </c>
    </row>
    <row r="46" spans="1:64" x14ac:dyDescent="0.25">
      <c r="A46" s="58">
        <v>7</v>
      </c>
      <c r="B46" s="289"/>
      <c r="C46" s="290"/>
      <c r="D46" s="290"/>
      <c r="E46" s="291"/>
      <c r="F46" s="57"/>
      <c r="G46" s="60"/>
      <c r="H46" s="75"/>
      <c r="I46" s="28"/>
      <c r="J46" s="18"/>
      <c r="K46" s="18"/>
      <c r="L46" s="18"/>
      <c r="M46" s="18"/>
      <c r="N46" s="23"/>
      <c r="O46" s="23"/>
      <c r="P46" s="29"/>
      <c r="Q46" s="28"/>
      <c r="R46" s="18"/>
      <c r="S46" s="18"/>
      <c r="T46" s="18"/>
      <c r="U46" s="18"/>
      <c r="V46" s="18"/>
      <c r="W46" s="18"/>
      <c r="X46" s="29"/>
      <c r="Y46" s="115" t="s">
        <v>214</v>
      </c>
      <c r="Z46" s="268"/>
      <c r="AA46" s="268"/>
      <c r="AB46" s="268"/>
      <c r="AC46" s="268"/>
      <c r="AD46" s="268"/>
      <c r="AE46" s="60"/>
      <c r="AF46" s="61"/>
      <c r="AO46" s="28"/>
      <c r="AP46" s="117"/>
      <c r="AQ46" s="117"/>
      <c r="AR46" s="117"/>
      <c r="AS46" s="117"/>
      <c r="AT46" s="18"/>
      <c r="AU46" s="22">
        <f>IF(AU30=0,1,AU30)*IF(AU31=0,1,AU31)*IF(AU32=0,1,AU32)*IF(AU33=0,1,AU33)*IF(AU34=0,1,AU34)*IF(AU35=0,1,AU35)*IF(AU36=0,1,AU36)*IF(AU37=0,1,AU37)*IF(AU38=0,1,AU38)*IF(AU39=0,1,AU39)*IF(AU40=0,1,AU40)*IF(AU41=0,1,AU41)*IF(AU42=0,1,AU42)*IF(AU43=0,1,AU43)*IF(AU44=0,1,AU44)*IF(AU45=0,1,AU45)</f>
        <v>1.7709328707138539</v>
      </c>
      <c r="AV46" s="37">
        <f>IF(AV30=0,1,AV30)*IF(AV31=0,1,AV31)*IF(AV32=0,1,AV32)*IF(AV33=0,1,AV33)*IF(AV34=0,1,AV34)*IF(AV35=0,1,AV35)*IF(AV36=0,1,AV36)*IF(AV37=0,1,AV37)*IF(AV38=0,1,AV38)*IF(AV39=0,1,AV39)*IF(AV40=0,1,AV40)*IF(AV41=0,1,AV41)*IF(AV42=0,1,AV42)*IF(AV43=0,1,AV43)*IF(AV44=0,1,AV44)*IF(AV45=0,1,AV45)</f>
        <v>1.0411791414698877</v>
      </c>
      <c r="AW46" s="28"/>
      <c r="AX46" s="18"/>
      <c r="AY46" s="18"/>
      <c r="AZ46" s="18"/>
      <c r="BA46" s="18"/>
      <c r="BB46" s="23"/>
      <c r="BC46" s="23"/>
      <c r="BD46" s="29"/>
      <c r="BE46" s="28"/>
      <c r="BF46" s="18"/>
      <c r="BG46" s="18"/>
      <c r="BH46" s="18"/>
      <c r="BI46" s="18"/>
      <c r="BJ46" s="23"/>
      <c r="BK46" s="23"/>
      <c r="BL46" s="29"/>
    </row>
    <row r="47" spans="1:64" x14ac:dyDescent="0.25">
      <c r="A47" s="28"/>
      <c r="B47" s="49"/>
      <c r="C47" s="49"/>
      <c r="D47" s="49"/>
      <c r="E47" s="49"/>
      <c r="F47" s="18"/>
      <c r="G47" s="22">
        <f>IF(G37=0,1,G37)*IF(G38=0,1,G38)*IF(G39=0,1,G39)*IF(G40=0,1,G40)*IF(G41=0,1,G41)*IF(G42=0,1,G42)*IF(G43=0,1,G43)*IF(G44=0,1,G44)*IF(G45=0,1,G45)*IF(G46=0,1,G46)</f>
        <v>0.54464635754706936</v>
      </c>
      <c r="H47" s="103">
        <f>IF(H37=0,1,H37)*IF(H38=0,1,H38)*IF(H39=0,1,H39)*IF(H40=0,1,H40)*IF(H41=0,1,H41)*IF(H42=0,1,H42)*IF(H43=0,1,H43)*IF(H44=0,1,H44)*IF(H45=0,1,H45)*IF(H46=0,1,H46)</f>
        <v>0.54464635754706936</v>
      </c>
      <c r="I47" s="293"/>
      <c r="J47" s="259"/>
      <c r="K47" s="259"/>
      <c r="L47" s="18"/>
      <c r="M47" s="18"/>
      <c r="N47" s="23"/>
      <c r="O47" s="23"/>
      <c r="P47" s="29"/>
      <c r="Q47" s="28"/>
      <c r="R47" s="18"/>
      <c r="S47" s="18"/>
      <c r="T47" s="18"/>
      <c r="U47" s="18"/>
      <c r="V47" s="18"/>
      <c r="W47" s="18"/>
      <c r="X47" s="29"/>
      <c r="Y47" s="18"/>
      <c r="Z47" s="63"/>
      <c r="AA47" s="63"/>
      <c r="AB47" s="63"/>
      <c r="AC47" s="63"/>
      <c r="AD47" s="18"/>
      <c r="AE47" s="22" t="e">
        <f>IF(AE43=0,1,AE43)*IF(AE42=0,1,AE42)*IF(AE45=0,1,AE45)*IF(AE44=0,1,AE44)*IF(AE41=0,1,AE41)*IF(AE40=0,1,AE40)*IF(AE46=0,1,AE46)</f>
        <v>#VALUE!</v>
      </c>
      <c r="AF47" s="37">
        <f>IF(AF43=0,1,AF43)*IF(AF42=0,1,AF42)*IF(AF45=0,1,AF45)*IF(AF44=0,1,AF44)*IF(AF41=0,1,AF41)*IF(AF40=0,1,AF40)*IF(AF46=0,1,AF46)</f>
        <v>0.83739719760454889</v>
      </c>
      <c r="AO47" s="28"/>
      <c r="AP47" s="18"/>
      <c r="AQ47" s="18"/>
      <c r="AR47" s="18"/>
      <c r="AS47" s="18"/>
      <c r="AT47" s="18"/>
      <c r="AU47" s="18"/>
      <c r="AV47" s="29"/>
      <c r="AW47" s="28"/>
      <c r="AX47" s="18"/>
      <c r="AY47" s="18"/>
      <c r="AZ47" s="18"/>
      <c r="BA47" s="18"/>
      <c r="BB47" s="23"/>
      <c r="BC47" s="23"/>
      <c r="BD47" s="29"/>
      <c r="BE47" s="293"/>
      <c r="BF47" s="259"/>
      <c r="BG47" s="259"/>
      <c r="BH47" s="18"/>
      <c r="BI47" s="18"/>
      <c r="BJ47" s="23"/>
      <c r="BK47" s="23"/>
      <c r="BL47" s="29"/>
    </row>
    <row r="48" spans="1:64" x14ac:dyDescent="0.25">
      <c r="A48" s="28"/>
      <c r="B48" s="18"/>
      <c r="C48" s="18"/>
      <c r="D48" s="18"/>
      <c r="E48" s="18"/>
      <c r="F48" s="23"/>
      <c r="G48" s="23"/>
      <c r="H48" s="18"/>
      <c r="I48" s="28"/>
      <c r="J48" s="18"/>
      <c r="K48" s="18"/>
      <c r="L48" s="18"/>
      <c r="M48" s="18"/>
      <c r="N48" s="23"/>
      <c r="O48" s="23"/>
      <c r="P48" s="29"/>
      <c r="Q48" s="28"/>
      <c r="R48" s="18"/>
      <c r="S48" s="18"/>
      <c r="T48" s="18"/>
      <c r="U48" s="18"/>
      <c r="V48" s="18"/>
      <c r="W48" s="18"/>
      <c r="X48" s="29"/>
      <c r="Y48" s="18"/>
      <c r="Z48" s="18"/>
      <c r="AA48" s="18"/>
      <c r="AB48" s="18"/>
      <c r="AC48" s="18"/>
      <c r="AD48" s="23"/>
      <c r="AE48" s="23"/>
      <c r="AF48" s="29"/>
      <c r="AO48" s="28"/>
      <c r="AP48" s="18"/>
      <c r="AQ48" s="18"/>
      <c r="AR48" s="18"/>
      <c r="AS48" s="18"/>
      <c r="AT48" s="18"/>
      <c r="AU48" s="18"/>
      <c r="AV48" s="29"/>
      <c r="AW48" s="28"/>
      <c r="AX48" s="18"/>
      <c r="AY48" s="18"/>
      <c r="AZ48" s="18"/>
      <c r="BA48" s="18"/>
      <c r="BB48" s="23"/>
      <c r="BC48" s="23"/>
      <c r="BD48" s="29"/>
      <c r="BE48" s="28"/>
      <c r="BF48" s="18"/>
      <c r="BG48" s="18"/>
      <c r="BH48" s="18"/>
      <c r="BI48" s="18"/>
      <c r="BJ48" s="23"/>
      <c r="BK48" s="23"/>
      <c r="BL48" s="29"/>
    </row>
    <row r="49" spans="1:64" ht="16.5" thickBot="1" x14ac:dyDescent="0.3">
      <c r="A49" s="269" t="s">
        <v>121</v>
      </c>
      <c r="B49" s="270"/>
      <c r="C49" s="270"/>
      <c r="D49" s="270"/>
      <c r="E49" s="270"/>
      <c r="F49" s="270"/>
      <c r="G49" s="270"/>
      <c r="H49" s="270"/>
      <c r="I49" s="269" t="s">
        <v>121</v>
      </c>
      <c r="J49" s="270"/>
      <c r="K49" s="270"/>
      <c r="L49" s="270"/>
      <c r="M49" s="270"/>
      <c r="N49" s="270"/>
      <c r="O49" s="270"/>
      <c r="P49" s="271"/>
      <c r="Q49" s="269" t="s">
        <v>121</v>
      </c>
      <c r="R49" s="270"/>
      <c r="S49" s="270"/>
      <c r="T49" s="270"/>
      <c r="U49" s="270"/>
      <c r="V49" s="270"/>
      <c r="W49" s="270"/>
      <c r="X49" s="271"/>
      <c r="Y49" s="270" t="s">
        <v>121</v>
      </c>
      <c r="Z49" s="270"/>
      <c r="AA49" s="270"/>
      <c r="AB49" s="270"/>
      <c r="AC49" s="270"/>
      <c r="AD49" s="270"/>
      <c r="AE49" s="270"/>
      <c r="AF49" s="271"/>
      <c r="AO49" s="269" t="s">
        <v>121</v>
      </c>
      <c r="AP49" s="270"/>
      <c r="AQ49" s="270"/>
      <c r="AR49" s="270"/>
      <c r="AS49" s="270"/>
      <c r="AT49" s="270"/>
      <c r="AU49" s="270"/>
      <c r="AV49" s="271"/>
      <c r="AW49" s="269" t="s">
        <v>121</v>
      </c>
      <c r="AX49" s="270"/>
      <c r="AY49" s="270"/>
      <c r="AZ49" s="270"/>
      <c r="BA49" s="270"/>
      <c r="BB49" s="270"/>
      <c r="BC49" s="270"/>
      <c r="BD49" s="271"/>
      <c r="BE49" s="269" t="s">
        <v>121</v>
      </c>
      <c r="BF49" s="270"/>
      <c r="BG49" s="270"/>
      <c r="BH49" s="270"/>
      <c r="BI49" s="270"/>
      <c r="BJ49" s="270"/>
      <c r="BK49" s="270"/>
      <c r="BL49" s="271"/>
    </row>
    <row r="50" spans="1:64" ht="15.75" thickTop="1" x14ac:dyDescent="0.25">
      <c r="A50" s="28"/>
      <c r="B50" s="18"/>
      <c r="C50" s="18"/>
      <c r="D50" s="18"/>
      <c r="E50" s="18"/>
      <c r="F50" s="23"/>
      <c r="G50" s="23"/>
      <c r="H50" s="18"/>
      <c r="I50" s="28"/>
      <c r="J50" s="18"/>
      <c r="K50" s="18"/>
      <c r="L50" s="18"/>
      <c r="M50" s="18"/>
      <c r="N50" s="18"/>
      <c r="O50" s="18"/>
      <c r="P50" s="29"/>
      <c r="Q50" s="28"/>
      <c r="R50" s="18"/>
      <c r="S50" s="18"/>
      <c r="T50" s="18"/>
      <c r="U50" s="18"/>
      <c r="V50" s="18"/>
      <c r="W50" s="18"/>
      <c r="X50" s="29"/>
      <c r="Y50" s="28"/>
      <c r="Z50" s="18"/>
      <c r="AA50" s="18"/>
      <c r="AB50" s="18"/>
      <c r="AC50" s="18"/>
      <c r="AD50" s="18"/>
      <c r="AE50" s="18"/>
      <c r="AF50" s="29"/>
      <c r="AO50" s="28"/>
      <c r="AP50" s="18"/>
      <c r="AQ50" s="18"/>
      <c r="AR50" s="18"/>
      <c r="AS50" s="18"/>
      <c r="AT50" s="18"/>
      <c r="AU50" s="18"/>
      <c r="AV50" s="29"/>
      <c r="AW50" s="28"/>
      <c r="AX50" s="18"/>
      <c r="AY50" s="18"/>
      <c r="AZ50" s="18"/>
      <c r="BA50" s="18"/>
      <c r="BB50" s="23"/>
      <c r="BC50" s="23"/>
      <c r="BD50" s="29"/>
      <c r="BE50" s="28"/>
      <c r="BF50" s="18"/>
      <c r="BG50" s="18"/>
      <c r="BH50" s="18"/>
      <c r="BI50" s="18"/>
      <c r="BJ50" s="18"/>
      <c r="BK50" s="18"/>
      <c r="BL50" s="29"/>
    </row>
    <row r="51" spans="1:64" x14ac:dyDescent="0.25">
      <c r="A51" s="264" t="s">
        <v>119</v>
      </c>
      <c r="B51" s="263"/>
      <c r="C51" s="20">
        <f ca="1">C52+C53</f>
        <v>1.1426510457410051</v>
      </c>
      <c r="D51" s="18"/>
      <c r="E51" s="263" t="s">
        <v>112</v>
      </c>
      <c r="F51" s="263"/>
      <c r="G51" s="20">
        <f>G52+G53</f>
        <v>1.1161467624554935</v>
      </c>
      <c r="H51" s="18"/>
      <c r="I51" s="264" t="s">
        <v>19</v>
      </c>
      <c r="J51" s="263"/>
      <c r="K51" s="20">
        <f ca="1">K52+K53</f>
        <v>0.22326976244039481</v>
      </c>
      <c r="L51" s="18"/>
      <c r="M51" s="18"/>
      <c r="N51" s="18"/>
      <c r="O51" s="18"/>
      <c r="P51" s="29"/>
      <c r="Q51" s="264" t="s">
        <v>19</v>
      </c>
      <c r="R51" s="263"/>
      <c r="S51" s="20">
        <f>S52+S53</f>
        <v>1.2434802952083301</v>
      </c>
      <c r="T51" s="18"/>
      <c r="U51" s="18"/>
      <c r="V51" s="18"/>
      <c r="W51" s="18"/>
      <c r="X51" s="29"/>
      <c r="Y51" s="264" t="s">
        <v>19</v>
      </c>
      <c r="Z51" s="263"/>
      <c r="AA51" s="20" t="e">
        <f>AA52+AA53</f>
        <v>#VALUE!</v>
      </c>
      <c r="AB51" s="18"/>
      <c r="AC51" s="18"/>
      <c r="AD51" s="18"/>
      <c r="AE51" s="18"/>
      <c r="AF51" s="29"/>
      <c r="AO51" s="264" t="s">
        <v>19</v>
      </c>
      <c r="AP51" s="263"/>
      <c r="AQ51" s="20">
        <f>AQ52+AQ53</f>
        <v>0.60376817306276587</v>
      </c>
      <c r="AR51" s="18"/>
      <c r="AS51" s="18"/>
      <c r="AT51" s="18"/>
      <c r="AU51" s="18"/>
      <c r="AV51" s="29"/>
      <c r="AW51" s="264" t="s">
        <v>119</v>
      </c>
      <c r="AX51" s="263"/>
      <c r="AY51" s="20">
        <f>AY52+AY53</f>
        <v>2.7170476850572642</v>
      </c>
      <c r="AZ51" s="18"/>
      <c r="BA51" s="263" t="s">
        <v>112</v>
      </c>
      <c r="BB51" s="267"/>
      <c r="BC51" s="20">
        <f>BC52+BC53</f>
        <v>2.5778441034698902</v>
      </c>
      <c r="BD51" s="29"/>
      <c r="BE51" s="264" t="s">
        <v>19</v>
      </c>
      <c r="BF51" s="263"/>
      <c r="BG51" s="20">
        <f>BG52+BG53</f>
        <v>0.37782642020316115</v>
      </c>
      <c r="BH51" s="18"/>
      <c r="BI51" s="18"/>
      <c r="BJ51" s="18"/>
      <c r="BK51" s="18"/>
      <c r="BL51" s="29"/>
    </row>
    <row r="52" spans="1:64" x14ac:dyDescent="0.25">
      <c r="A52" s="264" t="s">
        <v>117</v>
      </c>
      <c r="B52" s="267"/>
      <c r="C52" s="20">
        <f ca="1">G52+G54+G55</f>
        <v>0.42399986418653074</v>
      </c>
      <c r="D52" s="18"/>
      <c r="E52" s="263" t="s">
        <v>113</v>
      </c>
      <c r="F52" s="263"/>
      <c r="G52" s="20">
        <f>C32*G47</f>
        <v>0.397495580901019</v>
      </c>
      <c r="H52" s="18"/>
      <c r="I52" s="264" t="s">
        <v>20</v>
      </c>
      <c r="J52" s="263"/>
      <c r="K52" s="20">
        <f ca="1">(O41*K24)+(O41*O45*K21)</f>
        <v>6.1739551395643445E-2</v>
      </c>
      <c r="L52" s="18"/>
      <c r="M52" s="18"/>
      <c r="N52" s="18"/>
      <c r="O52" s="18"/>
      <c r="P52" s="29"/>
      <c r="Q52" s="264" t="s">
        <v>20</v>
      </c>
      <c r="R52" s="263"/>
      <c r="S52" s="20">
        <f>S25*W40</f>
        <v>0.31476815673583897</v>
      </c>
      <c r="T52" s="18"/>
      <c r="U52" s="18"/>
      <c r="V52" s="18"/>
      <c r="W52" s="18"/>
      <c r="X52" s="29"/>
      <c r="Y52" s="264" t="s">
        <v>20</v>
      </c>
      <c r="Z52" s="263"/>
      <c r="AA52" s="20" t="e">
        <f>(AA15*AE32*AE38)+(AA18*AE32*AE47)</f>
        <v>#VALUE!</v>
      </c>
      <c r="AB52" s="18"/>
      <c r="AC52" s="18"/>
      <c r="AD52" s="18"/>
      <c r="AE52" s="18"/>
      <c r="AF52" s="29"/>
      <c r="AO52" s="264" t="s">
        <v>20</v>
      </c>
      <c r="AP52" s="263"/>
      <c r="AQ52" s="20">
        <f>AQ18*AU46</f>
        <v>0.40410020411216541</v>
      </c>
      <c r="AR52" s="18"/>
      <c r="AS52" s="18"/>
      <c r="AT52" s="121"/>
      <c r="AU52" s="18"/>
      <c r="AV52" s="29"/>
      <c r="AW52" s="264" t="s">
        <v>117</v>
      </c>
      <c r="AX52" s="267"/>
      <c r="AY52" s="20">
        <f>BC52+BC54+BC55</f>
        <v>0.73786406074229394</v>
      </c>
      <c r="AZ52" s="18"/>
      <c r="BA52" s="263" t="s">
        <v>113</v>
      </c>
      <c r="BB52" s="267"/>
      <c r="BC52" s="20">
        <f>AY32*BC43</f>
        <v>0.59866047915491993</v>
      </c>
      <c r="BD52" s="29"/>
      <c r="BE52" s="264" t="s">
        <v>20</v>
      </c>
      <c r="BF52" s="263"/>
      <c r="BG52" s="20">
        <f>(BK41*BG24)+(BK41*BK45*BG21)</f>
        <v>0.10033120461603501</v>
      </c>
      <c r="BH52" s="18"/>
      <c r="BI52" s="18"/>
      <c r="BJ52" s="18"/>
      <c r="BK52" s="18"/>
      <c r="BL52" s="29"/>
    </row>
    <row r="53" spans="1:64" x14ac:dyDescent="0.25">
      <c r="A53" s="264" t="s">
        <v>118</v>
      </c>
      <c r="B53" s="267"/>
      <c r="C53" s="20">
        <f>G53</f>
        <v>0.71865118155447438</v>
      </c>
      <c r="D53" s="18"/>
      <c r="E53" s="263" t="s">
        <v>114</v>
      </c>
      <c r="F53" s="263"/>
      <c r="G53" s="20">
        <f>C33*H47</f>
        <v>0.71865118155447438</v>
      </c>
      <c r="H53" s="18"/>
      <c r="I53" s="264" t="s">
        <v>21</v>
      </c>
      <c r="J53" s="267"/>
      <c r="K53" s="20">
        <f>(P41*K25)+(P41*P45*K22)</f>
        <v>0.16153021104475138</v>
      </c>
      <c r="L53" s="18"/>
      <c r="M53" s="18"/>
      <c r="N53" s="18"/>
      <c r="O53" s="18"/>
      <c r="P53" s="29"/>
      <c r="Q53" s="264" t="s">
        <v>21</v>
      </c>
      <c r="R53" s="263"/>
      <c r="S53" s="20">
        <f>S26*X40</f>
        <v>0.92871213847249123</v>
      </c>
      <c r="T53" s="18"/>
      <c r="U53" s="18"/>
      <c r="V53" s="18"/>
      <c r="W53" s="18"/>
      <c r="X53" s="29"/>
      <c r="Y53" s="264" t="s">
        <v>21</v>
      </c>
      <c r="Z53" s="263"/>
      <c r="AA53" s="20">
        <f>(AA16*AF32*AF38)+(AA19*AF32*AF47)</f>
        <v>1.355651126422353</v>
      </c>
      <c r="AB53" s="18"/>
      <c r="AC53" s="18"/>
      <c r="AD53" s="18"/>
      <c r="AE53" s="18"/>
      <c r="AF53" s="29"/>
      <c r="AO53" s="264" t="s">
        <v>21</v>
      </c>
      <c r="AP53" s="263"/>
      <c r="AQ53" s="92">
        <f>AQ19*AV46</f>
        <v>0.19966796895060046</v>
      </c>
      <c r="AR53" s="18"/>
      <c r="AS53" s="18"/>
      <c r="AT53" s="121"/>
      <c r="AU53" s="18"/>
      <c r="AV53" s="29"/>
      <c r="AW53" s="264" t="s">
        <v>118</v>
      </c>
      <c r="AX53" s="267"/>
      <c r="AY53" s="20">
        <f>BC53</f>
        <v>1.9791836243149705</v>
      </c>
      <c r="AZ53" s="18"/>
      <c r="BA53" s="263" t="s">
        <v>114</v>
      </c>
      <c r="BB53" s="267"/>
      <c r="BC53" s="20">
        <f>AY33*BD43</f>
        <v>1.9791836243149705</v>
      </c>
      <c r="BD53" s="29"/>
      <c r="BE53" s="264" t="s">
        <v>21</v>
      </c>
      <c r="BF53" s="267"/>
      <c r="BG53" s="20">
        <f>(BL41*BG25)+(BL41*BL45*BG22)</f>
        <v>0.27749521558712614</v>
      </c>
      <c r="BH53" s="18"/>
      <c r="BI53" s="18"/>
      <c r="BJ53" s="18"/>
      <c r="BK53" s="18"/>
      <c r="BL53" s="29"/>
    </row>
    <row r="54" spans="1:64" x14ac:dyDescent="0.25">
      <c r="D54" s="18"/>
      <c r="E54" s="263" t="s">
        <v>115</v>
      </c>
      <c r="F54" s="267"/>
      <c r="G54" s="20">
        <f ca="1">G25</f>
        <v>1.4226668898501342E-2</v>
      </c>
      <c r="H54" s="18"/>
      <c r="I54" s="28"/>
      <c r="J54" s="18"/>
      <c r="K54" s="18"/>
      <c r="L54" s="18"/>
      <c r="M54" s="18"/>
      <c r="N54" s="18"/>
      <c r="O54" s="18"/>
      <c r="P54" s="29"/>
      <c r="Q54" s="28"/>
      <c r="R54" s="18"/>
      <c r="S54" s="18"/>
      <c r="T54" s="18"/>
      <c r="U54" s="18"/>
      <c r="V54" s="18"/>
      <c r="W54" s="18"/>
      <c r="X54" s="29"/>
      <c r="Y54" s="28"/>
      <c r="Z54" s="18"/>
      <c r="AA54" s="18"/>
      <c r="AB54" s="18"/>
      <c r="AC54" s="18"/>
      <c r="AD54" s="18"/>
      <c r="AE54" s="18"/>
      <c r="AF54" s="29"/>
      <c r="AO54" s="28"/>
      <c r="AP54" s="18"/>
      <c r="AQ54" s="18"/>
      <c r="AR54" s="18"/>
      <c r="AS54" s="18"/>
      <c r="AT54" s="121"/>
      <c r="AU54" s="18"/>
      <c r="AV54" s="29"/>
      <c r="AW54" s="28"/>
      <c r="AX54" s="18"/>
      <c r="AY54" s="18"/>
      <c r="AZ54" s="18"/>
      <c r="BA54" s="263" t="s">
        <v>115</v>
      </c>
      <c r="BB54" s="267"/>
      <c r="BC54" s="20">
        <f>BC28</f>
        <v>9.2802387724916044E-2</v>
      </c>
      <c r="BD54" s="29"/>
      <c r="BE54" s="28"/>
      <c r="BF54" s="18"/>
      <c r="BG54" s="18"/>
      <c r="BH54" s="18"/>
      <c r="BI54" s="18"/>
      <c r="BJ54" s="18"/>
      <c r="BK54" s="18"/>
      <c r="BL54" s="29"/>
    </row>
    <row r="55" spans="1:64" x14ac:dyDescent="0.25">
      <c r="D55" s="18"/>
      <c r="E55" s="263" t="s">
        <v>116</v>
      </c>
      <c r="F55" s="267"/>
      <c r="G55" s="20">
        <f>G28</f>
        <v>1.2277614387010428E-2</v>
      </c>
      <c r="H55" s="18"/>
      <c r="I55" s="28"/>
      <c r="J55" s="18"/>
      <c r="K55" s="18"/>
      <c r="L55" s="18"/>
      <c r="M55" s="18"/>
      <c r="N55" s="18"/>
      <c r="O55" s="18"/>
      <c r="P55" s="29"/>
      <c r="Q55" s="28"/>
      <c r="R55" s="18"/>
      <c r="S55" s="18"/>
      <c r="T55" s="18"/>
      <c r="U55" s="18"/>
      <c r="V55" s="18"/>
      <c r="W55" s="18"/>
      <c r="X55" s="29"/>
      <c r="Y55" s="28"/>
      <c r="Z55" s="18"/>
      <c r="AA55" s="18"/>
      <c r="AB55" s="18"/>
      <c r="AC55" s="18"/>
      <c r="AD55" s="18"/>
      <c r="AE55" s="18"/>
      <c r="AF55" s="29"/>
      <c r="AO55" s="28"/>
      <c r="AP55" s="18"/>
      <c r="AQ55" s="18"/>
      <c r="AR55" s="18"/>
      <c r="AS55" s="18"/>
      <c r="AT55" s="121"/>
      <c r="AU55" s="18"/>
      <c r="AV55" s="29"/>
      <c r="AW55" s="28"/>
      <c r="AX55" s="18"/>
      <c r="AY55" s="18"/>
      <c r="AZ55" s="18"/>
      <c r="BA55" s="263" t="s">
        <v>116</v>
      </c>
      <c r="BB55" s="267"/>
      <c r="BC55" s="20">
        <f>BC29</f>
        <v>4.6401193862458022E-2</v>
      </c>
      <c r="BD55" s="29"/>
      <c r="BE55" s="28"/>
      <c r="BF55" s="18"/>
      <c r="BG55" s="18"/>
      <c r="BH55" s="18"/>
      <c r="BI55" s="18"/>
      <c r="BJ55" s="18"/>
      <c r="BK55" s="18"/>
      <c r="BL55" s="29"/>
    </row>
    <row r="56" spans="1:64" x14ac:dyDescent="0.25">
      <c r="A56" s="28"/>
      <c r="B56" s="18"/>
      <c r="C56" s="18"/>
      <c r="D56" s="18"/>
      <c r="E56" s="18"/>
      <c r="F56" s="18"/>
      <c r="G56" s="18"/>
      <c r="H56" s="18"/>
      <c r="I56" s="28"/>
      <c r="J56" s="18"/>
      <c r="K56" s="18"/>
      <c r="L56" s="18"/>
      <c r="M56" s="18"/>
      <c r="N56" s="18"/>
      <c r="O56" s="18"/>
      <c r="P56" s="29"/>
      <c r="Q56" s="28"/>
      <c r="R56" s="18"/>
      <c r="S56" s="18"/>
      <c r="T56" s="18"/>
      <c r="U56" s="18"/>
      <c r="V56" s="18"/>
      <c r="W56" s="18"/>
      <c r="X56" s="29"/>
      <c r="Y56" s="28"/>
      <c r="Z56" s="18"/>
      <c r="AA56" s="18"/>
      <c r="AB56" s="18"/>
      <c r="AC56" s="18"/>
      <c r="AD56" s="18"/>
      <c r="AE56" s="18"/>
      <c r="AF56" s="29"/>
      <c r="AO56" s="28"/>
      <c r="AP56" s="18"/>
      <c r="AQ56" s="18"/>
      <c r="AR56" s="18"/>
      <c r="AS56" s="18"/>
      <c r="AT56" s="121"/>
      <c r="AU56" s="18"/>
      <c r="AV56" s="29"/>
      <c r="AW56" s="28"/>
      <c r="AX56" s="18"/>
      <c r="AY56" s="18"/>
      <c r="AZ56" s="18"/>
      <c r="BA56" s="18"/>
      <c r="BB56" s="18"/>
      <c r="BC56" s="18"/>
      <c r="BD56" s="29"/>
      <c r="BE56" s="28"/>
      <c r="BF56" s="18"/>
      <c r="BG56" s="18"/>
      <c r="BH56" s="18"/>
      <c r="BI56" s="18"/>
      <c r="BJ56" s="18"/>
      <c r="BK56" s="18"/>
      <c r="BL56" s="29"/>
    </row>
    <row r="57" spans="1:64" x14ac:dyDescent="0.25">
      <c r="A57" s="30"/>
      <c r="B57" s="31"/>
      <c r="C57" s="31"/>
      <c r="D57" s="31"/>
      <c r="E57" s="31"/>
      <c r="F57" s="31"/>
      <c r="G57" s="31"/>
      <c r="H57" s="31"/>
      <c r="I57" s="30"/>
      <c r="J57" s="31"/>
      <c r="K57" s="31"/>
      <c r="L57" s="31"/>
      <c r="M57" s="31"/>
      <c r="N57" s="31"/>
      <c r="O57" s="31"/>
      <c r="P57" s="32"/>
      <c r="Q57" s="30"/>
      <c r="R57" s="31"/>
      <c r="S57" s="31"/>
      <c r="T57" s="31"/>
      <c r="U57" s="31"/>
      <c r="V57" s="31"/>
      <c r="W57" s="31"/>
      <c r="X57" s="32"/>
      <c r="Y57" s="30"/>
      <c r="Z57" s="31"/>
      <c r="AA57" s="31"/>
      <c r="AB57" s="31"/>
      <c r="AC57" s="31"/>
      <c r="AD57" s="31"/>
      <c r="AE57" s="31"/>
      <c r="AF57" s="32"/>
      <c r="AO57" s="30"/>
      <c r="AP57" s="31"/>
      <c r="AQ57" s="31"/>
      <c r="AR57" s="31"/>
      <c r="AS57" s="31"/>
      <c r="AT57" s="130"/>
      <c r="AU57" s="31"/>
      <c r="AV57" s="32"/>
      <c r="AW57" s="30"/>
      <c r="AX57" s="31"/>
      <c r="AY57" s="31"/>
      <c r="AZ57" s="31"/>
      <c r="BA57" s="31"/>
      <c r="BB57" s="31"/>
      <c r="BC57" s="31"/>
      <c r="BD57" s="32"/>
      <c r="BE57" s="30"/>
      <c r="BF57" s="31"/>
      <c r="BG57" s="31"/>
      <c r="BH57" s="31"/>
      <c r="BI57" s="31"/>
      <c r="BJ57" s="31"/>
      <c r="BK57" s="31"/>
      <c r="BL57" s="32"/>
    </row>
    <row r="58" spans="1:64" x14ac:dyDescent="0.25">
      <c r="AT58" s="91"/>
      <c r="AW58" s="90"/>
      <c r="AX58" s="90"/>
      <c r="AY58" s="90"/>
      <c r="AZ58" s="90"/>
      <c r="BA58" s="90"/>
      <c r="BB58" s="90"/>
      <c r="BC58" s="90"/>
      <c r="BD58" s="90"/>
    </row>
    <row r="59" spans="1:64" x14ac:dyDescent="0.25">
      <c r="AT59" s="91"/>
      <c r="AW59" s="18"/>
      <c r="AX59" s="18"/>
      <c r="AY59" s="18"/>
      <c r="AZ59" s="18"/>
      <c r="BA59" s="18"/>
      <c r="BB59" s="18"/>
      <c r="BC59" s="18"/>
      <c r="BD59" s="18"/>
    </row>
    <row r="60" spans="1:64" x14ac:dyDescent="0.25">
      <c r="AT60" s="91"/>
      <c r="AW60" s="18"/>
      <c r="AX60" s="18"/>
      <c r="AY60" s="18"/>
      <c r="AZ60" s="18"/>
      <c r="BA60" s="18"/>
      <c r="BB60" s="18"/>
      <c r="BC60" s="18"/>
      <c r="BD60" s="18"/>
    </row>
    <row r="61" spans="1:64" x14ac:dyDescent="0.25">
      <c r="AT61" s="91"/>
    </row>
  </sheetData>
  <dataConsolidate/>
  <mergeCells count="304">
    <mergeCell ref="BE53:BF53"/>
    <mergeCell ref="BF40:BJ40"/>
    <mergeCell ref="BF41:BJ41"/>
    <mergeCell ref="BF42:BJ42"/>
    <mergeCell ref="BF43:BI43"/>
    <mergeCell ref="BF44:BJ44"/>
    <mergeCell ref="BE47:BG47"/>
    <mergeCell ref="BE49:BL49"/>
    <mergeCell ref="BE51:BF51"/>
    <mergeCell ref="BE52:BF52"/>
    <mergeCell ref="BE29:BF29"/>
    <mergeCell ref="BF32:BJ32"/>
    <mergeCell ref="BF33:BJ33"/>
    <mergeCell ref="BF34:BI34"/>
    <mergeCell ref="BF35:BI35"/>
    <mergeCell ref="BF36:BI36"/>
    <mergeCell ref="BF37:BH37"/>
    <mergeCell ref="BF38:BH38"/>
    <mergeCell ref="BF39:BH39"/>
    <mergeCell ref="BE11:BF11"/>
    <mergeCell ref="BE20:BF20"/>
    <mergeCell ref="BE21:BF21"/>
    <mergeCell ref="BE22:BF22"/>
    <mergeCell ref="BE23:BF23"/>
    <mergeCell ref="BE24:BF24"/>
    <mergeCell ref="BE25:BF25"/>
    <mergeCell ref="BE27:BF27"/>
    <mergeCell ref="BE28:BF28"/>
    <mergeCell ref="BE1:BL1"/>
    <mergeCell ref="BE2:BL2"/>
    <mergeCell ref="BF3:BJ3"/>
    <mergeCell ref="BK3:BL3"/>
    <mergeCell ref="BI5:BJ5"/>
    <mergeCell ref="BK5:BL5"/>
    <mergeCell ref="BE8:BF8"/>
    <mergeCell ref="BE9:BF9"/>
    <mergeCell ref="BE10:BF10"/>
    <mergeCell ref="Z27:AD27"/>
    <mergeCell ref="Z31:AD31"/>
    <mergeCell ref="Z32:AD32"/>
    <mergeCell ref="Z33:AD33"/>
    <mergeCell ref="Y23:Z23"/>
    <mergeCell ref="Y21:Z21"/>
    <mergeCell ref="Z45:AB45"/>
    <mergeCell ref="AO31:AO32"/>
    <mergeCell ref="AO33:AO34"/>
    <mergeCell ref="AH30:AL31"/>
    <mergeCell ref="AO37:AO38"/>
    <mergeCell ref="AO39:AO40"/>
    <mergeCell ref="Z34:AA34"/>
    <mergeCell ref="Z37:AD37"/>
    <mergeCell ref="Z43:AB43"/>
    <mergeCell ref="Z44:AA44"/>
    <mergeCell ref="Z38:AD38"/>
    <mergeCell ref="Z36:AD36"/>
    <mergeCell ref="AB35:AD35"/>
    <mergeCell ref="Z35:AA35"/>
    <mergeCell ref="Z40:AA40"/>
    <mergeCell ref="E54:F54"/>
    <mergeCell ref="AO41:AO42"/>
    <mergeCell ref="AP42:AS42"/>
    <mergeCell ref="AP41:AS41"/>
    <mergeCell ref="AP31:AS31"/>
    <mergeCell ref="AP32:AS32"/>
    <mergeCell ref="AP33:AS33"/>
    <mergeCell ref="AP34:AS34"/>
    <mergeCell ref="E55:F55"/>
    <mergeCell ref="Y52:Z52"/>
    <mergeCell ref="Z46:AD46"/>
    <mergeCell ref="J40:N40"/>
    <mergeCell ref="J41:N41"/>
    <mergeCell ref="J42:N42"/>
    <mergeCell ref="R39:V39"/>
    <mergeCell ref="J43:M43"/>
    <mergeCell ref="Z39:AD39"/>
    <mergeCell ref="AB41:AD41"/>
    <mergeCell ref="Z41:AA41"/>
    <mergeCell ref="Z42:AC42"/>
    <mergeCell ref="J38:L38"/>
    <mergeCell ref="Y49:AF49"/>
    <mergeCell ref="I52:J52"/>
    <mergeCell ref="Q52:R52"/>
    <mergeCell ref="A53:B53"/>
    <mergeCell ref="A51:B51"/>
    <mergeCell ref="A49:H49"/>
    <mergeCell ref="A37:A38"/>
    <mergeCell ref="A39:A40"/>
    <mergeCell ref="A41:A42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E52:F52"/>
    <mergeCell ref="E53:F53"/>
    <mergeCell ref="E51:F51"/>
    <mergeCell ref="A52:B52"/>
    <mergeCell ref="C3:F3"/>
    <mergeCell ref="A11:B11"/>
    <mergeCell ref="A12:B12"/>
    <mergeCell ref="A13:B13"/>
    <mergeCell ref="A9:B9"/>
    <mergeCell ref="A10:B10"/>
    <mergeCell ref="G5:H5"/>
    <mergeCell ref="E5:F5"/>
    <mergeCell ref="AP29:AT29"/>
    <mergeCell ref="AO17:AP17"/>
    <mergeCell ref="AO18:AP18"/>
    <mergeCell ref="AO19:AP19"/>
    <mergeCell ref="J3:N3"/>
    <mergeCell ref="AH27:AL28"/>
    <mergeCell ref="AQ7:AR7"/>
    <mergeCell ref="AE3:AF3"/>
    <mergeCell ref="I20:J20"/>
    <mergeCell ref="I21:J21"/>
    <mergeCell ref="I22:J22"/>
    <mergeCell ref="I23:J23"/>
    <mergeCell ref="I24:J24"/>
    <mergeCell ref="I25:J25"/>
    <mergeCell ref="Q14:R14"/>
    <mergeCell ref="Q15:R15"/>
    <mergeCell ref="Q49:X49"/>
    <mergeCell ref="I51:J51"/>
    <mergeCell ref="J33:N33"/>
    <mergeCell ref="I47:K47"/>
    <mergeCell ref="I27:J27"/>
    <mergeCell ref="A1:H1"/>
    <mergeCell ref="I1:P1"/>
    <mergeCell ref="O3:P3"/>
    <mergeCell ref="I2:P2"/>
    <mergeCell ref="I28:J28"/>
    <mergeCell ref="A2:H2"/>
    <mergeCell ref="G3:H3"/>
    <mergeCell ref="A8:B8"/>
    <mergeCell ref="A31:B31"/>
    <mergeCell ref="A32:B32"/>
    <mergeCell ref="A24:B24"/>
    <mergeCell ref="A25:B25"/>
    <mergeCell ref="A26:B26"/>
    <mergeCell ref="A27:B27"/>
    <mergeCell ref="A28:B28"/>
    <mergeCell ref="A3:B3"/>
    <mergeCell ref="A15:B15"/>
    <mergeCell ref="C15:F15"/>
    <mergeCell ref="G15:H15"/>
    <mergeCell ref="B36:F36"/>
    <mergeCell ref="A29:B29"/>
    <mergeCell ref="J44:N44"/>
    <mergeCell ref="J34:M34"/>
    <mergeCell ref="J35:M35"/>
    <mergeCell ref="J36:M36"/>
    <mergeCell ref="J37:L37"/>
    <mergeCell ref="J39:L39"/>
    <mergeCell ref="M5:N5"/>
    <mergeCell ref="E25:F25"/>
    <mergeCell ref="E28:F28"/>
    <mergeCell ref="A20:B20"/>
    <mergeCell ref="A22:B22"/>
    <mergeCell ref="E22:F22"/>
    <mergeCell ref="A33:B33"/>
    <mergeCell ref="J32:N32"/>
    <mergeCell ref="O5:P5"/>
    <mergeCell ref="I8:J8"/>
    <mergeCell ref="I9:J9"/>
    <mergeCell ref="I10:J10"/>
    <mergeCell ref="I11:J11"/>
    <mergeCell ref="Y14:Z14"/>
    <mergeCell ref="I29:J29"/>
    <mergeCell ref="Y53:Z53"/>
    <mergeCell ref="I49:P49"/>
    <mergeCell ref="I53:J53"/>
    <mergeCell ref="Y51:Z51"/>
    <mergeCell ref="Q51:R51"/>
    <mergeCell ref="Y8:Z8"/>
    <mergeCell ref="Y9:Z9"/>
    <mergeCell ref="Y22:Z22"/>
    <mergeCell ref="R29:V29"/>
    <mergeCell ref="Z26:AD26"/>
    <mergeCell ref="Y10:Z10"/>
    <mergeCell ref="Y11:Z11"/>
    <mergeCell ref="Q53:R53"/>
    <mergeCell ref="Q8:R8"/>
    <mergeCell ref="Q9:R9"/>
    <mergeCell ref="Q24:R24"/>
    <mergeCell ref="Q42:S42"/>
    <mergeCell ref="Q1:X1"/>
    <mergeCell ref="Q2:X2"/>
    <mergeCell ref="R3:V3"/>
    <mergeCell ref="U5:V5"/>
    <mergeCell ref="W5:X5"/>
    <mergeCell ref="W3:X3"/>
    <mergeCell ref="Y1:AF1"/>
    <mergeCell ref="Y2:AF2"/>
    <mergeCell ref="Z3:AD3"/>
    <mergeCell ref="AC5:AD5"/>
    <mergeCell ref="AE5:AF5"/>
    <mergeCell ref="R34:V34"/>
    <mergeCell ref="R35:V35"/>
    <mergeCell ref="R36:V36"/>
    <mergeCell ref="R37:V37"/>
    <mergeCell ref="R38:V38"/>
    <mergeCell ref="Z28:AC28"/>
    <mergeCell ref="Z29:AC29"/>
    <mergeCell ref="Z30:AB30"/>
    <mergeCell ref="BC14:BD14"/>
    <mergeCell ref="AW29:AX29"/>
    <mergeCell ref="AX37:AY37"/>
    <mergeCell ref="AP30:AR30"/>
    <mergeCell ref="AX38:AZ38"/>
    <mergeCell ref="R30:V30"/>
    <mergeCell ref="R31:V31"/>
    <mergeCell ref="R32:V32"/>
    <mergeCell ref="R33:V33"/>
    <mergeCell ref="Q25:R25"/>
    <mergeCell ref="Q26:R26"/>
    <mergeCell ref="Y15:Z15"/>
    <mergeCell ref="Y16:Z16"/>
    <mergeCell ref="Y17:Z17"/>
    <mergeCell ref="Y18:Z18"/>
    <mergeCell ref="Y19:Z19"/>
    <mergeCell ref="BA6:BB6"/>
    <mergeCell ref="BC6:BD6"/>
    <mergeCell ref="AU5:AV5"/>
    <mergeCell ref="AO13:AP13"/>
    <mergeCell ref="AO14:AP14"/>
    <mergeCell ref="AG1:AN1"/>
    <mergeCell ref="AG2:AN2"/>
    <mergeCell ref="AH3:AL3"/>
    <mergeCell ref="AM3:AN3"/>
    <mergeCell ref="AG11:AH11"/>
    <mergeCell ref="AG12:AH12"/>
    <mergeCell ref="AO1:AV1"/>
    <mergeCell ref="AO2:AV2"/>
    <mergeCell ref="AQ3:AT3"/>
    <mergeCell ref="AU3:AV3"/>
    <mergeCell ref="AO3:AP3"/>
    <mergeCell ref="AW1:BD1"/>
    <mergeCell ref="AW2:BD2"/>
    <mergeCell ref="AW3:AX3"/>
    <mergeCell ref="AY3:BB3"/>
    <mergeCell ref="BC3:BD3"/>
    <mergeCell ref="BA5:BB5"/>
    <mergeCell ref="BC5:BD5"/>
    <mergeCell ref="AW8:AX8"/>
    <mergeCell ref="AW9:AX9"/>
    <mergeCell ref="BA55:BB55"/>
    <mergeCell ref="AW51:AX51"/>
    <mergeCell ref="AW52:AX52"/>
    <mergeCell ref="AW53:AX53"/>
    <mergeCell ref="BA24:BB24"/>
    <mergeCell ref="BA25:BB25"/>
    <mergeCell ref="BA26:BB26"/>
    <mergeCell ref="BA29:BB29"/>
    <mergeCell ref="AX41:BA41"/>
    <mergeCell ref="AX42:BA42"/>
    <mergeCell ref="AW49:BD49"/>
    <mergeCell ref="BA51:BB51"/>
    <mergeCell ref="AW32:AX32"/>
    <mergeCell ref="AW33:AX33"/>
    <mergeCell ref="AX36:BB36"/>
    <mergeCell ref="AX39:BA39"/>
    <mergeCell ref="AX40:BA40"/>
    <mergeCell ref="AW24:AX24"/>
    <mergeCell ref="AW25:AX25"/>
    <mergeCell ref="BA28:BB28"/>
    <mergeCell ref="AW26:AX26"/>
    <mergeCell ref="AW27:AX27"/>
    <mergeCell ref="AW28:AX28"/>
    <mergeCell ref="BA52:BB52"/>
    <mergeCell ref="BA53:BB53"/>
    <mergeCell ref="BA54:BB54"/>
    <mergeCell ref="AW31:AX31"/>
    <mergeCell ref="AP36:AR36"/>
    <mergeCell ref="AO53:AP53"/>
    <mergeCell ref="AO52:AP52"/>
    <mergeCell ref="AO51:AP51"/>
    <mergeCell ref="AP45:AS45"/>
    <mergeCell ref="AP43:AS43"/>
    <mergeCell ref="AP44:AS44"/>
    <mergeCell ref="AO49:AV49"/>
    <mergeCell ref="AP35:AR35"/>
    <mergeCell ref="AP37:AR37"/>
    <mergeCell ref="AP38:AR38"/>
    <mergeCell ref="AW10:AX10"/>
    <mergeCell ref="AW11:AX11"/>
    <mergeCell ref="AW12:AX12"/>
    <mergeCell ref="AW13:AX13"/>
    <mergeCell ref="AW14:AX14"/>
    <mergeCell ref="AY14:BB14"/>
    <mergeCell ref="AW22:AX22"/>
    <mergeCell ref="BA22:BB22"/>
    <mergeCell ref="AW16:AX16"/>
    <mergeCell ref="AW17:AX17"/>
    <mergeCell ref="AW18:AX18"/>
    <mergeCell ref="AW19:AX19"/>
    <mergeCell ref="BA16:BB16"/>
    <mergeCell ref="BA17:BB17"/>
    <mergeCell ref="BA19:BB19"/>
    <mergeCell ref="BA18:BB18"/>
  </mergeCells>
  <dataValidations count="15">
    <dataValidation type="list" allowBlank="1" showInputMessage="1" showErrorMessage="1" sqref="F37:F38 F41:F42">
      <formula1>"0,1,2"</formula1>
    </dataValidation>
    <dataValidation type="list" allowBlank="1" showInputMessage="1" showErrorMessage="1" sqref="F43">
      <formula1>"0,1,2,3,4"</formula1>
    </dataValidation>
    <dataValidation type="list" allowBlank="1" showInputMessage="1" showErrorMessage="1" sqref="AS5">
      <formula1>"Rural,Urban"</formula1>
    </dataValidation>
    <dataValidation type="whole" allowBlank="1" showInputMessage="1" showErrorMessage="1" sqref="AS7">
      <formula1>2</formula1>
      <formula2>6</formula2>
    </dataValidation>
    <dataValidation type="list" allowBlank="1" showInputMessage="1" showErrorMessage="1" sqref="AS9">
      <formula1>"Signalized, Unsignalized"</formula1>
    </dataValidation>
    <dataValidation type="list" allowBlank="1" showInputMessage="1" showErrorMessage="1" sqref="AT30">
      <formula1>"Merge/Freeflow,Signal/Stop/Yield"</formula1>
    </dataValidation>
    <dataValidation type="list" allowBlank="1" showInputMessage="1" showErrorMessage="1" sqref="AT31:AT34 AT44 BB40:BB41">
      <formula1>"Present, Not Present"</formula1>
    </dataValidation>
    <dataValidation type="list" allowBlank="1" showInputMessage="1" showErrorMessage="1" sqref="AT39:AT40">
      <formula1>"Protected Only, Permissive"</formula1>
    </dataValidation>
    <dataValidation type="list" allowBlank="1" showInputMessage="1" showErrorMessage="1" sqref="AT41:AT43">
      <formula1>"Channelized, Not Channelized"</formula1>
    </dataValidation>
    <dataValidation type="list" allowBlank="1" showInputMessage="1" showErrorMessage="1" sqref="N39 BJ39">
      <formula1>"Lane Add, Lane Drop, Not Present"</formula1>
    </dataValidation>
    <dataValidation type="list" allowBlank="1" showInputMessage="1" showErrorMessage="1" sqref="BC6:BD6">
      <formula1>"30 MPH or Lower, Greater Than 30 MPH"</formula1>
    </dataValidation>
    <dataValidation type="list" allowBlank="1" showInputMessage="1" showErrorMessage="1" sqref="BA37">
      <formula1>"None, Parallel, Angle"</formula1>
    </dataValidation>
    <dataValidation type="list" allowBlank="1" showInputMessage="1" showErrorMessage="1" sqref="BB37">
      <formula1>"Residential/Other, Commercial/Industrial/Institutional"</formula1>
    </dataValidation>
    <dataValidation type="list" allowBlank="1" showInputMessage="1" showErrorMessage="1" sqref="BB38">
      <formula1>"2,5,10,15,20,25,30"</formula1>
    </dataValidation>
    <dataValidation type="list" allowBlank="1" showInputMessage="1" showErrorMessage="1" sqref="T6">
      <formula1>"Right, Left"</formula1>
    </dataValidation>
  </dataValidations>
  <pageMargins left="0.7" right="0.7" top="0.75" bottom="0.75" header="0.3" footer="0.3"/>
  <pageSetup paperSize="3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Reference!$A$4:$A$7</xm:f>
          </x14:formula1>
          <xm:sqref>G5:H5</xm:sqref>
        </x14:dataValidation>
        <x14:dataValidation type="list" allowBlank="1" showInputMessage="1" showErrorMessage="1">
          <x14:formula1>
            <xm:f>Reference!$A$170:$A$175</xm:f>
          </x14:formula1>
          <xm:sqref>O5:P5</xm:sqref>
        </x14:dataValidation>
        <x14:dataValidation type="list" allowBlank="1" showInputMessage="1" showErrorMessage="1">
          <x14:formula1>
            <xm:f>Reference!$A$197:$A$204</xm:f>
          </x14:formula1>
          <xm:sqref>W5:X5</xm:sqref>
        </x14:dataValidation>
        <x14:dataValidation type="list" allowBlank="1" showInputMessage="1" showErrorMessage="1">
          <x14:formula1>
            <xm:f>Reference!$A$53:$A$55</xm:f>
          </x14:formula1>
          <xm:sqref>F39:F40</xm:sqref>
        </x14:dataValidation>
        <x14:dataValidation type="list" allowBlank="1" showInputMessage="1" showErrorMessage="1">
          <x14:formula1>
            <xm:f>Reference!$A$66:$A$67</xm:f>
          </x14:formula1>
          <xm:sqref>F44:F45 AE40</xm:sqref>
        </x14:dataValidation>
        <x14:dataValidation type="list" allowBlank="1" showInputMessage="1" showErrorMessage="1">
          <x14:formula1>
            <xm:f>Reference!$A$269:$A$275</xm:f>
          </x14:formula1>
          <xm:sqref>AU5:AV5</xm:sqref>
        </x14:dataValidation>
        <x14:dataValidation type="list" allowBlank="1" showInputMessage="1" showErrorMessage="1">
          <x14:formula1>
            <xm:f>Reference!$A$81:$A$85</xm:f>
          </x14:formula1>
          <xm:sqref>BC5:BD5</xm:sqref>
        </x14:dataValidation>
        <x14:dataValidation type="list" allowBlank="1" showInputMessage="1" showErrorMessage="1">
          <x14:formula1>
            <xm:f>Reference!$A$142:$A$154</xm:f>
          </x14:formula1>
          <xm:sqref>BB39</xm:sqref>
        </x14:dataValidation>
        <x14:dataValidation type="list" allowBlank="1" showInputMessage="1" showErrorMessage="1">
          <x14:formula1>
            <xm:f>Reference!$A$249:$A$252</xm:f>
          </x14:formula1>
          <xm:sqref>AE5:AF5</xm:sqref>
        </x14:dataValidation>
        <x14:dataValidation type="list" allowBlank="1" showInputMessage="1" showErrorMessage="1">
          <x14:formula1>
            <xm:f>Reference!$A$387:$A$389</xm:f>
          </x14:formula1>
          <xm:sqref>BK5:BL5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7"/>
  <sheetViews>
    <sheetView zoomScale="85" zoomScaleNormal="85" workbookViewId="0">
      <selection activeCell="AU5" sqref="AU5:AV5"/>
    </sheetView>
  </sheetViews>
  <sheetFormatPr defaultRowHeight="15" x14ac:dyDescent="0.25"/>
  <cols>
    <col min="58" max="58" width="24.28515625" bestFit="1" customWidth="1"/>
  </cols>
  <sheetData>
    <row r="1" spans="1:61" ht="15.75" x14ac:dyDescent="0.25">
      <c r="A1" s="280" t="s">
        <v>351</v>
      </c>
      <c r="B1" s="280"/>
      <c r="C1" s="280"/>
      <c r="D1" s="280"/>
      <c r="E1" s="280"/>
      <c r="F1" s="280"/>
      <c r="G1" s="280"/>
      <c r="H1" s="283"/>
      <c r="I1" s="279" t="s">
        <v>352</v>
      </c>
      <c r="J1" s="280"/>
      <c r="K1" s="280"/>
      <c r="L1" s="280"/>
      <c r="M1" s="280"/>
      <c r="N1" s="280"/>
      <c r="O1" s="280"/>
      <c r="P1" s="280"/>
      <c r="Q1" s="279" t="s">
        <v>353</v>
      </c>
      <c r="R1" s="280"/>
      <c r="S1" s="280"/>
      <c r="T1" s="280"/>
      <c r="U1" s="280"/>
      <c r="V1" s="280"/>
      <c r="W1" s="280"/>
      <c r="X1" s="283"/>
      <c r="Y1" s="279" t="s">
        <v>354</v>
      </c>
      <c r="Z1" s="280"/>
      <c r="AA1" s="280"/>
      <c r="AB1" s="280"/>
      <c r="AC1" s="280"/>
      <c r="AD1" s="280"/>
      <c r="AE1" s="280"/>
      <c r="AF1" s="283"/>
      <c r="AG1" s="279" t="s">
        <v>355</v>
      </c>
      <c r="AH1" s="280"/>
      <c r="AI1" s="280"/>
      <c r="AJ1" s="280"/>
      <c r="AK1" s="280"/>
      <c r="AL1" s="280"/>
      <c r="AM1" s="280"/>
      <c r="AN1" s="283"/>
      <c r="AO1" s="279" t="s">
        <v>356</v>
      </c>
      <c r="AP1" s="280"/>
      <c r="AQ1" s="280"/>
      <c r="AR1" s="280"/>
      <c r="AS1" s="280"/>
      <c r="AT1" s="280"/>
      <c r="AU1" s="280"/>
      <c r="AV1" s="283"/>
      <c r="AW1" s="279" t="s">
        <v>357</v>
      </c>
      <c r="AX1" s="280"/>
      <c r="AY1" s="280"/>
      <c r="AZ1" s="280"/>
      <c r="BA1" s="280"/>
      <c r="BB1" s="280"/>
      <c r="BC1" s="280"/>
      <c r="BD1" s="283"/>
      <c r="BF1" s="309" t="s">
        <v>359</v>
      </c>
      <c r="BG1" s="309"/>
      <c r="BH1" s="309"/>
      <c r="BI1" s="309"/>
    </row>
    <row r="2" spans="1:61" ht="15.75" x14ac:dyDescent="0.25">
      <c r="A2" s="282" t="s">
        <v>64</v>
      </c>
      <c r="B2" s="282"/>
      <c r="C2" s="282"/>
      <c r="D2" s="282"/>
      <c r="E2" s="282"/>
      <c r="F2" s="282"/>
      <c r="G2" s="282"/>
      <c r="H2" s="284"/>
      <c r="I2" s="281" t="s">
        <v>68</v>
      </c>
      <c r="J2" s="282"/>
      <c r="K2" s="282"/>
      <c r="L2" s="282"/>
      <c r="M2" s="282"/>
      <c r="N2" s="282"/>
      <c r="O2" s="282"/>
      <c r="P2" s="282"/>
      <c r="Q2" s="281" t="s">
        <v>47</v>
      </c>
      <c r="R2" s="282"/>
      <c r="S2" s="282"/>
      <c r="T2" s="282"/>
      <c r="U2" s="282"/>
      <c r="V2" s="282"/>
      <c r="W2" s="282"/>
      <c r="X2" s="284"/>
      <c r="Y2" s="281" t="s">
        <v>47</v>
      </c>
      <c r="Z2" s="282"/>
      <c r="AA2" s="282"/>
      <c r="AB2" s="282"/>
      <c r="AC2" s="282"/>
      <c r="AD2" s="282"/>
      <c r="AE2" s="282"/>
      <c r="AF2" s="284"/>
      <c r="AG2" s="281" t="s">
        <v>47</v>
      </c>
      <c r="AH2" s="282"/>
      <c r="AI2" s="282"/>
      <c r="AJ2" s="282"/>
      <c r="AK2" s="282"/>
      <c r="AL2" s="282"/>
      <c r="AM2" s="282"/>
      <c r="AN2" s="284"/>
      <c r="AO2" s="281" t="s">
        <v>138</v>
      </c>
      <c r="AP2" s="282"/>
      <c r="AQ2" s="282"/>
      <c r="AR2" s="282"/>
      <c r="AS2" s="282"/>
      <c r="AT2" s="282"/>
      <c r="AU2" s="282"/>
      <c r="AV2" s="284"/>
      <c r="AW2" s="281" t="s">
        <v>138</v>
      </c>
      <c r="AX2" s="282"/>
      <c r="AY2" s="282"/>
      <c r="AZ2" s="282"/>
      <c r="BA2" s="282"/>
      <c r="BB2" s="282"/>
      <c r="BC2" s="282"/>
      <c r="BD2" s="284"/>
      <c r="BF2" s="145"/>
      <c r="BG2" s="176" t="s">
        <v>20</v>
      </c>
      <c r="BH2" s="176" t="s">
        <v>21</v>
      </c>
      <c r="BI2" s="176" t="s">
        <v>358</v>
      </c>
    </row>
    <row r="3" spans="1:61" x14ac:dyDescent="0.25">
      <c r="A3" s="53" t="s">
        <v>0</v>
      </c>
      <c r="B3" s="259" t="s">
        <v>67</v>
      </c>
      <c r="C3" s="259"/>
      <c r="D3" s="259"/>
      <c r="E3" s="259"/>
      <c r="F3" s="259"/>
      <c r="G3" s="259" t="s">
        <v>392</v>
      </c>
      <c r="H3" s="285"/>
      <c r="I3" s="27" t="s">
        <v>0</v>
      </c>
      <c r="J3" s="259" t="s">
        <v>69</v>
      </c>
      <c r="K3" s="259"/>
      <c r="L3" s="259"/>
      <c r="M3" s="259"/>
      <c r="N3" s="259"/>
      <c r="O3" s="259" t="s">
        <v>70</v>
      </c>
      <c r="P3" s="259"/>
      <c r="Q3" s="27" t="s">
        <v>0</v>
      </c>
      <c r="R3" s="259" t="s">
        <v>48</v>
      </c>
      <c r="S3" s="259"/>
      <c r="T3" s="259"/>
      <c r="U3" s="259"/>
      <c r="V3" s="259"/>
      <c r="W3" s="259" t="s">
        <v>58</v>
      </c>
      <c r="X3" s="285"/>
      <c r="Y3" s="27" t="s">
        <v>0</v>
      </c>
      <c r="Z3" s="259" t="s">
        <v>48</v>
      </c>
      <c r="AA3" s="259"/>
      <c r="AB3" s="259"/>
      <c r="AC3" s="259"/>
      <c r="AD3" s="259"/>
      <c r="AE3" s="259" t="s">
        <v>58</v>
      </c>
      <c r="AF3" s="285"/>
      <c r="AG3" s="27" t="s">
        <v>0</v>
      </c>
      <c r="AH3" s="259" t="s">
        <v>48</v>
      </c>
      <c r="AI3" s="259"/>
      <c r="AJ3" s="259"/>
      <c r="AK3" s="259"/>
      <c r="AL3" s="259"/>
      <c r="AM3" s="259" t="s">
        <v>58</v>
      </c>
      <c r="AN3" s="285"/>
      <c r="AO3" s="264" t="s">
        <v>0</v>
      </c>
      <c r="AP3" s="263"/>
      <c r="AQ3" s="259" t="s">
        <v>139</v>
      </c>
      <c r="AR3" s="259"/>
      <c r="AS3" s="259"/>
      <c r="AT3" s="259"/>
      <c r="AU3" s="259" t="s">
        <v>385</v>
      </c>
      <c r="AV3" s="285"/>
      <c r="AW3" s="264" t="s">
        <v>0</v>
      </c>
      <c r="AX3" s="263"/>
      <c r="AY3" s="259" t="s">
        <v>139</v>
      </c>
      <c r="AZ3" s="259"/>
      <c r="BA3" s="259"/>
      <c r="BB3" s="259"/>
      <c r="BC3" s="259" t="s">
        <v>385</v>
      </c>
      <c r="BD3" s="285"/>
      <c r="BF3" s="145" t="str">
        <f>A1</f>
        <v>Segment from MLK to I-10</v>
      </c>
      <c r="BG3" s="181">
        <f>C52</f>
        <v>7.7527084601267093</v>
      </c>
      <c r="BH3" s="181">
        <f>C53</f>
        <v>18.892373007598788</v>
      </c>
      <c r="BI3" s="208">
        <f t="shared" ref="BI3:BI8" si="0">BH3+BG3</f>
        <v>26.645081467725497</v>
      </c>
    </row>
    <row r="4" spans="1:61" x14ac:dyDescent="0.25">
      <c r="A4" s="18"/>
      <c r="B4" s="17"/>
      <c r="C4" s="17"/>
      <c r="D4" s="17"/>
      <c r="E4" s="17"/>
      <c r="F4" s="17"/>
      <c r="G4" s="17"/>
      <c r="H4" s="33"/>
      <c r="I4" s="28"/>
      <c r="J4" s="18"/>
      <c r="K4" s="18"/>
      <c r="L4" s="18"/>
      <c r="M4" s="18"/>
      <c r="N4" s="18"/>
      <c r="O4" s="18"/>
      <c r="P4" s="18"/>
      <c r="Q4" s="28"/>
      <c r="R4" s="17"/>
      <c r="S4" s="17"/>
      <c r="T4" s="17"/>
      <c r="U4" s="17"/>
      <c r="V4" s="17"/>
      <c r="W4" s="17"/>
      <c r="X4" s="33"/>
      <c r="Y4" s="28"/>
      <c r="Z4" s="17"/>
      <c r="AA4" s="17"/>
      <c r="AB4" s="17"/>
      <c r="AC4" s="17"/>
      <c r="AD4" s="17"/>
      <c r="AE4" s="17"/>
      <c r="AF4" s="33"/>
      <c r="AG4" s="28"/>
      <c r="AH4" s="17"/>
      <c r="AI4" s="17"/>
      <c r="AJ4" s="17"/>
      <c r="AK4" s="17"/>
      <c r="AL4" s="17"/>
      <c r="AM4" s="17"/>
      <c r="AN4" s="33"/>
      <c r="AO4" s="28"/>
      <c r="AP4" s="18"/>
      <c r="AQ4" s="18"/>
      <c r="AR4" s="18"/>
      <c r="AS4" s="18"/>
      <c r="AT4" s="18"/>
      <c r="AU4" s="18"/>
      <c r="AV4" s="29"/>
      <c r="AW4" s="28"/>
      <c r="AX4" s="18"/>
      <c r="AY4" s="18"/>
      <c r="AZ4" s="18"/>
      <c r="BA4" s="18"/>
      <c r="BB4" s="18"/>
      <c r="BC4" s="18"/>
      <c r="BD4" s="29"/>
      <c r="BF4" s="145" t="str">
        <f>Q1</f>
        <v>NB Diverge to EB MLK</v>
      </c>
      <c r="BG4" s="181">
        <f>S52</f>
        <v>0.19997321574835869</v>
      </c>
      <c r="BH4" s="181">
        <f>S53</f>
        <v>0.43280446391774041</v>
      </c>
      <c r="BI4" s="208">
        <f t="shared" si="0"/>
        <v>0.6327776796660991</v>
      </c>
    </row>
    <row r="5" spans="1:61" ht="18" x14ac:dyDescent="0.35">
      <c r="A5" s="164" t="s">
        <v>50</v>
      </c>
      <c r="B5" s="171">
        <v>144500</v>
      </c>
      <c r="C5" s="164" t="s">
        <v>65</v>
      </c>
      <c r="D5" s="171">
        <v>0.6</v>
      </c>
      <c r="E5" s="292" t="s">
        <v>66</v>
      </c>
      <c r="F5" s="307"/>
      <c r="G5" s="295" t="s">
        <v>298</v>
      </c>
      <c r="H5" s="308"/>
      <c r="I5" s="172" t="s">
        <v>71</v>
      </c>
      <c r="J5" s="202">
        <v>1</v>
      </c>
      <c r="K5" s="173" t="s">
        <v>72</v>
      </c>
      <c r="L5" s="40">
        <f>J8</f>
        <v>0.6</v>
      </c>
      <c r="M5" s="173" t="s">
        <v>73</v>
      </c>
      <c r="N5" s="40">
        <v>0</v>
      </c>
      <c r="O5" s="173" t="s">
        <v>74</v>
      </c>
      <c r="P5" s="85">
        <v>0</v>
      </c>
      <c r="Q5" s="168" t="s">
        <v>50</v>
      </c>
      <c r="R5" s="171">
        <v>139500</v>
      </c>
      <c r="S5" s="164" t="s">
        <v>49</v>
      </c>
      <c r="T5" s="171">
        <v>0.05</v>
      </c>
      <c r="U5" s="263" t="s">
        <v>31</v>
      </c>
      <c r="V5" s="263"/>
      <c r="W5" s="275" t="s">
        <v>293</v>
      </c>
      <c r="X5" s="276"/>
      <c r="Y5" s="168" t="s">
        <v>50</v>
      </c>
      <c r="Z5" s="171">
        <v>139500</v>
      </c>
      <c r="AA5" s="164" t="s">
        <v>49</v>
      </c>
      <c r="AB5" s="171">
        <v>0.2</v>
      </c>
      <c r="AC5" s="263" t="s">
        <v>31</v>
      </c>
      <c r="AD5" s="263"/>
      <c r="AE5" s="275" t="s">
        <v>293</v>
      </c>
      <c r="AF5" s="276"/>
      <c r="AG5" s="168" t="s">
        <v>50</v>
      </c>
      <c r="AH5" s="171">
        <v>139500</v>
      </c>
      <c r="AI5" s="164" t="s">
        <v>49</v>
      </c>
      <c r="AJ5" s="171">
        <v>0.1</v>
      </c>
      <c r="AK5" s="263" t="s">
        <v>31</v>
      </c>
      <c r="AL5" s="263"/>
      <c r="AM5" s="275" t="s">
        <v>62</v>
      </c>
      <c r="AN5" s="276"/>
      <c r="AO5" s="172" t="s">
        <v>165</v>
      </c>
      <c r="AP5" s="68">
        <f>0.5*(AP8+AP9)</f>
        <v>1700</v>
      </c>
      <c r="AQ5" s="18"/>
      <c r="AR5" s="173" t="s">
        <v>170</v>
      </c>
      <c r="AS5" s="40" t="s">
        <v>220</v>
      </c>
      <c r="AT5" s="173" t="s">
        <v>172</v>
      </c>
      <c r="AU5" s="277" t="s">
        <v>143</v>
      </c>
      <c r="AV5" s="278"/>
      <c r="AW5" s="172" t="s">
        <v>165</v>
      </c>
      <c r="AX5" s="68">
        <f>0.5*(AX8+AX9)</f>
        <v>1700</v>
      </c>
      <c r="AY5" s="18"/>
      <c r="AZ5" s="173" t="s">
        <v>170</v>
      </c>
      <c r="BA5" s="40" t="s">
        <v>220</v>
      </c>
      <c r="BB5" s="173" t="s">
        <v>172</v>
      </c>
      <c r="BC5" s="277" t="s">
        <v>142</v>
      </c>
      <c r="BD5" s="278"/>
      <c r="BF5" s="145" t="str">
        <f>Y1</f>
        <v>NB Diverge to WB MLK</v>
      </c>
      <c r="BG5" s="181">
        <f>AA52</f>
        <v>0.67214749123250406</v>
      </c>
      <c r="BH5" s="181">
        <f>AA53</f>
        <v>1.7312178556709616</v>
      </c>
      <c r="BI5" s="208">
        <f t="shared" si="0"/>
        <v>2.4033653469034659</v>
      </c>
    </row>
    <row r="6" spans="1:61" ht="18" x14ac:dyDescent="0.35">
      <c r="A6" s="18"/>
      <c r="B6" s="18"/>
      <c r="C6" s="18"/>
      <c r="D6" s="18"/>
      <c r="E6" s="18"/>
      <c r="F6" s="18"/>
      <c r="G6" s="18"/>
      <c r="H6" s="29"/>
      <c r="I6" s="172" t="s">
        <v>75</v>
      </c>
      <c r="J6" s="202">
        <v>1</v>
      </c>
      <c r="K6" s="173" t="s">
        <v>76</v>
      </c>
      <c r="L6" s="40">
        <f>J8</f>
        <v>0.6</v>
      </c>
      <c r="M6" s="173" t="s">
        <v>77</v>
      </c>
      <c r="N6" s="40">
        <v>0.6</v>
      </c>
      <c r="O6" s="173" t="s">
        <v>78</v>
      </c>
      <c r="P6" s="85">
        <v>0.6</v>
      </c>
      <c r="Q6" s="168" t="s">
        <v>288</v>
      </c>
      <c r="R6" s="171">
        <v>39000</v>
      </c>
      <c r="S6" s="164" t="s">
        <v>284</v>
      </c>
      <c r="T6" s="171" t="s">
        <v>287</v>
      </c>
      <c r="U6" s="18"/>
      <c r="V6" s="18"/>
      <c r="W6" s="18"/>
      <c r="X6" s="29"/>
      <c r="Y6" s="168" t="s">
        <v>288</v>
      </c>
      <c r="Z6" s="171">
        <v>4800</v>
      </c>
      <c r="AA6" s="164" t="s">
        <v>284</v>
      </c>
      <c r="AB6" s="171" t="s">
        <v>287</v>
      </c>
      <c r="AC6" s="18"/>
      <c r="AD6" s="18"/>
      <c r="AE6" s="18"/>
      <c r="AF6" s="29"/>
      <c r="AG6" s="168" t="s">
        <v>288</v>
      </c>
      <c r="AH6" s="171">
        <v>9100</v>
      </c>
      <c r="AI6" s="164" t="s">
        <v>284</v>
      </c>
      <c r="AJ6" s="171" t="s">
        <v>287</v>
      </c>
      <c r="AK6" s="18"/>
      <c r="AL6" s="18"/>
      <c r="AM6" s="18"/>
      <c r="AN6" s="29"/>
      <c r="AO6" s="172" t="s">
        <v>166</v>
      </c>
      <c r="AP6" s="42">
        <v>1600</v>
      </c>
      <c r="AQ6" s="18"/>
      <c r="AR6" s="18"/>
      <c r="AS6" s="18"/>
      <c r="AT6" s="18"/>
      <c r="AU6" s="18"/>
      <c r="AV6" s="29"/>
      <c r="AW6" s="172" t="s">
        <v>166</v>
      </c>
      <c r="AX6" s="42">
        <v>1600</v>
      </c>
      <c r="AY6" s="18"/>
      <c r="AZ6" s="18"/>
      <c r="BA6" s="18"/>
      <c r="BB6" s="18"/>
      <c r="BC6" s="18"/>
      <c r="BD6" s="29"/>
      <c r="BF6" s="145" t="str">
        <f>AG1</f>
        <v>SB Merge from MLK</v>
      </c>
      <c r="BG6" s="181">
        <f>AI52</f>
        <v>0.58154982644421438</v>
      </c>
      <c r="BH6" s="181">
        <f>AI53</f>
        <v>1.1151507227807103</v>
      </c>
      <c r="BI6" s="208">
        <f t="shared" si="0"/>
        <v>1.6967005492249245</v>
      </c>
    </row>
    <row r="7" spans="1:61" ht="18" x14ac:dyDescent="0.35">
      <c r="A7" s="18"/>
      <c r="B7" s="18"/>
      <c r="C7" s="164" t="s">
        <v>8</v>
      </c>
      <c r="D7" s="164" t="s">
        <v>7</v>
      </c>
      <c r="E7" s="164" t="s">
        <v>9</v>
      </c>
      <c r="F7" s="18"/>
      <c r="G7" s="17"/>
      <c r="H7" s="33"/>
      <c r="I7" s="43" t="s">
        <v>79</v>
      </c>
      <c r="J7" s="40">
        <v>13000</v>
      </c>
      <c r="K7" s="173" t="s">
        <v>80</v>
      </c>
      <c r="L7" s="40">
        <v>13000</v>
      </c>
      <c r="M7" s="173" t="s">
        <v>81</v>
      </c>
      <c r="N7" s="40">
        <v>20000</v>
      </c>
      <c r="O7" s="173" t="s">
        <v>82</v>
      </c>
      <c r="P7" s="85">
        <v>18000</v>
      </c>
      <c r="Q7" s="28"/>
      <c r="R7" s="18"/>
      <c r="S7" s="164" t="s">
        <v>8</v>
      </c>
      <c r="T7" s="164" t="s">
        <v>7</v>
      </c>
      <c r="U7" s="164" t="s">
        <v>9</v>
      </c>
      <c r="V7" s="18"/>
      <c r="W7" s="17"/>
      <c r="X7" s="33"/>
      <c r="Y7" s="28"/>
      <c r="Z7" s="18"/>
      <c r="AA7" s="164" t="s">
        <v>8</v>
      </c>
      <c r="AB7" s="164" t="s">
        <v>7</v>
      </c>
      <c r="AC7" s="164" t="s">
        <v>9</v>
      </c>
      <c r="AD7" s="18"/>
      <c r="AE7" s="17"/>
      <c r="AF7" s="33"/>
      <c r="AG7" s="28"/>
      <c r="AH7" s="18"/>
      <c r="AI7" s="164" t="s">
        <v>8</v>
      </c>
      <c r="AJ7" s="164" t="s">
        <v>7</v>
      </c>
      <c r="AK7" s="164" t="s">
        <v>9</v>
      </c>
      <c r="AL7" s="18"/>
      <c r="AM7" s="17"/>
      <c r="AN7" s="33"/>
      <c r="AO7" s="172" t="s">
        <v>167</v>
      </c>
      <c r="AP7" s="42">
        <v>1500</v>
      </c>
      <c r="AQ7" s="297" t="s">
        <v>171</v>
      </c>
      <c r="AR7" s="298"/>
      <c r="AS7" s="40">
        <v>4</v>
      </c>
      <c r="AT7" s="18"/>
      <c r="AU7" s="18"/>
      <c r="AV7" s="29"/>
      <c r="AW7" s="172" t="s">
        <v>167</v>
      </c>
      <c r="AX7" s="42">
        <v>1500</v>
      </c>
      <c r="AY7" s="297" t="s">
        <v>171</v>
      </c>
      <c r="AZ7" s="298"/>
      <c r="BA7" s="40">
        <v>5</v>
      </c>
      <c r="BB7" s="18"/>
      <c r="BC7" s="18"/>
      <c r="BD7" s="29"/>
      <c r="BF7" s="145" t="str">
        <f>AO1</f>
        <v>NB Ramps</v>
      </c>
      <c r="BG7" s="181">
        <f>AQ52</f>
        <v>0.24274518730435368</v>
      </c>
      <c r="BH7" s="181">
        <f>AQ53</f>
        <v>0.4427419073227235</v>
      </c>
      <c r="BI7" s="208">
        <f t="shared" si="0"/>
        <v>0.68548709462707724</v>
      </c>
    </row>
    <row r="8" spans="1:61" ht="18" x14ac:dyDescent="0.35">
      <c r="A8" s="263" t="s">
        <v>2</v>
      </c>
      <c r="B8" s="263"/>
      <c r="C8" s="21">
        <f>LOOKUP(G5,Reference!$A$256:$A$259,Reference!$C$256:$C$259)</f>
        <v>-5.5869999999999997</v>
      </c>
      <c r="D8" s="21">
        <f>LOOKUP(G5,Reference!$A$256:$A$259,Reference!$D$256:$D$259)</f>
        <v>1.492</v>
      </c>
      <c r="E8" s="21">
        <f>LOOKUP(G5,Reference!$A$256:$A$259,Reference!$E$256:$E$259)</f>
        <v>1E-3</v>
      </c>
      <c r="F8" s="18"/>
      <c r="G8" s="18"/>
      <c r="H8" s="34">
        <f>D5*EXP(C8+D8*LN(E8*B5))</f>
        <v>3.7520689262175977</v>
      </c>
      <c r="I8" s="43" t="s">
        <v>83</v>
      </c>
      <c r="J8" s="40">
        <f>D5</f>
        <v>0.6</v>
      </c>
      <c r="K8" s="18"/>
      <c r="L8" s="18"/>
      <c r="M8" s="18"/>
      <c r="N8" s="18"/>
      <c r="O8" s="18"/>
      <c r="P8" s="18"/>
      <c r="Q8" s="264" t="s">
        <v>20</v>
      </c>
      <c r="R8" s="263"/>
      <c r="S8" s="21">
        <f>LOOKUP(W5,Reference!$A$208:$A$215,Reference!$C$208:$C$215)</f>
        <v>-2.6789999999999998</v>
      </c>
      <c r="T8" s="21">
        <f>LOOKUP(W5,Reference!$A$208:$A$215,Reference!$D$208:$D$215)</f>
        <v>0.90300000000000002</v>
      </c>
      <c r="U8" s="25">
        <f>LOOKUP(W5,Reference!$A$208:$A$215,Reference!$E$208:$E$215)</f>
        <v>5.0000000000000001E-4</v>
      </c>
      <c r="V8" s="18"/>
      <c r="W8" s="18"/>
      <c r="X8" s="34">
        <f>T5*EXP(S8+T8*LN(U8*R5))</f>
        <v>0.15856798619283211</v>
      </c>
      <c r="Y8" s="264" t="s">
        <v>20</v>
      </c>
      <c r="Z8" s="263"/>
      <c r="AA8" s="21">
        <f>LOOKUP(AE5,Reference!$A$208:$A$215,Reference!$C$208:$C$215)</f>
        <v>-2.6789999999999998</v>
      </c>
      <c r="AB8" s="21">
        <f>LOOKUP(AE5,Reference!$A$208:$A$215,Reference!$D$208:$D$215)</f>
        <v>0.90300000000000002</v>
      </c>
      <c r="AC8" s="25">
        <f>LOOKUP(AE5,Reference!$A$208:$A$215,Reference!$E$208:$E$215)</f>
        <v>5.0000000000000001E-4</v>
      </c>
      <c r="AD8" s="18"/>
      <c r="AE8" s="18"/>
      <c r="AF8" s="34">
        <f>AB5*EXP(AA8+AB8*LN(AC8*Z5))</f>
        <v>0.63427194477132842</v>
      </c>
      <c r="AG8" s="264" t="s">
        <v>20</v>
      </c>
      <c r="AH8" s="263"/>
      <c r="AI8" s="21">
        <f>LOOKUP(AM5,Reference!$A$208:$A$215,Reference!$C$208:$C$215)</f>
        <v>-3.9740000000000002</v>
      </c>
      <c r="AJ8" s="21">
        <f>LOOKUP(AM5,Reference!$A$208:$A$215,Reference!$D$208:$D$215)</f>
        <v>1.173</v>
      </c>
      <c r="AK8" s="25">
        <f>LOOKUP(AM5,Reference!$A$208:$A$215,Reference!$E$208:$E$215)</f>
        <v>5.0000000000000001E-4</v>
      </c>
      <c r="AL8" s="18"/>
      <c r="AM8" s="18"/>
      <c r="AN8" s="34">
        <f>AJ5*EXP(AI8+AJ8*LN(AK8*AH5))</f>
        <v>0.27326945429295063</v>
      </c>
      <c r="AO8" s="172" t="s">
        <v>168</v>
      </c>
      <c r="AP8" s="42">
        <v>1500</v>
      </c>
      <c r="AQ8" s="18"/>
      <c r="AR8" s="18"/>
      <c r="AS8" s="18"/>
      <c r="AT8" s="18"/>
      <c r="AU8" s="18"/>
      <c r="AV8" s="29"/>
      <c r="AW8" s="172" t="s">
        <v>168</v>
      </c>
      <c r="AX8" s="42">
        <v>1500</v>
      </c>
      <c r="AY8" s="18"/>
      <c r="AZ8" s="18"/>
      <c r="BA8" s="18"/>
      <c r="BB8" s="18"/>
      <c r="BC8" s="18"/>
      <c r="BD8" s="29"/>
      <c r="BF8" s="145" t="str">
        <f>AW1</f>
        <v>SB Ramps</v>
      </c>
      <c r="BG8" s="181">
        <f>AY52</f>
        <v>0.25165853921243347</v>
      </c>
      <c r="BH8" s="181">
        <f>AY53</f>
        <v>0.48993750236316896</v>
      </c>
      <c r="BI8" s="208">
        <f t="shared" si="0"/>
        <v>0.74159604157560244</v>
      </c>
    </row>
    <row r="9" spans="1:61" ht="18" x14ac:dyDescent="0.35">
      <c r="A9" s="263" t="s">
        <v>3</v>
      </c>
      <c r="B9" s="263"/>
      <c r="C9" s="21">
        <f>LOOKUP(G5,Reference!$A$261:$A$264,Reference!$C$261:$C$264)</f>
        <v>-6.8090000000000002</v>
      </c>
      <c r="D9" s="21">
        <f>LOOKUP(G5,Reference!$A$261:$A$264,Reference!$D$261:$D$264)</f>
        <v>1.9359999999999999</v>
      </c>
      <c r="E9" s="21">
        <f>LOOKUP(G5,Reference!$A$261:$A$264,Reference!$E$261:$E$264)</f>
        <v>1E-3</v>
      </c>
      <c r="F9" s="18"/>
      <c r="G9" s="18"/>
      <c r="H9" s="34">
        <f>D5*EXP(C9+D9*LN(E9*B5))</f>
        <v>10.058756039048163</v>
      </c>
      <c r="I9" s="28"/>
      <c r="J9" s="18"/>
      <c r="K9" s="18"/>
      <c r="L9" s="18"/>
      <c r="M9" s="18"/>
      <c r="N9" s="18"/>
      <c r="O9" s="18"/>
      <c r="P9" s="18"/>
      <c r="Q9" s="264" t="s">
        <v>21</v>
      </c>
      <c r="R9" s="263"/>
      <c r="S9" s="21">
        <f>LOOKUP(W5,Reference!$A$217:$A$224,Reference!$C$217:$C$224)</f>
        <v>-1.798</v>
      </c>
      <c r="T9" s="21">
        <f>LOOKUP(W5,Reference!$A$217:$A$224,Reference!$D$217:$D$224)</f>
        <v>0.93200000000000005</v>
      </c>
      <c r="U9" s="25">
        <f>LOOKUP(W5,Reference!$A$217:$A$224,Reference!$E$217:$E$224)</f>
        <v>5.0000000000000001E-4</v>
      </c>
      <c r="V9" s="18"/>
      <c r="W9" s="18"/>
      <c r="X9" s="34">
        <f>T5*EXP(S9+T9*LN(U9*R5))</f>
        <v>0.43280446391774041</v>
      </c>
      <c r="Y9" s="264" t="s">
        <v>21</v>
      </c>
      <c r="Z9" s="263"/>
      <c r="AA9" s="21">
        <f>LOOKUP(AE5,Reference!$A$217:$A$224,Reference!$C$217:$C$224)</f>
        <v>-1.798</v>
      </c>
      <c r="AB9" s="21">
        <f>LOOKUP(AE5,Reference!$A$217:$A$224,Reference!$D$217:$D$224)</f>
        <v>0.93200000000000005</v>
      </c>
      <c r="AC9" s="25">
        <f>LOOKUP(AE5,Reference!$A$217:$A$224,Reference!$E$217:$E$224)</f>
        <v>5.0000000000000001E-4</v>
      </c>
      <c r="AD9" s="18"/>
      <c r="AE9" s="18"/>
      <c r="AF9" s="34">
        <f>AB5*EXP(AA9+AB9*LN(AC9*Z5))</f>
        <v>1.7312178556709616</v>
      </c>
      <c r="AG9" s="264" t="s">
        <v>21</v>
      </c>
      <c r="AH9" s="263"/>
      <c r="AI9" s="21">
        <f>LOOKUP(AM5,Reference!$A$217:$A$224,Reference!$C$217:$C$224)</f>
        <v>-2.9980000000000002</v>
      </c>
      <c r="AJ9" s="21">
        <f>LOOKUP(AM5,Reference!$A$217:$A$224,Reference!$D$217:$D$224)</f>
        <v>1.2150000000000001</v>
      </c>
      <c r="AK9" s="25">
        <f>LOOKUP(AM5,Reference!$A$217:$A$224,Reference!$E$217:$E$224)</f>
        <v>5.0000000000000001E-4</v>
      </c>
      <c r="AL9" s="18"/>
      <c r="AM9" s="18"/>
      <c r="AN9" s="34">
        <f>AJ5*EXP(AI9+AJ9*LN(AK9*AH5))</f>
        <v>0.86674503143508907</v>
      </c>
      <c r="AO9" s="172" t="s">
        <v>169</v>
      </c>
      <c r="AP9" s="42">
        <v>1900</v>
      </c>
      <c r="AQ9" s="35"/>
      <c r="AR9" s="173" t="s">
        <v>173</v>
      </c>
      <c r="AS9" s="40" t="s">
        <v>301</v>
      </c>
      <c r="AT9" s="18"/>
      <c r="AU9" s="18"/>
      <c r="AV9" s="29"/>
      <c r="AW9" s="172" t="s">
        <v>169</v>
      </c>
      <c r="AX9" s="42">
        <v>1900</v>
      </c>
      <c r="AY9" s="35"/>
      <c r="AZ9" s="173" t="s">
        <v>173</v>
      </c>
      <c r="BA9" s="40" t="s">
        <v>301</v>
      </c>
      <c r="BB9" s="18"/>
      <c r="BC9" s="18"/>
      <c r="BD9" s="29"/>
      <c r="BF9" s="145" t="s">
        <v>358</v>
      </c>
      <c r="BG9" s="208">
        <f>SUM(BG3:BG8)</f>
        <v>9.7007827200685757</v>
      </c>
      <c r="BH9" s="208">
        <f>SUM(BH3:BH8)</f>
        <v>23.104225459654096</v>
      </c>
      <c r="BI9" s="208">
        <f>SUM(BI3:BI8)</f>
        <v>32.80500817972267</v>
      </c>
    </row>
    <row r="10" spans="1:61" x14ac:dyDescent="0.25">
      <c r="A10" s="263" t="s">
        <v>5</v>
      </c>
      <c r="B10" s="263"/>
      <c r="C10" s="21">
        <f>LOOKUP(G5,Reference!$A$256:$A$259,Reference!$F$256:$F$259)</f>
        <v>-2.0550000000000002</v>
      </c>
      <c r="D10" s="21">
        <f>LOOKUP(G5,Reference!$A$256:$A$259,Reference!$G$256:$G$259)</f>
        <v>0.64600000000000002</v>
      </c>
      <c r="E10" s="21">
        <f>LOOKUP(G5,Reference!$A$256:$A$259,Reference!$H$256:$H$259)</f>
        <v>1E-3</v>
      </c>
      <c r="F10" s="18"/>
      <c r="G10" s="18"/>
      <c r="H10" s="34">
        <f>D5*EXP(C10+D10*LN(E10*B5))</f>
        <v>1.9096365540475573</v>
      </c>
      <c r="I10" s="28"/>
      <c r="J10" s="18"/>
      <c r="K10" s="164" t="s">
        <v>8</v>
      </c>
      <c r="L10" s="164" t="s">
        <v>7</v>
      </c>
      <c r="M10" s="164" t="s">
        <v>9</v>
      </c>
      <c r="N10" s="164" t="s">
        <v>39</v>
      </c>
      <c r="O10" s="18"/>
      <c r="P10" s="18"/>
      <c r="Q10" s="28"/>
      <c r="R10" s="18"/>
      <c r="S10" s="18"/>
      <c r="T10" s="18"/>
      <c r="U10" s="18"/>
      <c r="V10" s="18"/>
      <c r="W10" s="18"/>
      <c r="X10" s="29"/>
      <c r="Y10" s="28"/>
      <c r="Z10" s="18"/>
      <c r="AA10" s="18"/>
      <c r="AB10" s="18"/>
      <c r="AC10" s="18"/>
      <c r="AD10" s="18"/>
      <c r="AE10" s="18"/>
      <c r="AF10" s="29"/>
      <c r="AG10" s="28"/>
      <c r="AH10" s="18"/>
      <c r="AI10" s="18"/>
      <c r="AJ10" s="18"/>
      <c r="AK10" s="18"/>
      <c r="AL10" s="18"/>
      <c r="AM10" s="18"/>
      <c r="AN10" s="29"/>
      <c r="AO10" s="172"/>
      <c r="AP10" s="18"/>
      <c r="AQ10" s="18"/>
      <c r="AR10" s="18"/>
      <c r="AS10" s="18"/>
      <c r="AT10" s="18"/>
      <c r="AU10" s="18"/>
      <c r="AV10" s="29"/>
      <c r="AW10" s="172"/>
      <c r="AX10" s="18"/>
      <c r="AY10" s="18"/>
      <c r="AZ10" s="18"/>
      <c r="BA10" s="18"/>
      <c r="BB10" s="18"/>
      <c r="BC10" s="18"/>
      <c r="BD10" s="29"/>
    </row>
    <row r="11" spans="1:61" x14ac:dyDescent="0.25">
      <c r="A11" s="263" t="s">
        <v>6</v>
      </c>
      <c r="B11" s="263"/>
      <c r="C11" s="21">
        <f>LOOKUP(G5,Reference!$A$261:$A$264,Reference!$F$261:$F$264)</f>
        <v>-2.274</v>
      </c>
      <c r="D11" s="21">
        <f>LOOKUP(G5,Reference!$A$261:$A$264,Reference!$G$261:$G$264)</f>
        <v>0.876</v>
      </c>
      <c r="E11" s="21">
        <f>LOOKUP(G5,Reference!$A$261:$A$264,Reference!$H$261:$H$264)</f>
        <v>1E-3</v>
      </c>
      <c r="F11" s="18"/>
      <c r="G11" s="18"/>
      <c r="H11" s="34">
        <f>D5*EXP(C11+D11*LN(E11*B5))</f>
        <v>4.81515013211403</v>
      </c>
      <c r="I11" s="264" t="s">
        <v>20</v>
      </c>
      <c r="J11" s="263"/>
      <c r="K11" s="25">
        <v>0.17499999999999999</v>
      </c>
      <c r="L11" s="25">
        <v>12.56</v>
      </c>
      <c r="M11" s="25">
        <v>1E-3</v>
      </c>
      <c r="N11" s="25">
        <v>-0.27200000000000002</v>
      </c>
      <c r="O11" s="18"/>
      <c r="P11" s="18"/>
      <c r="Q11" s="28"/>
      <c r="R11" s="18"/>
      <c r="S11" s="18"/>
      <c r="T11" s="18"/>
      <c r="U11" s="18"/>
      <c r="V11" s="18"/>
      <c r="W11" s="18"/>
      <c r="X11" s="29"/>
      <c r="Y11" s="28"/>
      <c r="Z11" s="18"/>
      <c r="AA11" s="18"/>
      <c r="AB11" s="18"/>
      <c r="AC11" s="18"/>
      <c r="AD11" s="18"/>
      <c r="AE11" s="18"/>
      <c r="AF11" s="29"/>
      <c r="AG11" s="28"/>
      <c r="AH11" s="18"/>
      <c r="AI11" s="18"/>
      <c r="AJ11" s="18"/>
      <c r="AK11" s="18"/>
      <c r="AL11" s="18"/>
      <c r="AM11" s="18"/>
      <c r="AN11" s="29"/>
      <c r="AO11" s="28"/>
      <c r="AP11" s="18"/>
      <c r="AQ11" s="18"/>
      <c r="AR11" s="18"/>
      <c r="AS11" s="18"/>
      <c r="AT11" s="18"/>
      <c r="AU11" s="18"/>
      <c r="AV11" s="29"/>
      <c r="AW11" s="28"/>
      <c r="AX11" s="18"/>
      <c r="AY11" s="18"/>
      <c r="AZ11" s="18"/>
      <c r="BA11" s="18"/>
      <c r="BB11" s="18"/>
      <c r="BC11" s="18"/>
      <c r="BD11" s="29"/>
    </row>
    <row r="12" spans="1:61" x14ac:dyDescent="0.25">
      <c r="A12" s="18"/>
      <c r="B12" s="18"/>
      <c r="C12" s="18"/>
      <c r="D12" s="18"/>
      <c r="E12" s="18"/>
      <c r="F12" s="18"/>
      <c r="G12" s="18"/>
      <c r="H12" s="29"/>
      <c r="I12" s="264" t="s">
        <v>21</v>
      </c>
      <c r="J12" s="266"/>
      <c r="K12" s="25">
        <v>0.123</v>
      </c>
      <c r="L12" s="25">
        <v>13.46</v>
      </c>
      <c r="M12" s="25">
        <v>1E-3</v>
      </c>
      <c r="N12" s="25">
        <v>-0.28299999999999997</v>
      </c>
      <c r="O12" s="18"/>
      <c r="P12" s="18"/>
      <c r="Q12" s="28"/>
      <c r="R12" s="18"/>
      <c r="S12" s="18"/>
      <c r="T12" s="18"/>
      <c r="U12" s="18"/>
      <c r="V12" s="18"/>
      <c r="W12" s="18"/>
      <c r="X12" s="29"/>
      <c r="Y12" s="28"/>
      <c r="Z12" s="18"/>
      <c r="AA12" s="18"/>
      <c r="AB12" s="18"/>
      <c r="AC12" s="18"/>
      <c r="AD12" s="18"/>
      <c r="AE12" s="18"/>
      <c r="AF12" s="29"/>
      <c r="AG12" s="28"/>
      <c r="AH12" s="18"/>
      <c r="AI12" s="18"/>
      <c r="AJ12" s="18"/>
      <c r="AK12" s="18"/>
      <c r="AL12" s="18"/>
      <c r="AM12" s="18"/>
      <c r="AN12" s="29"/>
      <c r="AO12" s="28"/>
      <c r="AP12" s="18"/>
      <c r="AQ12" s="164" t="s">
        <v>8</v>
      </c>
      <c r="AR12" s="164" t="s">
        <v>7</v>
      </c>
      <c r="AS12" s="164" t="s">
        <v>9</v>
      </c>
      <c r="AT12" s="164" t="s">
        <v>39</v>
      </c>
      <c r="AU12" s="18"/>
      <c r="AV12" s="29"/>
      <c r="AW12" s="28"/>
      <c r="AX12" s="18"/>
      <c r="AY12" s="164" t="s">
        <v>8</v>
      </c>
      <c r="AZ12" s="164" t="s">
        <v>7</v>
      </c>
      <c r="BA12" s="164" t="s">
        <v>9</v>
      </c>
      <c r="BB12" s="164" t="s">
        <v>39</v>
      </c>
      <c r="BC12" s="18"/>
      <c r="BD12" s="29"/>
    </row>
    <row r="13" spans="1:61" x14ac:dyDescent="0.25">
      <c r="A13" s="18"/>
      <c r="B13" s="18"/>
      <c r="C13" s="18"/>
      <c r="D13" s="18"/>
      <c r="E13" s="18"/>
      <c r="F13" s="18"/>
      <c r="G13" s="18"/>
      <c r="H13" s="29"/>
      <c r="I13" s="28"/>
      <c r="J13" s="18"/>
      <c r="K13" s="18"/>
      <c r="L13" s="18"/>
      <c r="M13" s="18"/>
      <c r="N13" s="18"/>
      <c r="O13" s="18"/>
      <c r="P13" s="18"/>
      <c r="Q13" s="28"/>
      <c r="R13" s="18"/>
      <c r="S13" s="164" t="s">
        <v>8</v>
      </c>
      <c r="T13" s="164" t="s">
        <v>7</v>
      </c>
      <c r="U13" s="164" t="s">
        <v>9</v>
      </c>
      <c r="V13" s="52" t="s">
        <v>39</v>
      </c>
      <c r="W13" s="18"/>
      <c r="X13" s="29"/>
      <c r="Y13" s="28"/>
      <c r="Z13" s="18"/>
      <c r="AA13" s="164" t="s">
        <v>8</v>
      </c>
      <c r="AB13" s="164" t="s">
        <v>7</v>
      </c>
      <c r="AC13" s="164" t="s">
        <v>9</v>
      </c>
      <c r="AD13" s="52" t="s">
        <v>39</v>
      </c>
      <c r="AE13" s="18"/>
      <c r="AF13" s="29"/>
      <c r="AG13" s="28"/>
      <c r="AH13" s="18"/>
      <c r="AI13" s="164" t="s">
        <v>8</v>
      </c>
      <c r="AJ13" s="164" t="s">
        <v>7</v>
      </c>
      <c r="AK13" s="164" t="s">
        <v>9</v>
      </c>
      <c r="AL13" s="52" t="s">
        <v>39</v>
      </c>
      <c r="AM13" s="18"/>
      <c r="AN13" s="29"/>
      <c r="AO13" s="264" t="s">
        <v>20</v>
      </c>
      <c r="AP13" s="263"/>
      <c r="AQ13" s="21">
        <f>IF(AS9="Signalized",IF(AS7=2,LOOKUP(AU5,Reference!$A$269:$A$275,Reference!$C$269:$C$275),IF(AS7=3,LOOKUP(AU5,Reference!$A$285:$A$291,Reference!$C$285:$C$291),IF(AS7=4,LOOKUP(AU5,Reference!$A$301:$A$307,Reference!$C$301:$C$307),IF(AS7=5,LOOKUP(AU5,Reference!$A$317:$A$323,Reference!$C$317:$C$323),LOOKUP(AU5,Reference!$A$333:$A$339,Reference!$C$333:$C$339))))),IF(AS5="Rural",LOOKUP(AU5,Reference!$A$350:$A$356,Reference!$C$350:$C$356),LOOKUP(AU5,Reference!$A$366:$A$372,Reference!$C$366:$C$372)))</f>
        <v>-1.748</v>
      </c>
      <c r="AR13" s="21">
        <f>IF(AS9="Signalized",IF(AS7=2,LOOKUP(AU5,Reference!$A$269:$A$275,Reference!$D$269:$D$275),IF(AS7=3,LOOKUP(AU5,Reference!$A$285:$A$291,Reference!$D$285:$D$291),IF(AS7=4,LOOKUP(AU5,Reference!$A$301:$A$307,Reference!$D$301:$D$307),IF(AS7=5,LOOKUP(AU5,Reference!$A$317:$A$323,Reference!$D$317:$D$323),LOOKUP(AU5,Reference!$A$333:$A$339,Reference!$D$333:$D$339))))),IF(AS5="Rural",LOOKUP(AU5,Reference!$A$350:$A$356,Reference!$D$350:$D$356),LOOKUP(AU5,Reference!$A$366:$A$372,Reference!$D$366:$D$372)))</f>
        <v>0.191</v>
      </c>
      <c r="AS13" s="21">
        <f>IF(AS9="Signalized",IF(AS7=2,LOOKUP(AU5,Reference!$A$269:$A$275,Reference!$E$269:$E$275),IF(AS7=3,LOOKUP(AU5,Reference!$A$285:$A$291,Reference!$E$285:$E$291),IF(AS7=4,LOOKUP(AU5,Reference!$A$301:$A$307,Reference!$E$301:$E$307),IF(AS7=5,LOOKUP(AU5,Reference!$A$317:$A$323,Reference!$E$317:$E$323),LOOKUP(AU5,Reference!$A$333:$A$339,Reference!$E$333:$E$339))))),IF(AS5="Rural",LOOKUP(AU5,Reference!$A$350:$A$356,Reference!$E$350:$E$356),LOOKUP(AU5,Reference!$A$366:$A$372,Reference!$E$366:$E$372)))</f>
        <v>1E-3</v>
      </c>
      <c r="AT13" s="21">
        <f>IF(AS9="Signalized",IF(AS7=2,LOOKUP(AU5,Reference!$A$269:$A$275,Reference!$F$269:$F$275),IF(AS7=3,LOOKUP(AU5,Reference!$A$285:$A$291,Reference!$F$285:$F$291),IF(AS7=4,LOOKUP(AU5,Reference!$A$301:$A$307,Reference!$F$301:$F$307),IF(AS7=5,LOOKUP(AU5,Reference!$A$317:$A$323,Reference!$F$317:$F$323),LOOKUP(AU5,Reference!$A$333:$A$339,Reference!$F$333:$F$339))))),IF(AS5="Rural",LOOKUP(AU5,Reference!$A$350:$A$356,Reference!$F$350:$F$356),LOOKUP(AU5,Reference!$A$366:$A$372,Reference!$F$366:$F$372)))</f>
        <v>0.13100000000000001</v>
      </c>
      <c r="AU13" s="18"/>
      <c r="AV13" s="29"/>
      <c r="AW13" s="264" t="s">
        <v>20</v>
      </c>
      <c r="AX13" s="263"/>
      <c r="AY13" s="21">
        <f>IF(BA9="Signalized",IF(BA7=2,LOOKUP(BC5,Reference!$A$269:$A$275,Reference!$C$269:$C$275),IF(BA7=3,LOOKUP(BC5,Reference!$A$285:$A$291,Reference!$C$285:$C$291),IF(BA7=4,LOOKUP(BC5,Reference!$A$301:$A$307,Reference!$C$301:$C$307),IF(BA7=5,LOOKUP(BC5,Reference!$A$317:$A$323,Reference!$C$317:$C$323),LOOKUP(BC5,Reference!$A$333:$A$339,Reference!$C$333:$C$339))))),IF(BA5="Rural",LOOKUP(BC5,Reference!$A$350:$A$356,Reference!$C$350:$C$356),LOOKUP(BC5,Reference!$A$366:$A$372,Reference!$C$366:$C$372)))</f>
        <v>-2.1749999999999998</v>
      </c>
      <c r="AZ13" s="21">
        <f>IF(BA9="Signalized",IF(BA7=2,LOOKUP(BC5,Reference!$A$269:$A$275,Reference!$D$269:$D$275),IF(BA7=3,LOOKUP(BC5,Reference!$A$285:$A$291,Reference!$D$285:$D$291),IF(BA7=4,LOOKUP(BC5,Reference!$A$301:$A$307,Reference!$D$301:$D$307),IF(BA7=5,LOOKUP(BC5,Reference!$A$317:$A$323,Reference!$D$317:$D$323),LOOKUP(BC5,Reference!$A$333:$A$339,Reference!$D$333:$D$339))))),IF(BA5="Rural",LOOKUP(BC5,Reference!$A$350:$A$356,Reference!$D$350:$D$356),LOOKUP(BC5,Reference!$A$366:$A$372,Reference!$D$366:$D$372)))</f>
        <v>1.1910000000000001</v>
      </c>
      <c r="BA13" s="21">
        <f>IF(BA9="Signalized",IF(BA7=2,LOOKUP(BC5,Reference!$A$269:$A$275,Reference!$E$269:$E$275),IF(BA7=3,LOOKUP(BC5,Reference!$A$285:$A$291,Reference!$E$285:$E$291),IF(BA7=4,LOOKUP(BC5,Reference!$A$301:$A$307,Reference!$E$301:$E$307),IF(BA7=5,LOOKUP(BC5,Reference!$A$317:$A$323,Reference!$E$317:$E$323),LOOKUP(BC5,Reference!$A$333:$A$339,Reference!$E$333:$E$339))))),IF(BA5="Rural",LOOKUP(BC5,Reference!$A$350:$A$356,Reference!$E$350:$E$356),LOOKUP(BC5,Reference!$A$366:$A$372,Reference!$E$366:$E$372)))</f>
        <v>1E-3</v>
      </c>
      <c r="BB13" s="21">
        <f>IF(BA9="Signalized",IF(BA7=2,LOOKUP(BC5,Reference!$A$269:$A$275,Reference!$F$269:$F$275),IF(BA7=3,LOOKUP(BC5,Reference!$A$285:$A$291,Reference!$F$285:$F$291),IF(BA7=4,LOOKUP(BC5,Reference!$A$301:$A$307,Reference!$F$301:$F$307),IF(BA7=5,LOOKUP(BC5,Reference!$A$317:$A$323,Reference!$F$317:$F$323),LOOKUP(BC5,Reference!$A$333:$A$339,Reference!$F$333:$F$339))))),IF(BA5="Rural",LOOKUP(BC5,Reference!$A$350:$A$356,Reference!$F$350:$F$356),LOOKUP(BC5,Reference!$A$366:$A$372,Reference!$F$366:$F$372)))</f>
        <v>0.13100000000000001</v>
      </c>
      <c r="BC13" s="18"/>
      <c r="BD13" s="29"/>
    </row>
    <row r="14" spans="1:61" x14ac:dyDescent="0.25">
      <c r="A14" s="263" t="s">
        <v>22</v>
      </c>
      <c r="B14" s="263"/>
      <c r="C14" s="56">
        <f>C15+C16</f>
        <v>13.810824965265761</v>
      </c>
      <c r="D14" s="18"/>
      <c r="E14" s="18"/>
      <c r="F14" s="18"/>
      <c r="G14" s="18"/>
      <c r="H14" s="29"/>
      <c r="I14" s="28"/>
      <c r="J14" s="18"/>
      <c r="K14" s="18"/>
      <c r="L14" s="18"/>
      <c r="M14" s="18"/>
      <c r="N14" s="18"/>
      <c r="O14" s="114"/>
      <c r="P14" s="114"/>
      <c r="Q14" s="264" t="s">
        <v>20</v>
      </c>
      <c r="R14" s="263"/>
      <c r="S14" s="21">
        <f>LOOKUP(W5,Reference!$A$228:$A$235,Reference!$C$228:$C$235)</f>
        <v>0.59399999999999997</v>
      </c>
      <c r="T14" s="21">
        <f>LOOKUP(W5,Reference!$A$228:$A$235,Reference!$D$228:$D$235)</f>
        <v>1.1599999999999999E-2</v>
      </c>
      <c r="U14" s="25" t="str">
        <f>LOOKUP(W5,Reference!$A$228:$A$235,Reference!$E$228:$E$235)</f>
        <v>-</v>
      </c>
      <c r="V14" s="25" t="str">
        <f>LOOKUP(W5,Reference!$A$228:$A$235,Reference!$F$228:$F$235)</f>
        <v>-</v>
      </c>
      <c r="W14" s="18"/>
      <c r="X14" s="29"/>
      <c r="Y14" s="264" t="s">
        <v>20</v>
      </c>
      <c r="Z14" s="263"/>
      <c r="AA14" s="21">
        <f>LOOKUP(AE5,Reference!$A$228:$A$235,Reference!$C$228:$C$235)</f>
        <v>0.59399999999999997</v>
      </c>
      <c r="AB14" s="21">
        <f>LOOKUP(AE5,Reference!$A$228:$A$235,Reference!$D$228:$D$235)</f>
        <v>1.1599999999999999E-2</v>
      </c>
      <c r="AC14" s="25" t="str">
        <f>LOOKUP(AE5,Reference!$A$228:$A$235,Reference!$E$228:$E$235)</f>
        <v>-</v>
      </c>
      <c r="AD14" s="25" t="str">
        <f>LOOKUP(AE5,Reference!$A$228:$A$235,Reference!$F$228:$F$235)</f>
        <v>-</v>
      </c>
      <c r="AE14" s="18"/>
      <c r="AF14" s="29"/>
      <c r="AG14" s="264" t="s">
        <v>20</v>
      </c>
      <c r="AH14" s="263"/>
      <c r="AI14" s="21">
        <f>LOOKUP(AM5,Reference!$A$228:$A$235,Reference!$C$228:$C$235)</f>
        <v>0.59399999999999997</v>
      </c>
      <c r="AJ14" s="21">
        <f>LOOKUP(AM5,Reference!$A$228:$A$235,Reference!$D$228:$D$235)</f>
        <v>3.1800000000000002E-2</v>
      </c>
      <c r="AK14" s="25">
        <f>LOOKUP(AM5,Reference!$A$228:$A$235,Reference!$E$228:$E$235)</f>
        <v>1E-3</v>
      </c>
      <c r="AL14" s="25">
        <f>LOOKUP(AM5,Reference!$A$228:$A$235,Reference!$F$228:$F$235)</f>
        <v>0.19800000000000001</v>
      </c>
      <c r="AM14" s="18"/>
      <c r="AN14" s="29"/>
      <c r="AO14" s="264" t="s">
        <v>21</v>
      </c>
      <c r="AP14" s="266"/>
      <c r="AQ14" s="21">
        <f>IF(AS9="Signalized",IF(AS7=2,LOOKUP(AU5,Reference!$A$277:$A$283,Reference!$C$277:$C$283),IF(AS7=3,LOOKUP(AU5,Reference!$A$293:$A$299,Reference!$C$293:$C$299),IF(AS7=4,LOOKUP(AU5,Reference!$A$309:$A$315,Reference!$C$309:$C$315),IF(AS7=5,LOOKUP(AU5,Reference!$A$325:$A$331,Reference!$C$325:$C$331),LOOKUP(AU5,Reference!$A$341:$A$347,Reference!$C$341:$C$347))))),IF(AS5="Rural",LOOKUP(AU5,Reference!$A$358:$A$364,Reference!$C$358:$C$364),LOOKUP(AU5,Reference!$A$374:$A$380,Reference!$C$374:$C$380)))</f>
        <v>-2.7549999999999999</v>
      </c>
      <c r="AR14" s="21">
        <f>IF(AS9="Signalized",IF(AS7=2,LOOKUP(AU5,Reference!$A$277:$A$283,Reference!$D$277:$D$283),IF(AS7=3,LOOKUP(AU5,Reference!$A$293:$A$299,Reference!$D$293:$D$299),IF(AS7=4,LOOKUP(AU5,Reference!$A$309:$A$315,Reference!$D$309:$D$315),IF(AS7=5,LOOKUP(AU5,Reference!$A$325:$A$331,Reference!$D$325:$D$331),LOOKUP(AU5,Reference!$A$341:$A$347,Reference!$D$341:$D$347))))),IF(AS5="Rural",LOOKUP(AU5,Reference!$A$358:$A$364,Reference!$D$358:$D$364),LOOKUP(AU5,Reference!$A$374:$A$380,Reference!$D$374:$D$380)))</f>
        <v>0.74099999999999999</v>
      </c>
      <c r="AS14" s="21">
        <f>IF(AS9="Signalized",IF(AS7=2,LOOKUP(AU5,Reference!$A$277:$A$283,Reference!$E$277:$E$283),IF(AS7=3,LOOKUP(AU5,Reference!$A$293:$A$299,Reference!$E$293:$E$299),IF(AS7=4,LOOKUP(AU5,Reference!$A$309:$A$315,Reference!$E$309:$E$315),IF(AS7=5,LOOKUP(AU5,Reference!$A$325:$A$331,Reference!$E$325:$E$331),LOOKUP(AU5,Reference!$A$341:$A$347,Reference!$E$341:$E$347))))),IF(AS5="Rural",LOOKUP(AU5,Reference!$A$358:$A$364,Reference!$E$358:$E$364),LOOKUP(AU5,Reference!$A$374:$A$380,Reference!$E$374:$E$380)))</f>
        <v>1E-3</v>
      </c>
      <c r="AT14" s="21">
        <f>IF(AS9="Signalized",IF(AS7=2,LOOKUP(AU5,Reference!$A$277:$A$283,Reference!$F$277:$F$283),IF(AS7=3,LOOKUP(AU5,Reference!$A$293:$A$299,Reference!$F$293:$F$299),IF(AS7=4,LOOKUP(AU5,Reference!$A$309:$A$315,Reference!$F$309:$F$315),IF(AS7=5,LOOKUP(AU5,Reference!$A$325:$A$331,Reference!$F$325:$F$331),LOOKUP(AU5,Reference!$A$341:$A$347,Reference!$F$341:$F$347))))),IF(AS5="Rural",LOOKUP(AU5,Reference!$A$358:$A$364,Reference!$F$358:$F$364),LOOKUP(AU5,Reference!$A$374:$A$380,Reference!$F$374:$F$380)))</f>
        <v>0.84499999999999997</v>
      </c>
      <c r="AU14" s="18"/>
      <c r="AV14" s="29"/>
      <c r="AW14" s="264" t="s">
        <v>21</v>
      </c>
      <c r="AX14" s="266"/>
      <c r="AY14" s="21">
        <f>IF(BA9="Signalized",IF(BA7=2,LOOKUP(BC5,Reference!$A$277:$A$283,Reference!$C$277:$C$283),IF(BA7=3,LOOKUP(BC5,Reference!$A$293:$A$299,Reference!$C$293:$C$299),IF(BA7=4,LOOKUP(BC5,Reference!$A$309:$A$315,Reference!$C$309:$C$315),IF(BA7=5,LOOKUP(BC5,Reference!$A$325:$A$331,Reference!$C$325:$C$331),LOOKUP(BC5,Reference!$A$341:$A$347,Reference!$C$341:$C$347))))),IF(BA5="Rural",LOOKUP(BC5,Reference!$A$358:$A$364,Reference!$C$358:$C$364),LOOKUP(BC5,Reference!$A$374:$A$380,Reference!$C$374:$C$380)))</f>
        <v>-1.9850000000000001</v>
      </c>
      <c r="AZ14" s="21">
        <f>IF(BA9="Signalized",IF(BA7=2,LOOKUP(BC5,Reference!$A$277:$A$283,Reference!$D$277:$D$283),IF(BA7=3,LOOKUP(BC5,Reference!$A$293:$A$299,Reference!$D$293:$D$299),IF(BA7=4,LOOKUP(BC5,Reference!$A$309:$A$315,Reference!$D$309:$D$315),IF(BA7=5,LOOKUP(BC5,Reference!$A$325:$A$331,Reference!$D$325:$D$331),LOOKUP(BC5,Reference!$A$341:$A$347,Reference!$D$341:$D$347))))),IF(BA5="Rural",LOOKUP(BC5,Reference!$A$358:$A$364,Reference!$D$358:$D$364),LOOKUP(BC5,Reference!$A$374:$A$380,Reference!$D$374:$D$380)))</f>
        <v>0.879</v>
      </c>
      <c r="BA14" s="21">
        <f>IF(BA9="Signalized",IF(BA7=2,LOOKUP(BC5,Reference!$A$277:$A$283,Reference!$E$277:$E$283),IF(BA7=3,LOOKUP(BC5,Reference!$A$293:$A$299,Reference!$E$293:$E$299),IF(BA7=4,LOOKUP(BC5,Reference!$A$309:$A$315,Reference!$E$309:$E$315),IF(BA7=5,LOOKUP(BC5,Reference!$A$325:$A$331,Reference!$E$325:$E$331),LOOKUP(BC5,Reference!$A$341:$A$347,Reference!$E$341:$E$347))))),IF(BA5="Rural",LOOKUP(BC5,Reference!$A$358:$A$364,Reference!$E$358:$E$364),LOOKUP(BC5,Reference!$A$374:$A$380,Reference!$E$374:$E$380)))</f>
        <v>1E-3</v>
      </c>
      <c r="BB14" s="21">
        <f>IF(BA9="Signalized",IF(BA7=2,LOOKUP(BC5,Reference!$A$277:$A$283,Reference!$F$277:$F$283),IF(BA7=3,LOOKUP(BC5,Reference!$A$293:$A$299,Reference!$F$293:$F$299),IF(BA7=4,LOOKUP(BC5,Reference!$A$309:$A$315,Reference!$F$309:$F$315),IF(BA7=5,LOOKUP(BC5,Reference!$A$325:$A$331,Reference!$F$325:$F$331),LOOKUP(BC5,Reference!$A$341:$A$347,Reference!$F$341:$F$347))))),IF(BA5="Rural",LOOKUP(BC5,Reference!$A$358:$A$364,Reference!$F$358:$F$364),LOOKUP(BC5,Reference!$A$374:$A$380,Reference!$F$374:$F$380)))</f>
        <v>0.54500000000000004</v>
      </c>
      <c r="BC14" s="18"/>
      <c r="BD14" s="29"/>
    </row>
    <row r="15" spans="1:61" x14ac:dyDescent="0.25">
      <c r="A15" s="263" t="s">
        <v>2</v>
      </c>
      <c r="B15" s="263"/>
      <c r="C15" s="56">
        <f>H8</f>
        <v>3.7520689262175977</v>
      </c>
      <c r="D15" s="18"/>
      <c r="E15" s="18"/>
      <c r="F15" s="18"/>
      <c r="G15" s="18"/>
      <c r="H15" s="29"/>
      <c r="I15" s="28"/>
      <c r="J15" s="18"/>
      <c r="K15" s="18"/>
      <c r="L15" s="18"/>
      <c r="M15" s="18"/>
      <c r="N15" s="18"/>
      <c r="O15" s="164"/>
      <c r="P15" s="164"/>
      <c r="Q15" s="264" t="s">
        <v>21</v>
      </c>
      <c r="R15" s="263"/>
      <c r="S15" s="21">
        <f>LOOKUP(W5,Reference!$A$237:$A$244,Reference!$C$237:$C$244)</f>
        <v>0.82399999999999995</v>
      </c>
      <c r="T15" s="21">
        <f>LOOKUP(W5,Reference!$A$237:$A$244,Reference!$D$237:$D$244)</f>
        <v>0</v>
      </c>
      <c r="U15" s="25" t="str">
        <f>LOOKUP(W5,Reference!$A$237:$A$244,Reference!$E$237:$E$244)</f>
        <v>-</v>
      </c>
      <c r="V15" s="25" t="str">
        <f>LOOKUP(W5,Reference!$A$237:$A$244,Reference!$F$237:$F$244)</f>
        <v>-</v>
      </c>
      <c r="W15" s="18"/>
      <c r="X15" s="29"/>
      <c r="Y15" s="264" t="s">
        <v>21</v>
      </c>
      <c r="Z15" s="263"/>
      <c r="AA15" s="21">
        <f>LOOKUP(AE5,Reference!$A$237:$A$244,Reference!$C$237:$C$244)</f>
        <v>0.82399999999999995</v>
      </c>
      <c r="AB15" s="21">
        <f>LOOKUP(AE5,Reference!$A$237:$A$244,Reference!$D$237:$D$244)</f>
        <v>0</v>
      </c>
      <c r="AC15" s="25" t="str">
        <f>LOOKUP(AE5,Reference!$A$237:$A$244,Reference!$E$237:$E$244)</f>
        <v>-</v>
      </c>
      <c r="AD15" s="25" t="str">
        <f>LOOKUP(AE5,Reference!$A$237:$A$244,Reference!$F$237:$F$244)</f>
        <v>-</v>
      </c>
      <c r="AE15" s="18"/>
      <c r="AF15" s="29"/>
      <c r="AG15" s="264" t="s">
        <v>21</v>
      </c>
      <c r="AH15" s="263"/>
      <c r="AI15" s="21">
        <f>LOOKUP(AM5,Reference!$A$237:$A$244,Reference!$C$237:$C$244)</f>
        <v>0.82399999999999995</v>
      </c>
      <c r="AJ15" s="21">
        <f>LOOKUP(AM5,Reference!$A$237:$A$244,Reference!$D$237:$D$244)</f>
        <v>2.52E-2</v>
      </c>
      <c r="AK15" s="25">
        <f>LOOKUP(AM5,Reference!$A$237:$A$244,Reference!$E$237:$E$244)</f>
        <v>1E-3</v>
      </c>
      <c r="AL15" s="25">
        <f>LOOKUP(AM5,Reference!$A$237:$A$244,Reference!$F$237:$F$244)</f>
        <v>0</v>
      </c>
      <c r="AM15" s="18"/>
      <c r="AN15" s="29"/>
      <c r="AO15" s="28"/>
      <c r="AP15" s="18"/>
      <c r="AQ15" s="18"/>
      <c r="AR15" s="18"/>
      <c r="AS15" s="18"/>
      <c r="AT15" s="18"/>
      <c r="AU15" s="18"/>
      <c r="AV15" s="29"/>
      <c r="AW15" s="28"/>
      <c r="AX15" s="18"/>
      <c r="AY15" s="18"/>
      <c r="AZ15" s="18"/>
      <c r="BA15" s="18"/>
      <c r="BB15" s="18"/>
      <c r="BC15" s="18"/>
      <c r="BD15" s="29"/>
    </row>
    <row r="16" spans="1:61" x14ac:dyDescent="0.25">
      <c r="A16" s="263" t="s">
        <v>3</v>
      </c>
      <c r="B16" s="263"/>
      <c r="C16" s="56">
        <f>H9</f>
        <v>10.058756039048163</v>
      </c>
      <c r="D16" s="18"/>
      <c r="E16" s="18"/>
      <c r="F16" s="18"/>
      <c r="G16" s="18"/>
      <c r="H16" s="29"/>
      <c r="I16" s="28"/>
      <c r="J16" s="18"/>
      <c r="K16" s="18"/>
      <c r="L16" s="18"/>
      <c r="M16" s="18"/>
      <c r="N16" s="18"/>
      <c r="O16" s="164"/>
      <c r="P16" s="164"/>
      <c r="Q16" s="28"/>
      <c r="R16" s="18"/>
      <c r="S16" s="18"/>
      <c r="T16" s="18"/>
      <c r="U16" s="18"/>
      <c r="V16" s="18"/>
      <c r="W16" s="18"/>
      <c r="X16" s="29"/>
      <c r="Y16" s="28"/>
      <c r="Z16" s="18"/>
      <c r="AA16" s="18"/>
      <c r="AB16" s="18"/>
      <c r="AC16" s="18"/>
      <c r="AD16" s="18"/>
      <c r="AE16" s="18"/>
      <c r="AF16" s="29"/>
      <c r="AG16" s="28"/>
      <c r="AH16" s="18"/>
      <c r="AI16" s="18"/>
      <c r="AJ16" s="18"/>
      <c r="AK16" s="18"/>
      <c r="AL16" s="18"/>
      <c r="AM16" s="18"/>
      <c r="AN16" s="29"/>
      <c r="AO16" s="28"/>
      <c r="AP16" s="18"/>
      <c r="AQ16" s="18"/>
      <c r="AR16" s="18"/>
      <c r="AS16" s="18"/>
      <c r="AT16" s="18"/>
      <c r="AU16" s="18"/>
      <c r="AV16" s="29"/>
      <c r="AW16" s="28"/>
      <c r="AX16" s="18"/>
      <c r="AY16" s="18"/>
      <c r="AZ16" s="18"/>
      <c r="BA16" s="18"/>
      <c r="BB16" s="18"/>
      <c r="BC16" s="18"/>
      <c r="BD16" s="29"/>
    </row>
    <row r="17" spans="1:56" x14ac:dyDescent="0.25">
      <c r="A17" s="263" t="s">
        <v>4</v>
      </c>
      <c r="B17" s="263"/>
      <c r="C17" s="56">
        <f>C18+C19</f>
        <v>6.724786686161587</v>
      </c>
      <c r="D17" s="18"/>
      <c r="E17" s="18"/>
      <c r="F17" s="18"/>
      <c r="G17" s="18"/>
      <c r="H17" s="29"/>
      <c r="I17" s="28"/>
      <c r="J17" s="18"/>
      <c r="K17" s="18"/>
      <c r="L17" s="18"/>
      <c r="M17" s="18"/>
      <c r="N17" s="18"/>
      <c r="O17" s="164"/>
      <c r="P17" s="164"/>
      <c r="Q17" s="28"/>
      <c r="R17" s="18"/>
      <c r="S17" s="18"/>
      <c r="T17" s="18"/>
      <c r="U17" s="18"/>
      <c r="V17" s="18"/>
      <c r="W17" s="18"/>
      <c r="X17" s="29"/>
      <c r="Y17" s="28"/>
      <c r="Z17" s="18"/>
      <c r="AA17" s="18"/>
      <c r="AB17" s="18"/>
      <c r="AC17" s="18"/>
      <c r="AD17" s="18"/>
      <c r="AE17" s="18"/>
      <c r="AF17" s="29"/>
      <c r="AG17" s="28"/>
      <c r="AH17" s="18"/>
      <c r="AI17" s="18"/>
      <c r="AJ17" s="18"/>
      <c r="AK17" s="18"/>
      <c r="AL17" s="18"/>
      <c r="AM17" s="18"/>
      <c r="AN17" s="29"/>
      <c r="AO17" s="264" t="s">
        <v>112</v>
      </c>
      <c r="AP17" s="267"/>
      <c r="AQ17" s="56">
        <f>SUM(AQ18:AQ19)</f>
        <v>0.4686576101507442</v>
      </c>
      <c r="AR17" s="18"/>
      <c r="AS17" s="18"/>
      <c r="AT17" s="18"/>
      <c r="AU17" s="18"/>
      <c r="AV17" s="29"/>
      <c r="AW17" s="264" t="s">
        <v>112</v>
      </c>
      <c r="AX17" s="267"/>
      <c r="AY17" s="56">
        <f>SUM(AY18:AY19)</f>
        <v>0.65365270208285087</v>
      </c>
      <c r="AZ17" s="18"/>
      <c r="BA17" s="18"/>
      <c r="BB17" s="18"/>
      <c r="BC17" s="18"/>
      <c r="BD17" s="29"/>
    </row>
    <row r="18" spans="1:56" x14ac:dyDescent="0.25">
      <c r="A18" s="263" t="s">
        <v>5</v>
      </c>
      <c r="B18" s="263"/>
      <c r="C18" s="56">
        <f>H10</f>
        <v>1.9096365540475573</v>
      </c>
      <c r="D18" s="18"/>
      <c r="E18" s="18"/>
      <c r="F18" s="18"/>
      <c r="G18" s="18"/>
      <c r="H18" s="29"/>
      <c r="I18" s="28"/>
      <c r="J18" s="18"/>
      <c r="K18" s="18"/>
      <c r="L18" s="18"/>
      <c r="M18" s="18"/>
      <c r="N18" s="18"/>
      <c r="O18" s="164"/>
      <c r="P18" s="164"/>
      <c r="Q18" s="28"/>
      <c r="R18" s="18"/>
      <c r="S18" s="18"/>
      <c r="T18" s="18"/>
      <c r="U18" s="18"/>
      <c r="V18" s="18"/>
      <c r="W18" s="18"/>
      <c r="X18" s="29"/>
      <c r="Y18" s="28"/>
      <c r="Z18" s="18"/>
      <c r="AA18" s="18"/>
      <c r="AB18" s="18"/>
      <c r="AC18" s="18"/>
      <c r="AD18" s="18"/>
      <c r="AE18" s="18"/>
      <c r="AF18" s="29"/>
      <c r="AG18" s="28"/>
      <c r="AH18" s="18"/>
      <c r="AI18" s="18"/>
      <c r="AJ18" s="18"/>
      <c r="AK18" s="18"/>
      <c r="AL18" s="18"/>
      <c r="AM18" s="18"/>
      <c r="AN18" s="29"/>
      <c r="AO18" s="264" t="s">
        <v>113</v>
      </c>
      <c r="AP18" s="267"/>
      <c r="AQ18" s="56">
        <f>EXP(AQ13+AR13*LN(AS13*AP5)+AT13*LN(AS13*SUM(AP6:AP7)))</f>
        <v>0.22347933558363905</v>
      </c>
      <c r="AR18" s="18"/>
      <c r="AS18" s="18"/>
      <c r="AT18" s="18"/>
      <c r="AU18" s="18"/>
      <c r="AV18" s="29"/>
      <c r="AW18" s="264" t="s">
        <v>113</v>
      </c>
      <c r="AX18" s="267"/>
      <c r="AY18" s="56">
        <f>EXP(AY13+AZ13*LN(BA13*AX5)+BB13*LN(BA13*SUM(AX6:AX7)))</f>
        <v>0.24788060594553477</v>
      </c>
      <c r="AZ18" s="18"/>
      <c r="BA18" s="18"/>
      <c r="BB18" s="18"/>
      <c r="BC18" s="18"/>
      <c r="BD18" s="29"/>
    </row>
    <row r="19" spans="1:56" x14ac:dyDescent="0.25">
      <c r="A19" s="263" t="s">
        <v>6</v>
      </c>
      <c r="B19" s="263"/>
      <c r="C19" s="56">
        <f>H11</f>
        <v>4.81515013211403</v>
      </c>
      <c r="D19" s="18"/>
      <c r="E19" s="18"/>
      <c r="F19" s="18"/>
      <c r="G19" s="18"/>
      <c r="H19" s="29"/>
      <c r="I19" s="28"/>
      <c r="J19" s="18"/>
      <c r="K19" s="18"/>
      <c r="L19" s="18"/>
      <c r="M19" s="18"/>
      <c r="N19" s="18"/>
      <c r="O19" s="164"/>
      <c r="P19" s="164"/>
      <c r="Q19" s="28"/>
      <c r="R19" s="18"/>
      <c r="S19" s="18"/>
      <c r="T19" s="18"/>
      <c r="U19" s="18"/>
      <c r="V19" s="18"/>
      <c r="W19" s="18"/>
      <c r="X19" s="29"/>
      <c r="Y19" s="28"/>
      <c r="Z19" s="18"/>
      <c r="AA19" s="18"/>
      <c r="AB19" s="18"/>
      <c r="AC19" s="18"/>
      <c r="AD19" s="18"/>
      <c r="AE19" s="18"/>
      <c r="AF19" s="29"/>
      <c r="AG19" s="28"/>
      <c r="AH19" s="18"/>
      <c r="AI19" s="18"/>
      <c r="AJ19" s="18"/>
      <c r="AK19" s="18"/>
      <c r="AL19" s="18"/>
      <c r="AM19" s="18"/>
      <c r="AN19" s="29"/>
      <c r="AO19" s="264" t="s">
        <v>114</v>
      </c>
      <c r="AP19" s="267"/>
      <c r="AQ19" s="56">
        <f>EXP(AQ14+AR14*LN(AS14*AP5)+AT14*LN(AS14*SUM(AP6:AP7)))</f>
        <v>0.24517827456710514</v>
      </c>
      <c r="AR19" s="18"/>
      <c r="AS19" s="18"/>
      <c r="AT19" s="18"/>
      <c r="AU19" s="18"/>
      <c r="AV19" s="29"/>
      <c r="AW19" s="264" t="s">
        <v>114</v>
      </c>
      <c r="AX19" s="267"/>
      <c r="AY19" s="56">
        <f>EXP(AY14+AZ14*LN(BA14*AX5)+BB14*LN(BA14*SUM(AX6:AX7)))</f>
        <v>0.40577209613731613</v>
      </c>
      <c r="AZ19" s="18"/>
      <c r="BA19" s="18"/>
      <c r="BB19" s="18"/>
      <c r="BC19" s="18"/>
      <c r="BD19" s="29"/>
    </row>
    <row r="20" spans="1:56" x14ac:dyDescent="0.25">
      <c r="A20" s="18"/>
      <c r="B20" s="18"/>
      <c r="C20" s="18"/>
      <c r="D20" s="18"/>
      <c r="E20" s="18"/>
      <c r="F20" s="18"/>
      <c r="G20" s="18"/>
      <c r="H20" s="29"/>
      <c r="I20" s="28"/>
      <c r="J20" s="18"/>
      <c r="K20" s="18"/>
      <c r="L20" s="18"/>
      <c r="M20" s="18"/>
      <c r="N20" s="18"/>
      <c r="O20" s="164"/>
      <c r="P20" s="164"/>
      <c r="Q20" s="28"/>
      <c r="R20" s="18"/>
      <c r="S20" s="18"/>
      <c r="T20" s="18"/>
      <c r="U20" s="18"/>
      <c r="V20" s="18"/>
      <c r="W20" s="18"/>
      <c r="X20" s="29"/>
      <c r="Y20" s="28"/>
      <c r="Z20" s="18"/>
      <c r="AA20" s="18"/>
      <c r="AB20" s="18"/>
      <c r="AC20" s="18"/>
      <c r="AD20" s="18"/>
      <c r="AE20" s="18"/>
      <c r="AF20" s="29"/>
      <c r="AG20" s="28"/>
      <c r="AH20" s="18"/>
      <c r="AI20" s="18"/>
      <c r="AJ20" s="18"/>
      <c r="AK20" s="18"/>
      <c r="AL20" s="18"/>
      <c r="AM20" s="18"/>
      <c r="AN20" s="29"/>
      <c r="AO20" s="28"/>
      <c r="AP20" s="18"/>
      <c r="AQ20" s="18"/>
      <c r="AR20" s="18"/>
      <c r="AS20" s="18"/>
      <c r="AT20" s="18"/>
      <c r="AU20" s="18"/>
      <c r="AV20" s="29"/>
      <c r="AW20" s="28"/>
      <c r="AX20" s="18"/>
      <c r="AY20" s="18"/>
      <c r="AZ20" s="18"/>
      <c r="BA20" s="18"/>
      <c r="BB20" s="18"/>
      <c r="BC20" s="18"/>
      <c r="BD20" s="29"/>
    </row>
    <row r="21" spans="1:56" x14ac:dyDescent="0.25">
      <c r="A21" s="263" t="s">
        <v>19</v>
      </c>
      <c r="B21" s="263"/>
      <c r="C21" s="56">
        <f>C22+C23</f>
        <v>20.535611651427349</v>
      </c>
      <c r="D21" s="18"/>
      <c r="E21" s="18"/>
      <c r="F21" s="18"/>
      <c r="G21" s="18"/>
      <c r="H21" s="29"/>
      <c r="I21" s="28"/>
      <c r="J21" s="18"/>
      <c r="K21" s="18"/>
      <c r="L21" s="18"/>
      <c r="M21" s="18"/>
      <c r="N21" s="18"/>
      <c r="O21" s="164"/>
      <c r="P21" s="164"/>
      <c r="Q21" s="28"/>
      <c r="R21" s="18"/>
      <c r="S21" s="18"/>
      <c r="T21" s="18"/>
      <c r="U21" s="18"/>
      <c r="V21" s="18"/>
      <c r="W21" s="18"/>
      <c r="X21" s="29"/>
      <c r="Y21" s="28"/>
      <c r="Z21" s="18"/>
      <c r="AA21" s="18"/>
      <c r="AB21" s="18"/>
      <c r="AC21" s="18"/>
      <c r="AD21" s="18"/>
      <c r="AE21" s="18"/>
      <c r="AF21" s="29"/>
      <c r="AG21" s="28"/>
      <c r="AH21" s="18"/>
      <c r="AI21" s="18"/>
      <c r="AJ21" s="18"/>
      <c r="AK21" s="18"/>
      <c r="AL21" s="18"/>
      <c r="AM21" s="18"/>
      <c r="AN21" s="29"/>
      <c r="AO21" s="28"/>
      <c r="AP21" s="18"/>
      <c r="AQ21" s="18"/>
      <c r="AR21" s="18"/>
      <c r="AS21" s="18"/>
      <c r="AT21" s="18"/>
      <c r="AU21" s="18"/>
      <c r="AV21" s="29"/>
      <c r="AW21" s="28"/>
      <c r="AX21" s="18"/>
      <c r="AY21" s="18"/>
      <c r="AZ21" s="18"/>
      <c r="BA21" s="18"/>
      <c r="BB21" s="18"/>
      <c r="BC21" s="18"/>
      <c r="BD21" s="29"/>
    </row>
    <row r="22" spans="1:56" x14ac:dyDescent="0.25">
      <c r="A22" s="263" t="s">
        <v>20</v>
      </c>
      <c r="B22" s="263"/>
      <c r="C22" s="56">
        <f>H8+H10</f>
        <v>5.6617054802651552</v>
      </c>
      <c r="D22" s="18"/>
      <c r="E22" s="18"/>
      <c r="F22" s="18"/>
      <c r="G22" s="18"/>
      <c r="H22" s="29"/>
      <c r="I22" s="28"/>
      <c r="J22" s="18"/>
      <c r="K22" s="18"/>
      <c r="L22" s="18"/>
      <c r="M22" s="18"/>
      <c r="N22" s="18"/>
      <c r="O22" s="164"/>
      <c r="P22" s="164"/>
      <c r="Q22" s="28"/>
      <c r="R22" s="18"/>
      <c r="S22" s="18"/>
      <c r="T22" s="18"/>
      <c r="U22" s="18"/>
      <c r="V22" s="18"/>
      <c r="W22" s="18"/>
      <c r="X22" s="29"/>
      <c r="Y22" s="28"/>
      <c r="Z22" s="18"/>
      <c r="AA22" s="18"/>
      <c r="AB22" s="18"/>
      <c r="AC22" s="18"/>
      <c r="AD22" s="18"/>
      <c r="AE22" s="18"/>
      <c r="AF22" s="29"/>
      <c r="AG22" s="28"/>
      <c r="AH22" s="18"/>
      <c r="AI22" s="18"/>
      <c r="AJ22" s="18"/>
      <c r="AK22" s="18"/>
      <c r="AL22" s="18"/>
      <c r="AM22" s="18"/>
      <c r="AN22" s="29"/>
      <c r="AO22" s="28"/>
      <c r="AP22" s="18"/>
      <c r="AQ22" s="18"/>
      <c r="AR22" s="18"/>
      <c r="AS22" s="18"/>
      <c r="AT22" s="89"/>
      <c r="AU22" s="18"/>
      <c r="AV22" s="29"/>
      <c r="AW22" s="28"/>
      <c r="AX22" s="18"/>
      <c r="AY22" s="18"/>
      <c r="AZ22" s="18"/>
      <c r="BA22" s="18"/>
      <c r="BB22" s="89"/>
      <c r="BC22" s="18"/>
      <c r="BD22" s="29"/>
    </row>
    <row r="23" spans="1:56" x14ac:dyDescent="0.25">
      <c r="A23" s="263" t="s">
        <v>21</v>
      </c>
      <c r="B23" s="267"/>
      <c r="C23" s="56">
        <f>H9+H11</f>
        <v>14.873906171162194</v>
      </c>
      <c r="D23" s="18"/>
      <c r="E23" s="18"/>
      <c r="F23" s="18"/>
      <c r="G23" s="18"/>
      <c r="H23" s="29"/>
      <c r="I23" s="28"/>
      <c r="J23" s="18"/>
      <c r="K23" s="18"/>
      <c r="L23" s="18"/>
      <c r="M23" s="18"/>
      <c r="N23" s="18"/>
      <c r="O23" s="164" t="s">
        <v>20</v>
      </c>
      <c r="P23" s="164" t="s">
        <v>21</v>
      </c>
      <c r="Q23" s="28"/>
      <c r="R23" s="18"/>
      <c r="S23" s="18"/>
      <c r="T23" s="18"/>
      <c r="U23" s="18"/>
      <c r="V23" s="18"/>
      <c r="W23" s="18"/>
      <c r="X23" s="29"/>
      <c r="Y23" s="28"/>
      <c r="Z23" s="18"/>
      <c r="AA23" s="18"/>
      <c r="AB23" s="18"/>
      <c r="AC23" s="18"/>
      <c r="AD23" s="18"/>
      <c r="AE23" s="18"/>
      <c r="AF23" s="29"/>
      <c r="AG23" s="28"/>
      <c r="AH23" s="18"/>
      <c r="AI23" s="18"/>
      <c r="AJ23" s="18"/>
      <c r="AK23" s="18"/>
      <c r="AL23" s="18"/>
      <c r="AM23" s="18"/>
      <c r="AN23" s="29"/>
      <c r="AO23" s="28"/>
      <c r="AP23" s="18"/>
      <c r="AQ23" s="18"/>
      <c r="AR23" s="18"/>
      <c r="AS23" s="18"/>
      <c r="AT23" s="18"/>
      <c r="AU23" s="18"/>
      <c r="AV23" s="29"/>
      <c r="AW23" s="28"/>
      <c r="AX23" s="18"/>
      <c r="AY23" s="18"/>
      <c r="AZ23" s="18"/>
      <c r="BA23" s="18"/>
      <c r="BB23" s="18"/>
      <c r="BC23" s="18"/>
      <c r="BD23" s="29"/>
    </row>
    <row r="24" spans="1:56" x14ac:dyDescent="0.25">
      <c r="A24" s="18"/>
      <c r="B24" s="18"/>
      <c r="C24" s="18"/>
      <c r="D24" s="18"/>
      <c r="E24" s="18"/>
      <c r="F24" s="18"/>
      <c r="G24" s="18"/>
      <c r="H24" s="29"/>
      <c r="I24" s="28" t="s">
        <v>84</v>
      </c>
      <c r="J24" s="18" t="s">
        <v>85</v>
      </c>
      <c r="K24" s="18"/>
      <c r="L24" s="18"/>
      <c r="M24" s="18"/>
      <c r="N24" s="18"/>
      <c r="O24" s="46">
        <f>(1-J5)+J5*EXP(K11/L5)</f>
        <v>1.338656724353094</v>
      </c>
      <c r="P24" s="86">
        <f>(1-J5)+J5*EXP(K12/L5)</f>
        <v>1.2275250649631777</v>
      </c>
      <c r="Q24" s="264" t="s">
        <v>19</v>
      </c>
      <c r="R24" s="263"/>
      <c r="S24" s="20">
        <f>S25+S26</f>
        <v>0.59137245011057249</v>
      </c>
      <c r="T24" s="18"/>
      <c r="U24" s="18"/>
      <c r="V24" s="18"/>
      <c r="W24" s="18"/>
      <c r="X24" s="29"/>
      <c r="Y24" s="264" t="s">
        <v>19</v>
      </c>
      <c r="Z24" s="263"/>
      <c r="AA24" s="20">
        <f>AA25+AA26</f>
        <v>2.36548980044229</v>
      </c>
      <c r="AB24" s="18"/>
      <c r="AC24" s="18"/>
      <c r="AD24" s="18"/>
      <c r="AE24" s="18"/>
      <c r="AF24" s="29"/>
      <c r="AG24" s="264" t="s">
        <v>19</v>
      </c>
      <c r="AH24" s="263"/>
      <c r="AI24" s="20">
        <f>AI25+AI26</f>
        <v>1.1400144857280397</v>
      </c>
      <c r="AJ24" s="18"/>
      <c r="AK24" s="18"/>
      <c r="AL24" s="18"/>
      <c r="AM24" s="18"/>
      <c r="AN24" s="29"/>
      <c r="AO24" s="28"/>
      <c r="AP24" s="18"/>
      <c r="AQ24" s="18"/>
      <c r="AR24" s="18"/>
      <c r="AS24" s="18"/>
      <c r="AT24" s="18"/>
      <c r="AU24" s="18"/>
      <c r="AV24" s="29"/>
      <c r="AW24" s="28"/>
      <c r="AX24" s="18"/>
      <c r="AY24" s="18"/>
      <c r="AZ24" s="18"/>
      <c r="BA24" s="18"/>
      <c r="BB24" s="18"/>
      <c r="BC24" s="18"/>
      <c r="BD24" s="29"/>
    </row>
    <row r="25" spans="1:56" x14ac:dyDescent="0.25">
      <c r="A25" s="18"/>
      <c r="B25" s="18"/>
      <c r="C25" s="18"/>
      <c r="D25" s="18"/>
      <c r="E25" s="18"/>
      <c r="F25" s="18"/>
      <c r="G25" s="18"/>
      <c r="H25" s="29"/>
      <c r="I25" s="28" t="s">
        <v>86</v>
      </c>
      <c r="J25" s="18" t="s">
        <v>87</v>
      </c>
      <c r="K25" s="18"/>
      <c r="L25" s="18"/>
      <c r="M25" s="18"/>
      <c r="N25" s="18"/>
      <c r="O25" s="46">
        <f>(1-J6)+J6*EXP(K11/L6)</f>
        <v>1.338656724353094</v>
      </c>
      <c r="P25" s="86">
        <f>(1-J6)+J6*EXP(K12/L6)</f>
        <v>1.2275250649631777</v>
      </c>
      <c r="Q25" s="264" t="s">
        <v>20</v>
      </c>
      <c r="R25" s="263"/>
      <c r="S25" s="20">
        <f>X8</f>
        <v>0.15856798619283211</v>
      </c>
      <c r="T25" s="18"/>
      <c r="U25" s="18"/>
      <c r="V25" s="18"/>
      <c r="W25" s="18"/>
      <c r="X25" s="29"/>
      <c r="Y25" s="264" t="s">
        <v>20</v>
      </c>
      <c r="Z25" s="263"/>
      <c r="AA25" s="20">
        <f>AF8</f>
        <v>0.63427194477132842</v>
      </c>
      <c r="AB25" s="18"/>
      <c r="AC25" s="18"/>
      <c r="AD25" s="18"/>
      <c r="AE25" s="18"/>
      <c r="AF25" s="29"/>
      <c r="AG25" s="264" t="s">
        <v>20</v>
      </c>
      <c r="AH25" s="263"/>
      <c r="AI25" s="20">
        <f>AN8</f>
        <v>0.27326945429295063</v>
      </c>
      <c r="AJ25" s="18"/>
      <c r="AK25" s="18"/>
      <c r="AL25" s="18"/>
      <c r="AM25" s="18"/>
      <c r="AN25" s="29"/>
      <c r="AO25" s="28"/>
      <c r="AP25" s="18"/>
      <c r="AQ25" s="18"/>
      <c r="AR25" s="18"/>
      <c r="AS25" s="18"/>
      <c r="AT25" s="18"/>
      <c r="AU25" s="18"/>
      <c r="AV25" s="29"/>
      <c r="AW25" s="28"/>
      <c r="AX25" s="18"/>
      <c r="AY25" s="18"/>
      <c r="AZ25" s="18"/>
      <c r="BA25" s="18"/>
      <c r="BB25" s="18"/>
      <c r="BC25" s="18"/>
      <c r="BD25" s="29"/>
    </row>
    <row r="26" spans="1:56" x14ac:dyDescent="0.25">
      <c r="A26" s="55"/>
      <c r="B26" s="273" t="s">
        <v>46</v>
      </c>
      <c r="C26" s="273"/>
      <c r="D26" s="273"/>
      <c r="E26" s="273"/>
      <c r="F26" s="273"/>
      <c r="G26" s="164" t="s">
        <v>20</v>
      </c>
      <c r="H26" s="36" t="s">
        <v>21</v>
      </c>
      <c r="I26" s="28"/>
      <c r="J26" s="18"/>
      <c r="K26" s="18"/>
      <c r="L26" s="18"/>
      <c r="M26" s="18"/>
      <c r="N26" s="18"/>
      <c r="O26" s="18"/>
      <c r="P26" s="18"/>
      <c r="Q26" s="264" t="s">
        <v>21</v>
      </c>
      <c r="R26" s="267"/>
      <c r="S26" s="20">
        <f>X9</f>
        <v>0.43280446391774041</v>
      </c>
      <c r="T26" s="18"/>
      <c r="U26" s="18"/>
      <c r="V26" s="18"/>
      <c r="W26" s="18"/>
      <c r="X26" s="29"/>
      <c r="Y26" s="264" t="s">
        <v>21</v>
      </c>
      <c r="Z26" s="267"/>
      <c r="AA26" s="20">
        <f>AF9</f>
        <v>1.7312178556709616</v>
      </c>
      <c r="AB26" s="18"/>
      <c r="AC26" s="18"/>
      <c r="AD26" s="18"/>
      <c r="AE26" s="18"/>
      <c r="AF26" s="29"/>
      <c r="AG26" s="264" t="s">
        <v>21</v>
      </c>
      <c r="AH26" s="267"/>
      <c r="AI26" s="20">
        <f>AN9</f>
        <v>0.86674503143508907</v>
      </c>
      <c r="AJ26" s="18"/>
      <c r="AK26" s="18"/>
      <c r="AL26" s="18"/>
      <c r="AM26" s="18"/>
      <c r="AN26" s="29"/>
      <c r="AO26" s="28"/>
      <c r="AP26" s="18"/>
      <c r="AQ26" s="18"/>
      <c r="AR26" s="18"/>
      <c r="AS26" s="18"/>
      <c r="AT26" s="18"/>
      <c r="AU26" s="18"/>
      <c r="AV26" s="29"/>
      <c r="AW26" s="28"/>
      <c r="AX26" s="18"/>
      <c r="AY26" s="18"/>
      <c r="AZ26" s="18"/>
      <c r="BA26" s="18"/>
      <c r="BB26" s="18"/>
      <c r="BC26" s="18"/>
      <c r="BD26" s="29"/>
    </row>
    <row r="27" spans="1:56" x14ac:dyDescent="0.25">
      <c r="A27" s="164">
        <v>1</v>
      </c>
      <c r="B27" s="306" t="s">
        <v>341</v>
      </c>
      <c r="C27" s="306"/>
      <c r="D27" s="306"/>
      <c r="E27" s="306"/>
      <c r="F27" s="306"/>
      <c r="G27" s="60">
        <v>1</v>
      </c>
      <c r="H27" s="61">
        <v>1</v>
      </c>
      <c r="I27" s="28" t="s">
        <v>88</v>
      </c>
      <c r="J27" s="296" t="s">
        <v>89</v>
      </c>
      <c r="K27" s="296"/>
      <c r="L27" s="296"/>
      <c r="M27" s="296"/>
      <c r="N27" s="296"/>
      <c r="O27" s="44">
        <f>((1+(EXP(-L11*N5+N11*LN(M11*J7)))/(L11*J8))*(1-EXP(-L11*J8)))*((1+(EXP(-L11*P6+N11*LN(M11*P7)))/(L11*J8))*(1-EXP(-L11*J8)))</f>
        <v>1.0649461594059906</v>
      </c>
      <c r="P27" s="87">
        <f>((1+(EXP(-L12*N5+N12*LN(M12*J7)))/(L12*J8))*(1-EXP(-L12*J8)))*((1+(EXP(-L12*P6+N12*LN(M12*P7)))/(L12*J8))*(1-EXP(-L12*J8)))</f>
        <v>1.0592770735021788</v>
      </c>
      <c r="Q27" s="28"/>
      <c r="R27" s="18"/>
      <c r="S27" s="18"/>
      <c r="T27" s="18"/>
      <c r="U27" s="18"/>
      <c r="V27" s="18"/>
      <c r="W27" s="18"/>
      <c r="X27" s="29"/>
      <c r="Y27" s="28"/>
      <c r="Z27" s="18"/>
      <c r="AA27" s="18"/>
      <c r="AB27" s="18"/>
      <c r="AC27" s="18"/>
      <c r="AD27" s="18"/>
      <c r="AE27" s="18"/>
      <c r="AF27" s="29"/>
      <c r="AG27" s="28"/>
      <c r="AH27" s="18"/>
      <c r="AI27" s="18"/>
      <c r="AJ27" s="18"/>
      <c r="AK27" s="18"/>
      <c r="AL27" s="18"/>
      <c r="AM27" s="18"/>
      <c r="AN27" s="29"/>
      <c r="AO27" s="28"/>
      <c r="AP27" s="18"/>
      <c r="AQ27" s="18"/>
      <c r="AR27" s="18"/>
      <c r="AS27" s="18"/>
      <c r="AT27" s="18"/>
      <c r="AU27" s="18"/>
      <c r="AV27" s="29"/>
      <c r="AW27" s="28"/>
      <c r="AX27" s="18"/>
      <c r="AY27" s="18"/>
      <c r="AZ27" s="18"/>
      <c r="BA27" s="18"/>
      <c r="BB27" s="18"/>
      <c r="BC27" s="18"/>
      <c r="BD27" s="29"/>
    </row>
    <row r="28" spans="1:56" x14ac:dyDescent="0.25">
      <c r="A28" s="164">
        <v>2</v>
      </c>
      <c r="B28" s="286" t="s">
        <v>200</v>
      </c>
      <c r="C28" s="287"/>
      <c r="D28" s="287"/>
      <c r="E28" s="288"/>
      <c r="F28" s="79">
        <v>13</v>
      </c>
      <c r="G28" s="60">
        <f>IF(F28&gt;=13,0.963,EXP(-0.0376*(F28-12)))</f>
        <v>0.96299999999999997</v>
      </c>
      <c r="H28" s="61">
        <v>1</v>
      </c>
      <c r="I28" s="28"/>
      <c r="J28" s="296"/>
      <c r="K28" s="296"/>
      <c r="L28" s="296"/>
      <c r="M28" s="296"/>
      <c r="N28" s="296"/>
      <c r="O28" s="45"/>
      <c r="P28" s="18"/>
      <c r="Q28" s="28"/>
      <c r="R28" s="18"/>
      <c r="S28" s="18"/>
      <c r="T28" s="18"/>
      <c r="U28" s="18"/>
      <c r="V28" s="18"/>
      <c r="W28" s="18"/>
      <c r="X28" s="29"/>
      <c r="Y28" s="28"/>
      <c r="Z28" s="18"/>
      <c r="AA28" s="18"/>
      <c r="AB28" s="18"/>
      <c r="AC28" s="18"/>
      <c r="AD28" s="18"/>
      <c r="AE28" s="18"/>
      <c r="AF28" s="29"/>
      <c r="AG28" s="28"/>
      <c r="AH28" s="18"/>
      <c r="AI28" s="18"/>
      <c r="AJ28" s="18"/>
      <c r="AK28" s="18"/>
      <c r="AL28" s="18"/>
      <c r="AM28" s="18"/>
      <c r="AN28" s="29"/>
      <c r="AO28" s="28"/>
      <c r="AP28" s="18"/>
      <c r="AQ28" s="18"/>
      <c r="AR28" s="18"/>
      <c r="AS28" s="18"/>
      <c r="AT28" s="18"/>
      <c r="AU28" s="18"/>
      <c r="AV28" s="29"/>
      <c r="AW28" s="28"/>
      <c r="AX28" s="18"/>
      <c r="AY28" s="18"/>
      <c r="AZ28" s="18"/>
      <c r="BA28" s="18"/>
      <c r="BB28" s="18"/>
      <c r="BC28" s="18"/>
      <c r="BD28" s="29"/>
    </row>
    <row r="29" spans="1:56" x14ac:dyDescent="0.25">
      <c r="A29" s="164">
        <v>3</v>
      </c>
      <c r="B29" s="286" t="s">
        <v>208</v>
      </c>
      <c r="C29" s="287"/>
      <c r="D29" s="287"/>
      <c r="E29" s="288"/>
      <c r="F29" s="77">
        <v>10</v>
      </c>
      <c r="G29" s="60">
        <f>EXP(-0.0172*(F29-6))</f>
        <v>0.9335133640819957</v>
      </c>
      <c r="H29" s="61">
        <f>EXP(-0.0153*(F29-6))</f>
        <v>0.94063509394326494</v>
      </c>
      <c r="I29" s="28"/>
      <c r="J29" s="18"/>
      <c r="K29" s="18"/>
      <c r="L29" s="18"/>
      <c r="M29" s="18"/>
      <c r="N29" s="18"/>
      <c r="O29" s="18"/>
      <c r="P29" s="18"/>
      <c r="Q29" s="35"/>
      <c r="R29" s="273" t="s">
        <v>46</v>
      </c>
      <c r="S29" s="273"/>
      <c r="T29" s="273"/>
      <c r="U29" s="273"/>
      <c r="V29" s="273"/>
      <c r="W29" s="164" t="s">
        <v>20</v>
      </c>
      <c r="X29" s="36" t="s">
        <v>21</v>
      </c>
      <c r="Y29" s="35"/>
      <c r="Z29" s="273" t="s">
        <v>46</v>
      </c>
      <c r="AA29" s="273"/>
      <c r="AB29" s="273"/>
      <c r="AC29" s="273"/>
      <c r="AD29" s="273"/>
      <c r="AE29" s="164" t="s">
        <v>20</v>
      </c>
      <c r="AF29" s="36" t="s">
        <v>21</v>
      </c>
      <c r="AG29" s="35"/>
      <c r="AH29" s="273" t="s">
        <v>46</v>
      </c>
      <c r="AI29" s="273"/>
      <c r="AJ29" s="273"/>
      <c r="AK29" s="273"/>
      <c r="AL29" s="273"/>
      <c r="AM29" s="164" t="s">
        <v>20</v>
      </c>
      <c r="AN29" s="36" t="s">
        <v>21</v>
      </c>
      <c r="AO29" s="35"/>
      <c r="AP29" s="273" t="s">
        <v>46</v>
      </c>
      <c r="AQ29" s="273"/>
      <c r="AR29" s="273"/>
      <c r="AS29" s="273"/>
      <c r="AT29" s="273"/>
      <c r="AU29" s="164" t="s">
        <v>20</v>
      </c>
      <c r="AV29" s="36" t="s">
        <v>21</v>
      </c>
      <c r="AW29" s="35"/>
      <c r="AX29" s="273" t="s">
        <v>46</v>
      </c>
      <c r="AY29" s="273"/>
      <c r="AZ29" s="273"/>
      <c r="BA29" s="273"/>
      <c r="BB29" s="273"/>
      <c r="BC29" s="164" t="s">
        <v>20</v>
      </c>
      <c r="BD29" s="36" t="s">
        <v>21</v>
      </c>
    </row>
    <row r="30" spans="1:56" x14ac:dyDescent="0.25">
      <c r="A30" s="164">
        <v>5</v>
      </c>
      <c r="B30" s="286" t="s">
        <v>210</v>
      </c>
      <c r="C30" s="287"/>
      <c r="D30" s="288"/>
      <c r="E30" s="76">
        <v>1</v>
      </c>
      <c r="F30" s="78">
        <v>50</v>
      </c>
      <c r="G30" s="60">
        <f>(1-E30)+E30*EXP(0.131/F30)</f>
        <v>1.002623435199419</v>
      </c>
      <c r="H30" s="61">
        <f>(1-E30)+E30*EXP(0.169/F30)</f>
        <v>1.0033857186411872</v>
      </c>
      <c r="I30" s="28" t="s">
        <v>90</v>
      </c>
      <c r="J30" s="296" t="s">
        <v>91</v>
      </c>
      <c r="K30" s="296"/>
      <c r="L30" s="296"/>
      <c r="M30" s="296"/>
      <c r="N30" s="296"/>
      <c r="O30" s="44">
        <f>((1+(EXP(-L11*P5+N11*LN(M11*N7)))/(L11*J8))*(1-EXP(-L11*J8)))*((1+(EXP(-L11*N6+N11*LN(M11*L7)))/(L11*J8))*(1-EXP(-L11*J8)))</f>
        <v>1.0576539184458691</v>
      </c>
      <c r="P30" s="87">
        <f>((1+(EXP(-L12*P5+N12*LN(M12*N7)))/(L12*J8))*(1-EXP(-L12*J8)))*((1+(EXP(-L12*N6+N12*LN(M12*L7)))/(L12*J8))*(1-EXP(-L12*J8)))</f>
        <v>1.0524059611112813</v>
      </c>
      <c r="Q30" s="168">
        <v>1</v>
      </c>
      <c r="R30" s="268" t="s">
        <v>286</v>
      </c>
      <c r="S30" s="268"/>
      <c r="T30" s="268"/>
      <c r="U30" s="268"/>
      <c r="V30" s="268"/>
      <c r="W30" s="60">
        <f>IF(OR(W5="1 (Merge, 4 Through Lanes)",W5="2 (Merge, 6 Through Lanes)"),EXP(S14*IF(T6="Left",1,0)+T14/T5+V14*LN(U14*R6)),EXP(S14*IF(T6="Left",1,0)+T14/T5))</f>
        <v>1.2611197288283293</v>
      </c>
      <c r="X30" s="61">
        <f>IF(OR(W5="1 (Merge, 4 Through Lanes)",W5="2 (Merge, 6 Through Lanes)"),EXP(S15*IF(T6="Left",1,0)+T15/T5+V15*LN(U15*R6)),EXP(S15*IF(T6="Left",1,0)+T15/T5))</f>
        <v>1</v>
      </c>
      <c r="Y30" s="168">
        <v>1</v>
      </c>
      <c r="Z30" s="268" t="s">
        <v>286</v>
      </c>
      <c r="AA30" s="268"/>
      <c r="AB30" s="268"/>
      <c r="AC30" s="268"/>
      <c r="AD30" s="268"/>
      <c r="AE30" s="60">
        <f>IF(OR(AE5="1 (Merge, 4 Through Lanes)",AE5="2 (Merge, 6 Through Lanes)"),EXP(AA14*IF(AB6="Left",1,0)+AB14/AB5+AD14*LN(AC14*Z6)),EXP(AA14*IF(AB6="Left",1,0)+AB14/AB5))</f>
        <v>1.0597149957102876</v>
      </c>
      <c r="AF30" s="61">
        <f>IF(OR(AE5="1 (Merge, 4 Through Lanes)",AE5="2 (Merge, 6 Through Lanes)"),EXP(AA15*IF(AB6="Left",1,0)+AB15/AB5+AD15*LN(AC15*Z6)),EXP(AA15*IF(AB6="Left",1,0)+AB15/AB5))</f>
        <v>1</v>
      </c>
      <c r="AG30" s="168">
        <v>1</v>
      </c>
      <c r="AH30" s="268" t="s">
        <v>286</v>
      </c>
      <c r="AI30" s="268"/>
      <c r="AJ30" s="268"/>
      <c r="AK30" s="268"/>
      <c r="AL30" s="268"/>
      <c r="AM30" s="60">
        <f>IF(OR(AM5="1 (Merge, 4 Through Lanes)",AM5="2 (Merge, 6 Through Lanes)"),EXP(AI14*IF(AJ6="Left",1,0)+AJ14/AJ5+AL14*LN(AK14*AH6)),EXP(AI14*IF(AJ6="Left",1,0)+AJ14/AJ5))</f>
        <v>2.1281186656917046</v>
      </c>
      <c r="AN30" s="61">
        <f>IF(OR(AM5="1 (Merge, 4 Through Lanes)",AM5="2 (Merge, 6 Through Lanes)"),EXP(AI15*IF(AJ6="Left",1,0)+AJ15/AJ5+AL15*LN(AK15*AH6)),EXP(AI15*IF(AJ6="Left",1,0)+AJ15/AJ5))</f>
        <v>1.2865960372848406</v>
      </c>
      <c r="AO30" s="166">
        <v>10</v>
      </c>
      <c r="AP30" s="289" t="s">
        <v>175</v>
      </c>
      <c r="AQ30" s="290"/>
      <c r="AR30" s="291"/>
      <c r="AS30" s="125">
        <v>1</v>
      </c>
      <c r="AT30" s="171" t="s">
        <v>349</v>
      </c>
      <c r="AU30" s="60">
        <f>(1-(AP6/SUM(AP6:AP9)))+(AP6/SUM(AP6:AP9))*EXP(IF(AS9="Signalized",0.0668,0.151)*(0.001*AP6)/IF(AT30="Merge/Freeflow",0.5*(AS30-1)+1,0.5*AS30))</f>
        <v>1.0277663287093155</v>
      </c>
      <c r="AV30" s="61">
        <f>(1-(AP6/SUM(AP6:AP9)))+(AP6/SUM(AP6:AP9))*EXP(IF(AS9="Signalized",0.0668,0.151)*(0.001*AP6)/IF(AT30="Merge/Freeflow",0.5*(AS30-1)+1,0.5*AS30))</f>
        <v>1.0277663287093155</v>
      </c>
      <c r="AW30" s="166">
        <v>10</v>
      </c>
      <c r="AX30" s="289" t="s">
        <v>175</v>
      </c>
      <c r="AY30" s="290"/>
      <c r="AZ30" s="291"/>
      <c r="BA30" s="125">
        <v>1</v>
      </c>
      <c r="BB30" s="171" t="s">
        <v>176</v>
      </c>
      <c r="BC30" s="60">
        <f>(1-(AX6/SUM(AX6:AX9)))+(AX6/SUM(AX6:AX9))*EXP(IF(BA9="Signalized",0.0668,0.151)*(0.001*AX6)/IF(BB30="Merge/Freeflow",0.5*(BA30-1)+1,0.5*BA30))</f>
        <v>1.0586647190217306</v>
      </c>
      <c r="BD30" s="61">
        <f>(1-(AX6/SUM(AX6:AX9)))+(AX6/SUM(AX6:AX9))*EXP(IF(BA9="Signalized",0.0668,0.151)*(0.001*AX6)/IF(BB30="Merge/Freeflow",0.5*(BA30-1)+1,0.5*BA30))</f>
        <v>1.0586647190217306</v>
      </c>
    </row>
    <row r="31" spans="1:56" x14ac:dyDescent="0.25">
      <c r="A31" s="164" t="s">
        <v>214</v>
      </c>
      <c r="B31" s="268"/>
      <c r="C31" s="268"/>
      <c r="D31" s="268"/>
      <c r="E31" s="268"/>
      <c r="F31" s="268"/>
      <c r="G31" s="60"/>
      <c r="H31" s="61"/>
      <c r="I31" s="28"/>
      <c r="J31" s="296"/>
      <c r="K31" s="296"/>
      <c r="L31" s="296"/>
      <c r="M31" s="296"/>
      <c r="N31" s="296"/>
      <c r="O31" s="18"/>
      <c r="P31" s="18"/>
      <c r="Q31" s="168">
        <v>2</v>
      </c>
      <c r="R31" s="268"/>
      <c r="S31" s="268"/>
      <c r="T31" s="268"/>
      <c r="U31" s="268"/>
      <c r="V31" s="268"/>
      <c r="W31" s="171"/>
      <c r="X31" s="174"/>
      <c r="Y31" s="168">
        <v>2</v>
      </c>
      <c r="Z31" s="268"/>
      <c r="AA31" s="268"/>
      <c r="AB31" s="268"/>
      <c r="AC31" s="268"/>
      <c r="AD31" s="268"/>
      <c r="AE31" s="171"/>
      <c r="AF31" s="174"/>
      <c r="AG31" s="168">
        <v>2</v>
      </c>
      <c r="AH31" s="268"/>
      <c r="AI31" s="268"/>
      <c r="AJ31" s="268"/>
      <c r="AK31" s="268"/>
      <c r="AL31" s="268"/>
      <c r="AM31" s="171"/>
      <c r="AN31" s="174"/>
      <c r="AO31" s="299">
        <v>11</v>
      </c>
      <c r="AP31" s="268" t="s">
        <v>178</v>
      </c>
      <c r="AQ31" s="268"/>
      <c r="AR31" s="268"/>
      <c r="AS31" s="268"/>
      <c r="AT31" s="171" t="s">
        <v>132</v>
      </c>
      <c r="AU31" s="60">
        <f>IF(AT31="Present",(1-(AP8/SUM(AP6:AP9)))+(AP8/SUM(AP6:AP9))*IF(AS9="Signalized",IF(AS5="Rural",0.44,0.65),IF(AS5="Rural",0.36,0.59)),1)</f>
        <v>0.91923076923076918</v>
      </c>
      <c r="AV31" s="61">
        <f>IF(AT31="Present",(1-(AP8/SUM(AP6:AP9)))+(AP8/SUM(AP6:AP9))*IF(AS9="Signalized",IF(AS5="Rural",0.66,0.68),IF(AS5="Rural",0.55,0.58)),1)</f>
        <v>0.92615384615384611</v>
      </c>
      <c r="AW31" s="299">
        <v>11</v>
      </c>
      <c r="AX31" s="268" t="s">
        <v>178</v>
      </c>
      <c r="AY31" s="268"/>
      <c r="AZ31" s="268"/>
      <c r="BA31" s="268"/>
      <c r="BB31" s="171" t="s">
        <v>132</v>
      </c>
      <c r="BC31" s="60">
        <f>IF(BB31="Present",(1-(AX8/SUM(AX6:AX9)))+(AX8/SUM(AX6:AX9))*IF(BA9="Signalized",IF(BA5="Rural",0.44,0.65),IF(BA5="Rural",0.36,0.59)),1)</f>
        <v>0.91923076923076918</v>
      </c>
      <c r="BD31" s="61">
        <f>IF(BB31="Present",(1-(AX8/SUM(AX6:AX9)))+(AX8/SUM(AX6:AX9))*IF(BA9="Signalized",IF(BA5="Rural",0.66,0.68),IF(BA5="Rural",0.55,0.58)),1)</f>
        <v>0.92615384615384611</v>
      </c>
    </row>
    <row r="32" spans="1:56" x14ac:dyDescent="0.25">
      <c r="A32" s="164"/>
      <c r="B32" s="302"/>
      <c r="C32" s="302"/>
      <c r="D32" s="302"/>
      <c r="E32" s="302"/>
      <c r="F32" s="302"/>
      <c r="G32" s="22">
        <f>IF(G27=0,1,G27)*IF(G28=0,1,G28)*IF(G29=0,1,G29)*IF(G30=0,1,G30)*IF(G31=0,1,G31)</f>
        <v>0.90133176799213954</v>
      </c>
      <c r="H32" s="37">
        <f>IF(H27=0,1,H27)*IF(H28=0,1,H28)*IF(H29=0,1,H29)*IF(H30=0,1,H30)*IF(H31=0,1,H31)</f>
        <v>0.94381981971538353</v>
      </c>
      <c r="I32" s="28"/>
      <c r="J32" s="18"/>
      <c r="K32" s="18"/>
      <c r="L32" s="18"/>
      <c r="M32" s="18"/>
      <c r="N32" s="18"/>
      <c r="O32" s="18"/>
      <c r="P32" s="18"/>
      <c r="Q32" s="168">
        <v>3</v>
      </c>
      <c r="R32" s="268"/>
      <c r="S32" s="268"/>
      <c r="T32" s="268"/>
      <c r="U32" s="268"/>
      <c r="V32" s="268"/>
      <c r="W32" s="171"/>
      <c r="X32" s="174"/>
      <c r="Y32" s="168">
        <v>3</v>
      </c>
      <c r="Z32" s="268"/>
      <c r="AA32" s="268"/>
      <c r="AB32" s="268"/>
      <c r="AC32" s="268"/>
      <c r="AD32" s="268"/>
      <c r="AE32" s="171"/>
      <c r="AF32" s="174"/>
      <c r="AG32" s="168">
        <v>3</v>
      </c>
      <c r="AH32" s="268"/>
      <c r="AI32" s="268"/>
      <c r="AJ32" s="268"/>
      <c r="AK32" s="268"/>
      <c r="AL32" s="268"/>
      <c r="AM32" s="171"/>
      <c r="AN32" s="174"/>
      <c r="AO32" s="299"/>
      <c r="AP32" s="268" t="s">
        <v>177</v>
      </c>
      <c r="AQ32" s="268"/>
      <c r="AR32" s="268"/>
      <c r="AS32" s="268"/>
      <c r="AT32" s="171" t="s">
        <v>133</v>
      </c>
      <c r="AU32" s="60">
        <f>IF(AT32="Present",(1-(AP9/SUM(AP6:AP9)))+(AP9/SUM(AP6:AP9))*IF(AS9="Signalized",IF(AS5="Rural",0.44,0.65),IF(AS5="Rural",0.36,0.59)),1)</f>
        <v>1</v>
      </c>
      <c r="AV32" s="61">
        <f>IF(AT32="Present",(1-(AP9/SUM(AP6:AP9)))+(AP9/SUM(AP6:AP9))*IF(AS9="Signalized",IF(AS5="Rural",0.66,0.68),IF(AS5="Rural",0.55,0.58)),1)</f>
        <v>1</v>
      </c>
      <c r="AW32" s="299"/>
      <c r="AX32" s="268" t="s">
        <v>177</v>
      </c>
      <c r="AY32" s="268"/>
      <c r="AZ32" s="268"/>
      <c r="BA32" s="268"/>
      <c r="BB32" s="171" t="s">
        <v>133</v>
      </c>
      <c r="BC32" s="60">
        <f>IF(BB32="Present",(1-(AX9/SUM(AX6:AX9)))+(AX9/SUM(AX6:AX9))*IF(BA9="Signalized",IF(BA5="Rural",0.44,0.65),IF(BA5="Rural",0.36,0.59)),1)</f>
        <v>1</v>
      </c>
      <c r="BD32" s="61">
        <f>IF(BB32="Present",(1-(AX9/SUM(AX6:AX9)))+(AX9/SUM(AX6:AX9))*IF(BA9="Signalized",IF(BA5="Rural",0.66,0.68),IF(BA5="Rural",0.55,0.58)),1)</f>
        <v>1</v>
      </c>
    </row>
    <row r="33" spans="1:56" x14ac:dyDescent="0.25">
      <c r="A33" s="164"/>
      <c r="B33" s="273" t="s">
        <v>213</v>
      </c>
      <c r="C33" s="273"/>
      <c r="D33" s="273"/>
      <c r="E33" s="273"/>
      <c r="F33" s="273"/>
      <c r="G33" s="164" t="s">
        <v>20</v>
      </c>
      <c r="H33" s="36" t="s">
        <v>21</v>
      </c>
      <c r="I33" s="28" t="s">
        <v>92</v>
      </c>
      <c r="J33" s="18" t="s">
        <v>93</v>
      </c>
      <c r="K33" s="18"/>
      <c r="L33" s="18"/>
      <c r="M33" s="18"/>
      <c r="N33" s="18"/>
      <c r="O33" s="20">
        <f>(0.5*O24*O27)+(0.5*O25*O30)</f>
        <v>1.4207164336643965</v>
      </c>
      <c r="P33" s="88">
        <f>(0.5*P24*P27)+(0.5*P25*P30)</f>
        <v>1.2960719271227639</v>
      </c>
      <c r="Q33" s="168">
        <v>4</v>
      </c>
      <c r="R33" s="268"/>
      <c r="S33" s="268"/>
      <c r="T33" s="268"/>
      <c r="U33" s="268"/>
      <c r="V33" s="268"/>
      <c r="W33" s="171"/>
      <c r="X33" s="174"/>
      <c r="Y33" s="168">
        <v>4</v>
      </c>
      <c r="Z33" s="268"/>
      <c r="AA33" s="268"/>
      <c r="AB33" s="268"/>
      <c r="AC33" s="268"/>
      <c r="AD33" s="268"/>
      <c r="AE33" s="171"/>
      <c r="AF33" s="174"/>
      <c r="AG33" s="168">
        <v>4</v>
      </c>
      <c r="AH33" s="268"/>
      <c r="AI33" s="268"/>
      <c r="AJ33" s="268"/>
      <c r="AK33" s="268"/>
      <c r="AL33" s="268"/>
      <c r="AM33" s="171"/>
      <c r="AN33" s="174"/>
      <c r="AO33" s="299">
        <v>12</v>
      </c>
      <c r="AP33" s="268" t="s">
        <v>221</v>
      </c>
      <c r="AQ33" s="268"/>
      <c r="AR33" s="268"/>
      <c r="AS33" s="268"/>
      <c r="AT33" s="171" t="s">
        <v>133</v>
      </c>
      <c r="AU33" s="60">
        <f>IF(AT33="Present",(1-(AP8/SUM(AP6:AP9)))+(AP8/SUM(AP6:AP9))*IF(AS9="Signalized",IF(AS5="Rural",0.59,0.76),IF(AS5="Rural",0.76,0.87)),1)</f>
        <v>1</v>
      </c>
      <c r="AV33" s="61">
        <f>IF(AT33="Present",(1-(AP8/SUM(AP6:AP9)))+(AP8/SUM(AP6:AP9))*IF(AS9="Signalized",IF(AS5="Rural",0.97,0.94),IF(AS5="Rural",0.63,0.69)),1)</f>
        <v>1</v>
      </c>
      <c r="AW33" s="299">
        <v>12</v>
      </c>
      <c r="AX33" s="268" t="s">
        <v>350</v>
      </c>
      <c r="AY33" s="268"/>
      <c r="AZ33" s="268"/>
      <c r="BA33" s="268"/>
      <c r="BB33" s="171" t="s">
        <v>133</v>
      </c>
      <c r="BC33" s="60">
        <f>IF(BB33="Present",(1-(AX8/SUM(AX6:AX9)))+(AX8/SUM(AX6:AX9))*IF(BA9="Signalized",IF(BA5="Rural",0.59,0.76),IF(BA5="Rural",0.76,0.87)),1)</f>
        <v>1</v>
      </c>
      <c r="BD33" s="61">
        <f>IF(BB33="Present",(1-(AX8/SUM(AX6:AX9)))+(AX8/SUM(AX6:AX9))*IF(BA9="Signalized",IF(BA5="Rural",0.97,0.94),IF(BA5="Rural",0.63,0.69)),1)</f>
        <v>1</v>
      </c>
    </row>
    <row r="34" spans="1:56" x14ac:dyDescent="0.25">
      <c r="A34" s="164">
        <v>4</v>
      </c>
      <c r="B34" s="286" t="s">
        <v>209</v>
      </c>
      <c r="C34" s="288"/>
      <c r="D34" s="80">
        <v>85</v>
      </c>
      <c r="E34" s="76">
        <v>0.5</v>
      </c>
      <c r="F34" s="78">
        <v>50</v>
      </c>
      <c r="G34" s="60">
        <f>(1-E34)*EXP(-0.00302*(D34-2*F34-48))+E34*EXP(-0.00302*(2*F34-48))</f>
        <v>1.0321169573839539</v>
      </c>
      <c r="H34" s="61">
        <f>(1-E34)*EXP(-0.00291*(D34-2*F34-48))+E34*EXP(-0.00291*(2*F34-48))</f>
        <v>1.030391666821088</v>
      </c>
      <c r="I34" s="28"/>
      <c r="J34" s="18"/>
      <c r="K34" s="18"/>
      <c r="L34" s="18"/>
      <c r="M34" s="18"/>
      <c r="N34" s="18"/>
      <c r="O34" s="18"/>
      <c r="P34" s="18"/>
      <c r="Q34" s="168">
        <v>5</v>
      </c>
      <c r="R34" s="268"/>
      <c r="S34" s="268"/>
      <c r="T34" s="268"/>
      <c r="U34" s="268"/>
      <c r="V34" s="268"/>
      <c r="W34" s="171"/>
      <c r="X34" s="174"/>
      <c r="Y34" s="168">
        <v>5</v>
      </c>
      <c r="Z34" s="268"/>
      <c r="AA34" s="268"/>
      <c r="AB34" s="268"/>
      <c r="AC34" s="268"/>
      <c r="AD34" s="268"/>
      <c r="AE34" s="171"/>
      <c r="AF34" s="174"/>
      <c r="AG34" s="168">
        <v>5</v>
      </c>
      <c r="AH34" s="268"/>
      <c r="AI34" s="268"/>
      <c r="AJ34" s="268"/>
      <c r="AK34" s="268"/>
      <c r="AL34" s="268"/>
      <c r="AM34" s="171"/>
      <c r="AN34" s="174"/>
      <c r="AO34" s="299"/>
      <c r="AP34" s="268" t="s">
        <v>179</v>
      </c>
      <c r="AQ34" s="268"/>
      <c r="AR34" s="268"/>
      <c r="AS34" s="268"/>
      <c r="AT34" s="171" t="s">
        <v>132</v>
      </c>
      <c r="AU34" s="60">
        <f>IF(AT34="Present",(1-(AP9/SUM(AP6:AP9)))+(AP9/SUM(AP6:AP9))*IF(AS9="Signalized",IF(AS5="Rural",0.59,0.76),IF(AS5="Rural",0.76,0.87)),1)</f>
        <v>0.92984615384615377</v>
      </c>
      <c r="AV34" s="61">
        <f>IF(AT34="Present",(1-(AP9/SUM(AP6:AP9)))+(AP9/SUM(AP6:AP9))*IF(AS9="Signalized",IF(AS5="Rural",0.97,0.94),IF(AS5="Rural",0.63,0.69)),1)</f>
        <v>0.98246153846153839</v>
      </c>
      <c r="AW34" s="299"/>
      <c r="AX34" s="268" t="s">
        <v>179</v>
      </c>
      <c r="AY34" s="268"/>
      <c r="AZ34" s="268"/>
      <c r="BA34" s="268"/>
      <c r="BB34" s="171" t="s">
        <v>132</v>
      </c>
      <c r="BC34" s="60">
        <f>IF(BB34="Present",(1-(AX9/SUM(AX6:AX9)))+(AX9/SUM(AX6:AX9))*IF(BA9="Signalized",IF(BA5="Rural",0.59,0.76),IF(BA5="Rural",0.76,0.87)),1)</f>
        <v>0.92984615384615377</v>
      </c>
      <c r="BD34" s="61">
        <f>IF(BB34="Present",(1-(AX9/SUM(AX6:AX9)))+(AX9/SUM(AX6:AX9))*IF(BA9="Signalized",IF(BA5="Rural",0.97,0.94),IF(BA5="Rural",0.63,0.69)),1)</f>
        <v>0.98246153846153839</v>
      </c>
    </row>
    <row r="35" spans="1:56" x14ac:dyDescent="0.25">
      <c r="A35" s="164">
        <v>6</v>
      </c>
      <c r="B35" s="286" t="s">
        <v>211</v>
      </c>
      <c r="C35" s="288"/>
      <c r="D35" s="303">
        <v>0.5</v>
      </c>
      <c r="E35" s="304"/>
      <c r="F35" s="305"/>
      <c r="G35" s="60">
        <f>EXP(0.35*D35)</f>
        <v>1.1912462166123581</v>
      </c>
      <c r="H35" s="61">
        <f>EXP(0.283*D35)</f>
        <v>1.1520005042608086</v>
      </c>
      <c r="I35" s="30"/>
      <c r="J35" s="31"/>
      <c r="K35" s="31"/>
      <c r="L35" s="31"/>
      <c r="M35" s="31"/>
      <c r="N35" s="31"/>
      <c r="O35" s="31"/>
      <c r="P35" s="31"/>
      <c r="Q35" s="168">
        <v>6</v>
      </c>
      <c r="R35" s="268"/>
      <c r="S35" s="268"/>
      <c r="T35" s="268"/>
      <c r="U35" s="268"/>
      <c r="V35" s="268"/>
      <c r="W35" s="171"/>
      <c r="X35" s="174"/>
      <c r="Y35" s="168">
        <v>6</v>
      </c>
      <c r="Z35" s="268"/>
      <c r="AA35" s="268"/>
      <c r="AB35" s="268"/>
      <c r="AC35" s="268"/>
      <c r="AD35" s="268"/>
      <c r="AE35" s="171"/>
      <c r="AF35" s="174"/>
      <c r="AG35" s="168">
        <v>6</v>
      </c>
      <c r="AH35" s="268"/>
      <c r="AI35" s="268"/>
      <c r="AJ35" s="268"/>
      <c r="AK35" s="268"/>
      <c r="AL35" s="268"/>
      <c r="AM35" s="171"/>
      <c r="AN35" s="174"/>
      <c r="AO35" s="166">
        <v>13</v>
      </c>
      <c r="AP35" s="268" t="s">
        <v>180</v>
      </c>
      <c r="AQ35" s="268"/>
      <c r="AR35" s="268"/>
      <c r="AS35" s="126">
        <v>0</v>
      </c>
      <c r="AT35" s="67">
        <v>0</v>
      </c>
      <c r="AU35" s="60">
        <f>(1-(AP9/SUM(AP6:AP9)))+(AP9/SUM(AP6:AP9))*EXP(IF(AS9="Signalized",0.158,0)*AS35+IF(AS9="Signalized",0.158,0.522)*AT35)</f>
        <v>1</v>
      </c>
      <c r="AV35" s="61">
        <f>(1-(AP9/SUM(AP6:AP9)))+(AP9/SUM(AP6:AP9))*EXP(IF(AS9="Signalized",0.203,0)*AS35+IF(AS9="Signalized",0.203,0)*AT35)</f>
        <v>1</v>
      </c>
      <c r="AW35" s="166">
        <v>13</v>
      </c>
      <c r="AX35" s="268" t="s">
        <v>180</v>
      </c>
      <c r="AY35" s="268"/>
      <c r="AZ35" s="268"/>
      <c r="BA35" s="126">
        <v>0</v>
      </c>
      <c r="BB35" s="67">
        <v>0</v>
      </c>
      <c r="BC35" s="60">
        <f>(1-(AX9/SUM(AX6:AX9)))+(AX9/SUM(AX6:AX9))*EXP(IF(BA9="Signalized",0.158,0)*BA35+IF(BA9="Signalized",0.158,0.522)*BB35)</f>
        <v>1</v>
      </c>
      <c r="BD35" s="61">
        <f>(1-(AX9/SUM(AX6:AX9)))+(AX9/SUM(AX6:AX9))*EXP(IF(BA9="Signalized",0.203,0)*BA35+IF(BA9="Signalized",0.203,0)*BB35)</f>
        <v>1</v>
      </c>
    </row>
    <row r="36" spans="1:56" x14ac:dyDescent="0.25">
      <c r="A36" s="164">
        <v>7</v>
      </c>
      <c r="B36" s="268" t="s">
        <v>348</v>
      </c>
      <c r="C36" s="268"/>
      <c r="D36" s="268"/>
      <c r="E36" s="268"/>
      <c r="F36" s="268"/>
      <c r="G36" s="60">
        <f>O33</f>
        <v>1.4207164336643965</v>
      </c>
      <c r="H36" s="60">
        <f>P33</f>
        <v>1.2960719271227639</v>
      </c>
      <c r="Q36" s="168">
        <v>7</v>
      </c>
      <c r="R36" s="268"/>
      <c r="S36" s="268"/>
      <c r="T36" s="268"/>
      <c r="U36" s="268"/>
      <c r="V36" s="268"/>
      <c r="W36" s="171"/>
      <c r="X36" s="174"/>
      <c r="Y36" s="168">
        <v>7</v>
      </c>
      <c r="Z36" s="268"/>
      <c r="AA36" s="268"/>
      <c r="AB36" s="268"/>
      <c r="AC36" s="268"/>
      <c r="AD36" s="268"/>
      <c r="AE36" s="171"/>
      <c r="AF36" s="174"/>
      <c r="AG36" s="168">
        <v>7</v>
      </c>
      <c r="AH36" s="268"/>
      <c r="AI36" s="268"/>
      <c r="AJ36" s="268"/>
      <c r="AK36" s="268"/>
      <c r="AL36" s="268"/>
      <c r="AM36" s="171"/>
      <c r="AN36" s="174"/>
      <c r="AO36" s="58">
        <v>14</v>
      </c>
      <c r="AP36" s="268" t="s">
        <v>181</v>
      </c>
      <c r="AQ36" s="268"/>
      <c r="AR36" s="268"/>
      <c r="AS36" s="144">
        <f>1700/5280</f>
        <v>0.32196969696969696</v>
      </c>
      <c r="AT36" s="136">
        <v>1</v>
      </c>
      <c r="AU36" s="60">
        <f>EXP(IF(AS9="Signalized",-0.0185,-0.0141)*((1/AS36)+(1/AT36)-0.333))</f>
        <v>0.93258188076383275</v>
      </c>
      <c r="AV36" s="61">
        <f>EXP(IF(AS9="Signalized",-0.0186,0)*((1/AS36)+(1/AT36)-0.33))</f>
        <v>0.93217807797025676</v>
      </c>
      <c r="AW36" s="58">
        <v>14</v>
      </c>
      <c r="AX36" s="268" t="s">
        <v>181</v>
      </c>
      <c r="AY36" s="268"/>
      <c r="AZ36" s="268"/>
      <c r="BA36" s="144">
        <f>1700/5280</f>
        <v>0.32196969696969696</v>
      </c>
      <c r="BB36" s="203">
        <f>1200/5280</f>
        <v>0.22727272727272727</v>
      </c>
      <c r="BC36" s="60">
        <f>EXP(IF(BA9="Signalized",-0.0185,-0.0141)*((1/BA36)+(1/BB36)-0.333))</f>
        <v>0.87572923916935486</v>
      </c>
      <c r="BD36" s="61">
        <f>EXP(IF(BA9="Signalized",-0.0186,0)*((1/BA36)+(1/BB36)-0.33))</f>
        <v>0.87505248482636644</v>
      </c>
    </row>
    <row r="37" spans="1:56" x14ac:dyDescent="0.25">
      <c r="A37" s="164" t="s">
        <v>214</v>
      </c>
      <c r="B37" s="295"/>
      <c r="C37" s="300"/>
      <c r="D37" s="300"/>
      <c r="E37" s="300"/>
      <c r="F37" s="301"/>
      <c r="G37" s="171"/>
      <c r="H37" s="174"/>
      <c r="Q37" s="168">
        <v>8</v>
      </c>
      <c r="R37" s="268"/>
      <c r="S37" s="268"/>
      <c r="T37" s="268"/>
      <c r="U37" s="268"/>
      <c r="V37" s="268"/>
      <c r="W37" s="171"/>
      <c r="X37" s="174"/>
      <c r="Y37" s="168">
        <v>8</v>
      </c>
      <c r="Z37" s="268"/>
      <c r="AA37" s="268"/>
      <c r="AB37" s="268"/>
      <c r="AC37" s="268"/>
      <c r="AD37" s="268"/>
      <c r="AE37" s="171"/>
      <c r="AF37" s="174"/>
      <c r="AG37" s="168">
        <v>8</v>
      </c>
      <c r="AH37" s="268"/>
      <c r="AI37" s="268"/>
      <c r="AJ37" s="268"/>
      <c r="AK37" s="268"/>
      <c r="AL37" s="268"/>
      <c r="AM37" s="171"/>
      <c r="AN37" s="174"/>
      <c r="AO37" s="299">
        <v>15</v>
      </c>
      <c r="AP37" s="268" t="s">
        <v>183</v>
      </c>
      <c r="AQ37" s="268"/>
      <c r="AR37" s="268"/>
      <c r="AS37" s="80">
        <v>4</v>
      </c>
      <c r="AT37" s="127">
        <v>12</v>
      </c>
      <c r="AU37" s="60">
        <f>(1-(AP8/SUM(AP6:AP9)))+(AP8/SUM(AP6:AP9))*EXP(IF(AS9="Signalized",0.0287+(-0.00074)*0.001*AP8,-0.00322+(0.00354)*0.001*AP8)*MAX(0,AS37-MAX(12,AT37)))</f>
        <v>1</v>
      </c>
      <c r="AV37" s="61">
        <f>IF(AS9="Signalized",(1-(AP8/SUM(AP6:AP9)))+(AP8/SUM(AP6:AP9))*EXP((0.061+(-0.00246)*0.001*AP8)*MAX(0,AS37-MAX(12,AT37))),1)</f>
        <v>1</v>
      </c>
      <c r="AW37" s="299">
        <v>15</v>
      </c>
      <c r="AX37" s="268" t="s">
        <v>183</v>
      </c>
      <c r="AY37" s="268"/>
      <c r="AZ37" s="268"/>
      <c r="BA37" s="80">
        <v>4</v>
      </c>
      <c r="BB37" s="127">
        <v>12</v>
      </c>
      <c r="BC37" s="60">
        <f>(1-(AX8/SUM(AX6:AX9)))+(AX8/SUM(AX6:AX9))*EXP(IF(BA9="Signalized",0.0287+(-0.00074)*0.001*AX8,-0.00322+(0.00354)*0.001*AX8)*MAX(0,BA37-MAX(12,BB37)))</f>
        <v>1</v>
      </c>
      <c r="BD37" s="61">
        <f>IF(BA9="Signalized",(1-(AX8/SUM(AX6:AX9)))+(AX8/SUM(AX6:AX9))*EXP((0.061+(-0.00246)*0.001*AX8)*MAX(0,BA37-MAX(12,BB37))),1)</f>
        <v>1</v>
      </c>
    </row>
    <row r="38" spans="1:56" x14ac:dyDescent="0.25">
      <c r="A38" s="164"/>
      <c r="B38" s="302"/>
      <c r="C38" s="302"/>
      <c r="D38" s="302"/>
      <c r="E38" s="302"/>
      <c r="F38" s="302"/>
      <c r="G38" s="22">
        <f>IF(G37=0,1,G37)*IF(G34=0,1,G34)*IF(G36=0,1,G36)*IF(G35=0,1,G35)</f>
        <v>1.746778556304698</v>
      </c>
      <c r="H38" s="37">
        <f>IF(H37=0,1,H37)*IF(H34=0,1,H34)*IF(H36=0,1,H36)*IF(H35=0,1,H35)</f>
        <v>1.5384525671518703</v>
      </c>
      <c r="Q38" s="168">
        <v>9</v>
      </c>
      <c r="R38" s="268"/>
      <c r="S38" s="268"/>
      <c r="T38" s="268"/>
      <c r="U38" s="268"/>
      <c r="V38" s="268"/>
      <c r="W38" s="171"/>
      <c r="X38" s="174"/>
      <c r="Y38" s="168">
        <v>9</v>
      </c>
      <c r="Z38" s="268"/>
      <c r="AA38" s="268"/>
      <c r="AB38" s="268"/>
      <c r="AC38" s="268"/>
      <c r="AD38" s="268"/>
      <c r="AE38" s="171"/>
      <c r="AF38" s="174"/>
      <c r="AG38" s="168">
        <v>9</v>
      </c>
      <c r="AH38" s="268"/>
      <c r="AI38" s="268"/>
      <c r="AJ38" s="268"/>
      <c r="AK38" s="268"/>
      <c r="AL38" s="268"/>
      <c r="AM38" s="171"/>
      <c r="AN38" s="174"/>
      <c r="AO38" s="299"/>
      <c r="AP38" s="268" t="s">
        <v>182</v>
      </c>
      <c r="AQ38" s="268"/>
      <c r="AR38" s="268"/>
      <c r="AS38" s="80">
        <v>22</v>
      </c>
      <c r="AT38" s="127">
        <v>12</v>
      </c>
      <c r="AU38" s="60">
        <f>(1-(AP9/SUM(AP6:AP9)))+(AP9/SUM(AP6:AP9))*EXP(IF(AS9="Signalized",0.0287+(-0.00074)*0.001*AP9,-0.00322+(0.00354)*0.001*AP9)*MAX(0,AS38-MAX(12,AT38)))</f>
        <v>1.0917324130819297</v>
      </c>
      <c r="AV38" s="61">
        <f>IF(AS9="Signalized",(1-(AP9/SUM(AP6:AP9)))+(AP9/SUM(AP6:AP9))*EXP((0.061+(-0.00246)*0.001*AP9)*MAX(0,AS38-MAX(12,AT38))),1)</f>
        <v>1.2210983246810498</v>
      </c>
      <c r="AW38" s="299"/>
      <c r="AX38" s="268" t="s">
        <v>182</v>
      </c>
      <c r="AY38" s="268"/>
      <c r="AZ38" s="268"/>
      <c r="BA38" s="80">
        <v>22</v>
      </c>
      <c r="BB38" s="127">
        <v>12</v>
      </c>
      <c r="BC38" s="60">
        <f>(1-(AX9/SUM(AX6:AX9)))+(AX9/SUM(AX6:AX9))*EXP(IF(BA9="Signalized",0.0287+(-0.00074)*0.001*AX9,-0.00322+(0.00354)*0.001*AX9)*MAX(0,BA38-MAX(12,BB38)))</f>
        <v>1.0917324130819297</v>
      </c>
      <c r="BD38" s="61">
        <f>IF(BA9="Signalized",(1-(AX9/SUM(AX6:AX9)))+(AX9/SUM(AX6:AX9))*EXP((0.061+(-0.00246)*0.001*AX9)*MAX(0,BA38-MAX(12,BB38))),1)</f>
        <v>1.2210983246810498</v>
      </c>
    </row>
    <row r="39" spans="1:56" x14ac:dyDescent="0.25">
      <c r="A39" s="164"/>
      <c r="B39" s="273" t="s">
        <v>215</v>
      </c>
      <c r="C39" s="273"/>
      <c r="D39" s="273"/>
      <c r="E39" s="273"/>
      <c r="F39" s="273"/>
      <c r="G39" s="164" t="s">
        <v>20</v>
      </c>
      <c r="H39" s="36" t="s">
        <v>21</v>
      </c>
      <c r="Q39" s="168">
        <v>10</v>
      </c>
      <c r="R39" s="268"/>
      <c r="S39" s="268"/>
      <c r="T39" s="268"/>
      <c r="U39" s="268"/>
      <c r="V39" s="268"/>
      <c r="W39" s="171"/>
      <c r="X39" s="174"/>
      <c r="Y39" s="168">
        <v>10</v>
      </c>
      <c r="Z39" s="268"/>
      <c r="AA39" s="268"/>
      <c r="AB39" s="268"/>
      <c r="AC39" s="268"/>
      <c r="AD39" s="268"/>
      <c r="AE39" s="171"/>
      <c r="AF39" s="174"/>
      <c r="AG39" s="168">
        <v>10</v>
      </c>
      <c r="AH39" s="268"/>
      <c r="AI39" s="268"/>
      <c r="AJ39" s="268"/>
      <c r="AK39" s="268"/>
      <c r="AL39" s="268"/>
      <c r="AM39" s="171"/>
      <c r="AN39" s="174"/>
      <c r="AO39" s="299">
        <v>16</v>
      </c>
      <c r="AP39" s="165" t="s">
        <v>184</v>
      </c>
      <c r="AQ39" s="165"/>
      <c r="AR39" s="165"/>
      <c r="AS39" s="128">
        <v>2</v>
      </c>
      <c r="AT39" s="127" t="s">
        <v>186</v>
      </c>
      <c r="AU39" s="60">
        <f>IF(AS9="Signalized",IF(AT39="Protected Only",(1-(SUM(AP8:AP9)/SUM(AP6:AP9)))+(SUM(AP8:AP9)/SUM(AP6:AP9))*EXP(-0.363*AS39),1),1)</f>
        <v>0.73000886984479529</v>
      </c>
      <c r="AV39" s="61">
        <f>IF(AS9="Signalized",IF(AT39="Protected Only",(1-(SUM(AP8:AP9)/SUM(AP6:AP9)))+(SUM(AP8:AP9)/SUM(AP6:AP9))*EXP(-0.223*AS39),1),1)</f>
        <v>0.81178843461686157</v>
      </c>
      <c r="AW39" s="299">
        <v>16</v>
      </c>
      <c r="AX39" s="165" t="s">
        <v>184</v>
      </c>
      <c r="AY39" s="165"/>
      <c r="AZ39" s="165"/>
      <c r="BA39" s="128">
        <v>2</v>
      </c>
      <c r="BB39" s="127" t="s">
        <v>129</v>
      </c>
      <c r="BC39" s="60">
        <f>IF(BA9="Signalized",IF(BB39="Protected Only",(1-(SUM(AX8:AX9)/SUM(AX6:AX9)))+(SUM(AX8:AX9)/SUM(AX6:AX9))*EXP(-0.363*BA39),1),1)</f>
        <v>1</v>
      </c>
      <c r="BD39" s="61">
        <f>IF(BA9="Signalized",IF(BB39="Protected Only",(1-(SUM(AX8:AX9)/SUM(AX6:AX9)))+(SUM(AX8:AX9)/SUM(AX6:AX9))*EXP(-0.223*BA39),1),1)</f>
        <v>1</v>
      </c>
    </row>
    <row r="40" spans="1:56" x14ac:dyDescent="0.25">
      <c r="A40" s="164">
        <v>6</v>
      </c>
      <c r="B40" s="286" t="s">
        <v>209</v>
      </c>
      <c r="C40" s="288"/>
      <c r="D40" s="80">
        <v>13</v>
      </c>
      <c r="E40" s="76">
        <v>0.5</v>
      </c>
      <c r="F40" s="78">
        <v>13</v>
      </c>
      <c r="G40" s="60">
        <f>(1-E40)*EXP(0.00102*(D40-2*F40-48))+E40*EXP(0.00102*(2*F40-48))</f>
        <v>0.95874301966352415</v>
      </c>
      <c r="H40" s="61">
        <f>(1-E40)*EXP(-0.00289*(D40-2*F40-48))+E40*EXP(-0.00289*(2*F40-48))</f>
        <v>1.1292143249023789</v>
      </c>
      <c r="Q40" s="28"/>
      <c r="R40" s="170"/>
      <c r="S40" s="170"/>
      <c r="T40" s="170"/>
      <c r="U40" s="170"/>
      <c r="V40" s="18"/>
      <c r="W40" s="22">
        <f>IF(W30=0,1,W30)*IF(W31=0,1,W31)*IF(W32=0,1,W32)*IF(W33=0,1,W33)*IF(W34=0,1,W34)*IF(W35=0,1,W35)*IF(W36=0,1,W36)*IF(W37=0,1,W37)*IF(W38=0,1,W38)*IF(W39=0,1,W39)</f>
        <v>1.2611197288283293</v>
      </c>
      <c r="X40" s="37">
        <f>IF(X30=0,1,X30)*IF(X31=0,1,X31)*IF(X32=0,1,X32)*IF(X33=0,1,X33)*IF(X34=0,1,X34)*IF(X35=0,1,X35)*IF(X36=0,1,X36)*IF(X37=0,1,X37)*IF(X38=0,1,X38)*IF(X39=0,1,X39)</f>
        <v>1</v>
      </c>
      <c r="Y40" s="28"/>
      <c r="Z40" s="170"/>
      <c r="AA40" s="170"/>
      <c r="AB40" s="170"/>
      <c r="AC40" s="170"/>
      <c r="AD40" s="18"/>
      <c r="AE40" s="22">
        <f>IF(AE30=0,1,AE30)*IF(AE31=0,1,AE31)*IF(AE32=0,1,AE32)*IF(AE33=0,1,AE33)*IF(AE34=0,1,AE34)*IF(AE35=0,1,AE35)*IF(AE36=0,1,AE36)*IF(AE37=0,1,AE37)*IF(AE38=0,1,AE38)*IF(AE39=0,1,AE39)</f>
        <v>1.0597149957102876</v>
      </c>
      <c r="AF40" s="37">
        <f>IF(AF30=0,1,AF30)*IF(AF31=0,1,AF31)*IF(AF32=0,1,AF32)*IF(AF33=0,1,AF33)*IF(AF34=0,1,AF34)*IF(AF35=0,1,AF35)*IF(AF36=0,1,AF36)*IF(AF37=0,1,AF37)*IF(AF38=0,1,AF38)*IF(AF39=0,1,AF39)</f>
        <v>1</v>
      </c>
      <c r="AG40" s="28"/>
      <c r="AH40" s="170"/>
      <c r="AI40" s="170"/>
      <c r="AJ40" s="170"/>
      <c r="AK40" s="170"/>
      <c r="AL40" s="18"/>
      <c r="AM40" s="22">
        <f>IF(AM30=0,1,AM30)*IF(AM31=0,1,AM31)*IF(AM32=0,1,AM32)*IF(AM33=0,1,AM33)*IF(AM34=0,1,AM34)*IF(AM35=0,1,AM35)*IF(AM36=0,1,AM36)*IF(AM37=0,1,AM37)*IF(AM38=0,1,AM38)*IF(AM39=0,1,AM39)</f>
        <v>2.1281186656917046</v>
      </c>
      <c r="AN40" s="37">
        <f>IF(AN30=0,1,AN30)*IF(AN31=0,1,AN31)*IF(AN32=0,1,AN32)*IF(AN33=0,1,AN33)*IF(AN34=0,1,AN34)*IF(AN35=0,1,AN35)*IF(AN36=0,1,AN36)*IF(AN37=0,1,AN37)*IF(AN38=0,1,AN38)*IF(AN39=0,1,AN39)</f>
        <v>1.2865960372848406</v>
      </c>
      <c r="AO40" s="299"/>
      <c r="AP40" s="165" t="s">
        <v>185</v>
      </c>
      <c r="AQ40" s="165"/>
      <c r="AR40" s="165"/>
      <c r="AS40" s="128">
        <v>2</v>
      </c>
      <c r="AT40" s="127" t="s">
        <v>129</v>
      </c>
      <c r="AU40" s="60">
        <f>IF(AS9="Signalized",IF(AT40="Protected Only",(1-(SUM(AP8:AP9)/SUM(AP6:AP9)))+(SUM(AP8:AP9)/SUM(AP6:AP9))*EXP(-0.363*AS40),1),1)</f>
        <v>1</v>
      </c>
      <c r="AV40" s="61">
        <f>IF(AS9="Signalized",IF(AT40="Protected Only",(1-(SUM(AP8:AP9)/SUM(AP6:AP9)))+(SUM(AP8:AP9)/SUM(AP6:AP9))*EXP(-0.223*AS40),1),1)</f>
        <v>1</v>
      </c>
      <c r="AW40" s="299"/>
      <c r="AX40" s="165" t="s">
        <v>185</v>
      </c>
      <c r="AY40" s="165"/>
      <c r="AZ40" s="165"/>
      <c r="BA40" s="128">
        <v>2</v>
      </c>
      <c r="BB40" s="127" t="s">
        <v>129</v>
      </c>
      <c r="BC40" s="60">
        <f>IF(BA9="Signalized",IF(BB40="Protected Only",(1-(SUM(AX8:AX9)/SUM(AX6:AX9)))+(SUM(AX8:AX9)/SUM(AX6:AX9))*EXP(-0.363*BA40),1),1)</f>
        <v>1</v>
      </c>
      <c r="BD40" s="61">
        <f>IF(BA9="Signalized",IF(BB40="Protected Only",(1-(SUM(AX8:AX9)/SUM(AX6:AX9)))+(SUM(AX8:AX9)/SUM(AX6:AX9))*EXP(-0.223*BA40),1),1)</f>
        <v>1</v>
      </c>
    </row>
    <row r="41" spans="1:56" x14ac:dyDescent="0.25">
      <c r="A41" s="164">
        <v>6</v>
      </c>
      <c r="B41" s="286" t="s">
        <v>211</v>
      </c>
      <c r="C41" s="288"/>
      <c r="D41" s="303">
        <v>0.3</v>
      </c>
      <c r="E41" s="304"/>
      <c r="F41" s="305"/>
      <c r="G41" s="60">
        <f>EXP(-0.0675*D41)</f>
        <v>0.9799536542670847</v>
      </c>
      <c r="H41" s="61">
        <f>EXP(-0.611*D41)</f>
        <v>0.83251836276118962</v>
      </c>
      <c r="Q41" s="28"/>
      <c r="R41" s="18"/>
      <c r="S41" s="18"/>
      <c r="T41" s="18"/>
      <c r="U41" s="18"/>
      <c r="V41" s="23"/>
      <c r="W41" s="23"/>
      <c r="X41" s="29"/>
      <c r="Y41" s="28"/>
      <c r="Z41" s="18"/>
      <c r="AA41" s="18"/>
      <c r="AB41" s="18"/>
      <c r="AC41" s="18"/>
      <c r="AD41" s="23"/>
      <c r="AE41" s="23"/>
      <c r="AF41" s="29"/>
      <c r="AG41" s="28"/>
      <c r="AH41" s="18"/>
      <c r="AI41" s="18"/>
      <c r="AJ41" s="18"/>
      <c r="AK41" s="18"/>
      <c r="AL41" s="23"/>
      <c r="AM41" s="23"/>
      <c r="AN41" s="29"/>
      <c r="AO41" s="299">
        <v>17</v>
      </c>
      <c r="AP41" s="268" t="s">
        <v>187</v>
      </c>
      <c r="AQ41" s="268"/>
      <c r="AR41" s="268"/>
      <c r="AS41" s="268"/>
      <c r="AT41" s="127" t="s">
        <v>302</v>
      </c>
      <c r="AU41" s="60">
        <f>IF(AS9="Signalized",IF(AT41="Channelized",(1-AP8/SUM(AP6:AP9))+AP8/SUM(AP6:AP9)*EXP(0.466),1),1)</f>
        <v>1</v>
      </c>
      <c r="AV41" s="61">
        <f>IF(AS9="Signalized",IF(AT41="Channelized",(1-AP8/SUM(AP6:AP9))+AP8/SUM(AP6:AP9)*EXP(0.465),1),1)</f>
        <v>1</v>
      </c>
      <c r="AW41" s="299">
        <v>17</v>
      </c>
      <c r="AX41" s="268" t="s">
        <v>187</v>
      </c>
      <c r="AY41" s="268"/>
      <c r="AZ41" s="268"/>
      <c r="BA41" s="268"/>
      <c r="BB41" s="127" t="s">
        <v>302</v>
      </c>
      <c r="BC41" s="60">
        <f>IF(BA9="Signalized",IF(BB41="Channelized",(1-AX8/SUM(AX6:AX9))+AX8/SUM(AX6:AX9)*EXP(0.466),1),1)</f>
        <v>1</v>
      </c>
      <c r="BD41" s="61">
        <f>IF(BA9="Signalized",IF(BB41="Channelized",(1-AX8/SUM(AX6:AX9))+AX8/SUM(AX6:AX9)*EXP(0.465),1),1)</f>
        <v>1</v>
      </c>
    </row>
    <row r="42" spans="1:56" x14ac:dyDescent="0.25">
      <c r="A42" s="164">
        <v>8</v>
      </c>
      <c r="B42" s="306" t="s">
        <v>216</v>
      </c>
      <c r="C42" s="306"/>
      <c r="D42" s="306"/>
      <c r="E42" s="306"/>
      <c r="F42" s="77">
        <v>8</v>
      </c>
      <c r="G42" s="60">
        <f>EXP(-0.0647*(F42-10))</f>
        <v>1.1381452912427443</v>
      </c>
      <c r="H42" s="61">
        <f>EXP(0*(F42-10))</f>
        <v>1</v>
      </c>
      <c r="Q42" s="293"/>
      <c r="R42" s="259"/>
      <c r="S42" s="259"/>
      <c r="T42" s="18"/>
      <c r="U42" s="18"/>
      <c r="V42" s="23"/>
      <c r="W42" s="23"/>
      <c r="X42" s="29"/>
      <c r="Y42" s="293"/>
      <c r="Z42" s="259"/>
      <c r="AA42" s="259"/>
      <c r="AB42" s="18"/>
      <c r="AC42" s="18"/>
      <c r="AD42" s="23"/>
      <c r="AE42" s="23"/>
      <c r="AF42" s="29"/>
      <c r="AG42" s="293"/>
      <c r="AH42" s="259"/>
      <c r="AI42" s="259"/>
      <c r="AJ42" s="18"/>
      <c r="AK42" s="18"/>
      <c r="AL42" s="23"/>
      <c r="AM42" s="23"/>
      <c r="AN42" s="29"/>
      <c r="AO42" s="299"/>
      <c r="AP42" s="268" t="s">
        <v>189</v>
      </c>
      <c r="AQ42" s="268"/>
      <c r="AR42" s="268"/>
      <c r="AS42" s="268"/>
      <c r="AT42" s="127" t="s">
        <v>188</v>
      </c>
      <c r="AU42" s="60">
        <f>IF(AS9="Signalized",IF(AT42="Channelized",(1-AP9/SUM(AP6:AP9))+AP9/SUM(AP6:AP9)*EXP(0.466),1),1)</f>
        <v>1.1735158921172493</v>
      </c>
      <c r="AV42" s="61">
        <f>IF(AS9="Signalized",IF(AT42="Channelized",(1-AP9/SUM(AP6:AP9))+AP9/SUM(AP6:AP9)*EXP(0.465),1),1)</f>
        <v>1.1730503013669988</v>
      </c>
      <c r="AW42" s="299"/>
      <c r="AX42" s="268" t="s">
        <v>189</v>
      </c>
      <c r="AY42" s="268"/>
      <c r="AZ42" s="268"/>
      <c r="BA42" s="268"/>
      <c r="BB42" s="127" t="s">
        <v>188</v>
      </c>
      <c r="BC42" s="60">
        <f>IF(BA9="Signalized",IF(BB42="Channelized",(1-AX9/SUM(AX6:AX9))+AX9/SUM(AX6:AX9)*EXP(0.466),1),1)</f>
        <v>1.1735158921172493</v>
      </c>
      <c r="BD42" s="61">
        <f>IF(BA9="Signalized",IF(BB42="Channelized",(1-AX9/SUM(AX6:AX9))+AX9/SUM(AX6:AX9)*EXP(0.465),1),1)</f>
        <v>1.1730503013669988</v>
      </c>
    </row>
    <row r="43" spans="1:56" x14ac:dyDescent="0.25">
      <c r="A43" s="164">
        <v>9</v>
      </c>
      <c r="B43" s="286" t="s">
        <v>217</v>
      </c>
      <c r="C43" s="287"/>
      <c r="D43" s="288"/>
      <c r="E43" s="82">
        <v>0</v>
      </c>
      <c r="F43" s="81">
        <v>0</v>
      </c>
      <c r="G43" s="60">
        <f>0.5*((1-E43)+E43*0.811)+0.5*((1-F43)+F43*0.811)</f>
        <v>1</v>
      </c>
      <c r="H43" s="61">
        <v>1</v>
      </c>
      <c r="Q43" s="28"/>
      <c r="R43" s="18"/>
      <c r="S43" s="18"/>
      <c r="T43" s="18"/>
      <c r="U43" s="18"/>
      <c r="V43" s="23"/>
      <c r="W43" s="23"/>
      <c r="X43" s="29"/>
      <c r="Y43" s="28"/>
      <c r="Z43" s="18"/>
      <c r="AA43" s="18"/>
      <c r="AB43" s="18"/>
      <c r="AC43" s="18"/>
      <c r="AD43" s="23"/>
      <c r="AE43" s="23"/>
      <c r="AF43" s="29"/>
      <c r="AG43" s="28"/>
      <c r="AH43" s="18"/>
      <c r="AI43" s="18"/>
      <c r="AJ43" s="18"/>
      <c r="AK43" s="18"/>
      <c r="AL43" s="23"/>
      <c r="AM43" s="23"/>
      <c r="AN43" s="29"/>
      <c r="AO43" s="58">
        <v>18</v>
      </c>
      <c r="AP43" s="268" t="s">
        <v>190</v>
      </c>
      <c r="AQ43" s="268"/>
      <c r="AR43" s="268"/>
      <c r="AS43" s="268"/>
      <c r="AT43" s="127" t="s">
        <v>188</v>
      </c>
      <c r="AU43" s="60">
        <f>IF(AS9="Signalized",IF(AT43="Channelized",(1-AP6/SUM(AP6:AP9))+AP6/SUM(AP6:AP9)*EXP(0.992),1),1)</f>
        <v>1.417630111348434</v>
      </c>
      <c r="AV43" s="61">
        <f>IF(AS9="Signalized",IF(AT43="Channelized",(1-AP6/SUM(AP6:AP9))+AP6/SUM(AP6:AP9)*EXP(1.429),1),1)</f>
        <v>1.781420943110066</v>
      </c>
      <c r="AW43" s="58">
        <v>18</v>
      </c>
      <c r="AX43" s="268" t="s">
        <v>190</v>
      </c>
      <c r="AY43" s="268"/>
      <c r="AZ43" s="268"/>
      <c r="BA43" s="268"/>
      <c r="BB43" s="127" t="s">
        <v>302</v>
      </c>
      <c r="BC43" s="60">
        <f>IF(BA9="Signalized",IF(BB43="Channelized",(1-AX6/SUM(AX6:AX9))+AX6/SUM(AX6:AX9)*EXP(0.992),1),1)</f>
        <v>1</v>
      </c>
      <c r="BD43" s="61">
        <f>IF(BA9="Signalized",IF(BB43="Channelized",(1-AX6/SUM(AX6:AX9))+AX6/SUM(AX6:AX9)*EXP(1.429),1),1)</f>
        <v>1</v>
      </c>
    </row>
    <row r="44" spans="1:56" x14ac:dyDescent="0.25">
      <c r="A44" s="164">
        <v>10</v>
      </c>
      <c r="B44" s="286" t="s">
        <v>218</v>
      </c>
      <c r="C44" s="288"/>
      <c r="D44" s="76">
        <v>0</v>
      </c>
      <c r="E44" s="83">
        <v>40</v>
      </c>
      <c r="F44" s="84">
        <v>20</v>
      </c>
      <c r="G44" s="60">
        <f>(1-D44)*EXP(-0.00451*(E44-F44-20))+D44*EXP(-0.00451*(F44-20))</f>
        <v>1</v>
      </c>
      <c r="H44" s="61">
        <v>1</v>
      </c>
      <c r="Q44" s="168"/>
      <c r="R44" s="164"/>
      <c r="S44" s="18"/>
      <c r="T44" s="18"/>
      <c r="U44" s="18"/>
      <c r="V44" s="18"/>
      <c r="W44" s="18"/>
      <c r="X44" s="29"/>
      <c r="Y44" s="168"/>
      <c r="Z44" s="164"/>
      <c r="AA44" s="18"/>
      <c r="AB44" s="18"/>
      <c r="AC44" s="18"/>
      <c r="AD44" s="18"/>
      <c r="AE44" s="18"/>
      <c r="AF44" s="29"/>
      <c r="AG44" s="168"/>
      <c r="AH44" s="164"/>
      <c r="AI44" s="18"/>
      <c r="AJ44" s="18"/>
      <c r="AK44" s="18"/>
      <c r="AL44" s="18"/>
      <c r="AM44" s="18"/>
      <c r="AN44" s="29"/>
      <c r="AO44" s="58">
        <v>19</v>
      </c>
      <c r="AP44" s="268" t="s">
        <v>191</v>
      </c>
      <c r="AQ44" s="268"/>
      <c r="AR44" s="268"/>
      <c r="AS44" s="268"/>
      <c r="AT44" s="171" t="s">
        <v>133</v>
      </c>
      <c r="AU44" s="60">
        <f>IF(AS9="signalized",IF(AT44="Present",EXP(0.592),1),1)</f>
        <v>1</v>
      </c>
      <c r="AV44" s="61">
        <f>IF(AS9="signalized",IF(AT44="Present",EXP(0.52),1),1)</f>
        <v>1</v>
      </c>
      <c r="AW44" s="58">
        <v>19</v>
      </c>
      <c r="AX44" s="268" t="s">
        <v>191</v>
      </c>
      <c r="AY44" s="268"/>
      <c r="AZ44" s="268"/>
      <c r="BA44" s="268"/>
      <c r="BB44" s="171" t="s">
        <v>133</v>
      </c>
      <c r="BC44" s="60">
        <f>IF(BA9="signalized",IF(BB44="Present",EXP(0.592),1),1)</f>
        <v>1</v>
      </c>
      <c r="BD44" s="61">
        <f>IF(BA9="signalized",IF(BB44="Present",EXP(0.52),1),1)</f>
        <v>1</v>
      </c>
    </row>
    <row r="45" spans="1:56" x14ac:dyDescent="0.25">
      <c r="A45" s="164">
        <v>11</v>
      </c>
      <c r="B45" s="286" t="s">
        <v>219</v>
      </c>
      <c r="C45" s="287"/>
      <c r="D45" s="288"/>
      <c r="E45" s="76">
        <v>1</v>
      </c>
      <c r="F45" s="78">
        <v>50</v>
      </c>
      <c r="G45" s="60">
        <f>(1-E45)+E45*EXP(0.131/F45)</f>
        <v>1.002623435199419</v>
      </c>
      <c r="H45" s="61">
        <f>(1-E45)+E45*EXP(0.169/F45)</f>
        <v>1.0033857186411872</v>
      </c>
      <c r="Q45" s="28"/>
      <c r="R45" s="18"/>
      <c r="S45" s="18"/>
      <c r="T45" s="18"/>
      <c r="U45" s="18"/>
      <c r="V45" s="18"/>
      <c r="W45" s="18"/>
      <c r="X45" s="29"/>
      <c r="Y45" s="28"/>
      <c r="Z45" s="18"/>
      <c r="AA45" s="18"/>
      <c r="AB45" s="18"/>
      <c r="AC45" s="18"/>
      <c r="AD45" s="18"/>
      <c r="AE45" s="18"/>
      <c r="AF45" s="29"/>
      <c r="AG45" s="28"/>
      <c r="AH45" s="18"/>
      <c r="AI45" s="18"/>
      <c r="AJ45" s="18"/>
      <c r="AK45" s="18"/>
      <c r="AL45" s="18"/>
      <c r="AM45" s="18"/>
      <c r="AN45" s="29"/>
      <c r="AO45" s="58">
        <v>20</v>
      </c>
      <c r="AP45" s="268" t="s">
        <v>192</v>
      </c>
      <c r="AQ45" s="268"/>
      <c r="AR45" s="268"/>
      <c r="AS45" s="268"/>
      <c r="AT45" s="129">
        <v>0</v>
      </c>
      <c r="AU45" s="60">
        <f>IF(AS9="Signalized",1,(1-AP6/SUM(AP6:AP9)+AP6/SUM(AP6:AP9)*EXP(0.341*SIN(AT45)*0.001*AP6)))</f>
        <v>1</v>
      </c>
      <c r="AV45" s="61">
        <v>1</v>
      </c>
      <c r="AW45" s="58">
        <v>20</v>
      </c>
      <c r="AX45" s="268" t="s">
        <v>192</v>
      </c>
      <c r="AY45" s="268"/>
      <c r="AZ45" s="268"/>
      <c r="BA45" s="268"/>
      <c r="BB45" s="129">
        <v>0</v>
      </c>
      <c r="BC45" s="60">
        <f>IF(BA9="Signalized",1,(1-AX6/SUM(AX6:AX9)+AX6/SUM(AX6:AX9)*EXP(0.341*SIN(BB45)*0.001*AX6)))</f>
        <v>1</v>
      </c>
      <c r="BD45" s="61">
        <v>1</v>
      </c>
    </row>
    <row r="46" spans="1:56" x14ac:dyDescent="0.25">
      <c r="A46" s="164" t="s">
        <v>214</v>
      </c>
      <c r="B46" s="268"/>
      <c r="C46" s="268"/>
      <c r="D46" s="268"/>
      <c r="E46" s="268"/>
      <c r="F46" s="268"/>
      <c r="G46" s="60"/>
      <c r="H46" s="61"/>
      <c r="Q46" s="28"/>
      <c r="R46" s="18"/>
      <c r="S46" s="18"/>
      <c r="T46" s="18"/>
      <c r="U46" s="18"/>
      <c r="V46" s="18"/>
      <c r="W46" s="18"/>
      <c r="X46" s="29"/>
      <c r="Y46" s="28"/>
      <c r="Z46" s="18"/>
      <c r="AA46" s="18"/>
      <c r="AB46" s="18"/>
      <c r="AC46" s="18"/>
      <c r="AD46" s="18"/>
      <c r="AE46" s="18"/>
      <c r="AF46" s="29"/>
      <c r="AG46" s="28"/>
      <c r="AH46" s="18"/>
      <c r="AI46" s="18"/>
      <c r="AJ46" s="18"/>
      <c r="AK46" s="18"/>
      <c r="AL46" s="18"/>
      <c r="AM46" s="18"/>
      <c r="AN46" s="29"/>
      <c r="AO46" s="28"/>
      <c r="AP46" s="170"/>
      <c r="AQ46" s="170"/>
      <c r="AR46" s="170"/>
      <c r="AS46" s="170"/>
      <c r="AT46" s="18"/>
      <c r="AU46" s="22">
        <f>IF(AU30=0,1,AU30)*IF(AU31=0,1,AU31)*IF(AU32=0,1,AU32)*IF(AU33=0,1,AU33)*IF(AU34=0,1,AU34)*IF(AU35=0,1,AU35)*IF(AU36=0,1,AU36)*IF(AU37=0,1,AU37)*IF(AU38=0,1,AU38)*IF(AU39=0,1,AU39)*IF(AU40=0,1,AU40)*IF(AU41=0,1,AU41)*IF(AU42=0,1,AU42)*IF(AU43=0,1,AU43)*IF(AU44=0,1,AU44)*IF(AU45=0,1,AU45)</f>
        <v>1.086208649539788</v>
      </c>
      <c r="AV46" s="37">
        <f>IF(AV30=0,1,AV30)*IF(AV31=0,1,AV31)*IF(AV32=0,1,AV32)*IF(AV33=0,1,AV33)*IF(AV34=0,1,AV34)*IF(AV35=0,1,AV35)*IF(AV36=0,1,AV36)*IF(AV37=0,1,AV37)*IF(AV38=0,1,AV38)*IF(AV39=0,1,AV39)*IF(AV40=0,1,AV40)*IF(AV41=0,1,AV41)*IF(AV42=0,1,AV42)*IF(AV43=0,1,AV43)*IF(AV44=0,1,AV44)*IF(AV45=0,1,AV45)</f>
        <v>1.8057958361296214</v>
      </c>
      <c r="AW46" s="28"/>
      <c r="AX46" s="170"/>
      <c r="AY46" s="170"/>
      <c r="AZ46" s="170"/>
      <c r="BA46" s="170"/>
      <c r="BB46" s="18"/>
      <c r="BC46" s="22">
        <f>IF(BC30=0,1,BC30)*IF(BC31=0,1,BC31)*IF(BC32=0,1,BC32)*IF(BC33=0,1,BC33)*IF(BC34=0,1,BC34)*IF(BC35=0,1,BC35)*IF(BC36=0,1,BC36)*IF(BC37=0,1,BC37)*IF(BC38=0,1,BC38)*IF(BC39=0,1,BC39)*IF(BC40=0,1,BC40)*IF(BC41=0,1,BC41)*IF(BC42=0,1,BC42)*IF(BC43=0,1,BC43)*IF(BC44=0,1,BC44)*IF(BC45=0,1,BC45)</f>
        <v>1.0152409392920752</v>
      </c>
      <c r="BD46" s="37">
        <f>IF(BD30=0,1,BD30)*IF(BD31=0,1,BD31)*IF(BD32=0,1,BD32)*IF(BD33=0,1,BD33)*IF(BD34=0,1,BD34)*IF(BD35=0,1,BD35)*IF(BD36=0,1,BD36)*IF(BD37=0,1,BD37)*IF(BD38=0,1,BD38)*IF(BD39=0,1,BD39)*IF(BD40=0,1,BD40)*IF(BD41=0,1,BD41)*IF(BD42=0,1,BD42)*IF(BD43=0,1,BD43)*IF(BD44=0,1,BD44)*IF(BD45=0,1,BD45)</f>
        <v>1.2074203894921614</v>
      </c>
    </row>
    <row r="47" spans="1:56" x14ac:dyDescent="0.25">
      <c r="A47" s="18"/>
      <c r="B47" s="170"/>
      <c r="C47" s="170"/>
      <c r="D47" s="170"/>
      <c r="E47" s="170"/>
      <c r="F47" s="18"/>
      <c r="G47" s="22">
        <f>IF(G43=0,1,G43)*IF(G42=0,1,G42)*IF(G45=0,1,G45)*IF(G44=0,1,G44)*IF(G41=0,1,G41)*IF(G40=0,1,G40)*IF(G46=0,1,G46)</f>
        <v>1.0721197816377981</v>
      </c>
      <c r="H47" s="37">
        <f>IF(H43=0,1,H43)*IF(H42=0,1,H42)*IF(H45=0,1,H45)*IF(H44=0,1,H44)*IF(H41=0,1,H41)*IF(H40=0,1,H40)*IF(H46=0,1,H46)</f>
        <v>0.94327454683519563</v>
      </c>
      <c r="Q47" s="28"/>
      <c r="R47" s="18"/>
      <c r="S47" s="18"/>
      <c r="T47" s="18"/>
      <c r="U47" s="18"/>
      <c r="V47" s="18"/>
      <c r="W47" s="18"/>
      <c r="X47" s="29"/>
      <c r="Y47" s="28"/>
      <c r="Z47" s="18"/>
      <c r="AA47" s="18"/>
      <c r="AB47" s="18"/>
      <c r="AC47" s="18"/>
      <c r="AD47" s="18"/>
      <c r="AE47" s="18"/>
      <c r="AF47" s="29"/>
      <c r="AG47" s="28"/>
      <c r="AH47" s="18"/>
      <c r="AI47" s="18"/>
      <c r="AJ47" s="18"/>
      <c r="AK47" s="18"/>
      <c r="AL47" s="18"/>
      <c r="AM47" s="18"/>
      <c r="AN47" s="29"/>
      <c r="AO47" s="28"/>
      <c r="AP47" s="18"/>
      <c r="AQ47" s="18"/>
      <c r="AR47" s="18"/>
      <c r="AS47" s="18"/>
      <c r="AT47" s="18"/>
      <c r="AU47" s="18"/>
      <c r="AV47" s="29"/>
      <c r="AW47" s="28"/>
      <c r="AX47" s="18"/>
      <c r="AY47" s="18"/>
      <c r="AZ47" s="18"/>
      <c r="BA47" s="18"/>
      <c r="BB47" s="18"/>
      <c r="BC47" s="18"/>
      <c r="BD47" s="29"/>
    </row>
    <row r="48" spans="1:56" x14ac:dyDescent="0.25">
      <c r="A48" s="18"/>
      <c r="B48" s="18"/>
      <c r="C48" s="18"/>
      <c r="D48" s="18"/>
      <c r="E48" s="18"/>
      <c r="F48" s="23"/>
      <c r="G48" s="23"/>
      <c r="H48" s="29"/>
      <c r="Q48" s="28"/>
      <c r="R48" s="18"/>
      <c r="S48" s="18"/>
      <c r="T48" s="18"/>
      <c r="U48" s="18"/>
      <c r="V48" s="18"/>
      <c r="W48" s="18"/>
      <c r="X48" s="29"/>
      <c r="Y48" s="28"/>
      <c r="Z48" s="18"/>
      <c r="AA48" s="18"/>
      <c r="AB48" s="18"/>
      <c r="AC48" s="18"/>
      <c r="AD48" s="18"/>
      <c r="AE48" s="18"/>
      <c r="AF48" s="29"/>
      <c r="AG48" s="28"/>
      <c r="AH48" s="18"/>
      <c r="AI48" s="18"/>
      <c r="AJ48" s="18"/>
      <c r="AK48" s="18"/>
      <c r="AL48" s="18"/>
      <c r="AM48" s="18"/>
      <c r="AN48" s="29"/>
      <c r="AO48" s="28"/>
      <c r="AP48" s="18"/>
      <c r="AQ48" s="18"/>
      <c r="AR48" s="18"/>
      <c r="AS48" s="18"/>
      <c r="AT48" s="18"/>
      <c r="AU48" s="18"/>
      <c r="AV48" s="29"/>
      <c r="AW48" s="28"/>
      <c r="AX48" s="18"/>
      <c r="AY48" s="18"/>
      <c r="AZ48" s="18"/>
      <c r="BA48" s="18"/>
      <c r="BB48" s="18"/>
      <c r="BC48" s="18"/>
      <c r="BD48" s="29"/>
    </row>
    <row r="49" spans="1:56" ht="16.5" thickBot="1" x14ac:dyDescent="0.3">
      <c r="A49" s="270" t="s">
        <v>121</v>
      </c>
      <c r="B49" s="270"/>
      <c r="C49" s="270"/>
      <c r="D49" s="270"/>
      <c r="E49" s="270"/>
      <c r="F49" s="270"/>
      <c r="G49" s="270"/>
      <c r="H49" s="271"/>
      <c r="Q49" s="269" t="s">
        <v>121</v>
      </c>
      <c r="R49" s="270"/>
      <c r="S49" s="270"/>
      <c r="T49" s="270"/>
      <c r="U49" s="270"/>
      <c r="V49" s="270"/>
      <c r="W49" s="270"/>
      <c r="X49" s="271"/>
      <c r="Y49" s="269" t="s">
        <v>121</v>
      </c>
      <c r="Z49" s="270"/>
      <c r="AA49" s="270"/>
      <c r="AB49" s="270"/>
      <c r="AC49" s="270"/>
      <c r="AD49" s="270"/>
      <c r="AE49" s="270"/>
      <c r="AF49" s="271"/>
      <c r="AG49" s="269" t="s">
        <v>121</v>
      </c>
      <c r="AH49" s="270"/>
      <c r="AI49" s="270"/>
      <c r="AJ49" s="270"/>
      <c r="AK49" s="270"/>
      <c r="AL49" s="270"/>
      <c r="AM49" s="270"/>
      <c r="AN49" s="271"/>
      <c r="AO49" s="269" t="s">
        <v>121</v>
      </c>
      <c r="AP49" s="270"/>
      <c r="AQ49" s="270"/>
      <c r="AR49" s="270"/>
      <c r="AS49" s="270"/>
      <c r="AT49" s="270"/>
      <c r="AU49" s="270"/>
      <c r="AV49" s="271"/>
      <c r="AW49" s="269" t="s">
        <v>121</v>
      </c>
      <c r="AX49" s="270"/>
      <c r="AY49" s="270"/>
      <c r="AZ49" s="270"/>
      <c r="BA49" s="270"/>
      <c r="BB49" s="270"/>
      <c r="BC49" s="270"/>
      <c r="BD49" s="271"/>
    </row>
    <row r="50" spans="1:56" ht="15.75" thickTop="1" x14ac:dyDescent="0.25">
      <c r="A50" s="28"/>
      <c r="B50" s="18"/>
      <c r="C50" s="18"/>
      <c r="D50" s="18"/>
      <c r="E50" s="18"/>
      <c r="F50" s="18"/>
      <c r="G50" s="18"/>
      <c r="H50" s="29"/>
      <c r="Q50" s="28"/>
      <c r="R50" s="18"/>
      <c r="S50" s="18"/>
      <c r="T50" s="18"/>
      <c r="U50" s="18"/>
      <c r="V50" s="18"/>
      <c r="W50" s="18"/>
      <c r="X50" s="29"/>
      <c r="Y50" s="28"/>
      <c r="Z50" s="18"/>
      <c r="AA50" s="18"/>
      <c r="AB50" s="18"/>
      <c r="AC50" s="18"/>
      <c r="AD50" s="18"/>
      <c r="AE50" s="18"/>
      <c r="AF50" s="29"/>
      <c r="AG50" s="28"/>
      <c r="AH50" s="18"/>
      <c r="AI50" s="18"/>
      <c r="AJ50" s="18"/>
      <c r="AK50" s="18"/>
      <c r="AL50" s="18"/>
      <c r="AM50" s="18"/>
      <c r="AN50" s="29"/>
      <c r="AO50" s="28"/>
      <c r="AP50" s="18"/>
      <c r="AQ50" s="18"/>
      <c r="AR50" s="18"/>
      <c r="AS50" s="18"/>
      <c r="AT50" s="18"/>
      <c r="AU50" s="18"/>
      <c r="AV50" s="29"/>
      <c r="AW50" s="28"/>
      <c r="AX50" s="18"/>
      <c r="AY50" s="18"/>
      <c r="AZ50" s="18"/>
      <c r="BA50" s="18"/>
      <c r="BB50" s="18"/>
      <c r="BC50" s="18"/>
      <c r="BD50" s="29"/>
    </row>
    <row r="51" spans="1:56" x14ac:dyDescent="0.25">
      <c r="A51" s="264" t="s">
        <v>19</v>
      </c>
      <c r="B51" s="263"/>
      <c r="C51" s="20">
        <f>C52+C53</f>
        <v>26.645081467725497</v>
      </c>
      <c r="D51" s="18"/>
      <c r="E51" s="18"/>
      <c r="F51" s="18"/>
      <c r="G51" s="18"/>
      <c r="H51" s="29"/>
      <c r="Q51" s="264" t="s">
        <v>19</v>
      </c>
      <c r="R51" s="263"/>
      <c r="S51" s="20">
        <f>S52+S53</f>
        <v>0.6327776796660991</v>
      </c>
      <c r="T51" s="18"/>
      <c r="U51" s="18"/>
      <c r="V51" s="18"/>
      <c r="W51" s="18"/>
      <c r="X51" s="29"/>
      <c r="Y51" s="264" t="s">
        <v>19</v>
      </c>
      <c r="Z51" s="263"/>
      <c r="AA51" s="20">
        <f>AA52+AA53</f>
        <v>2.4033653469034659</v>
      </c>
      <c r="AB51" s="18"/>
      <c r="AC51" s="18"/>
      <c r="AD51" s="18"/>
      <c r="AE51" s="18"/>
      <c r="AF51" s="29"/>
      <c r="AG51" s="264" t="s">
        <v>19</v>
      </c>
      <c r="AH51" s="263"/>
      <c r="AI51" s="20">
        <f>AI52+AI53</f>
        <v>1.6967005492249245</v>
      </c>
      <c r="AJ51" s="18"/>
      <c r="AK51" s="18"/>
      <c r="AL51" s="18"/>
      <c r="AM51" s="18"/>
      <c r="AN51" s="29"/>
      <c r="AO51" s="264" t="s">
        <v>19</v>
      </c>
      <c r="AP51" s="263"/>
      <c r="AQ51" s="20">
        <f>AQ52+AQ53</f>
        <v>0.68548709462707724</v>
      </c>
      <c r="AR51" s="18"/>
      <c r="AS51" s="18"/>
      <c r="AT51" s="18"/>
      <c r="AU51" s="18"/>
      <c r="AV51" s="29"/>
      <c r="AW51" s="264" t="s">
        <v>19</v>
      </c>
      <c r="AX51" s="263"/>
      <c r="AY51" s="20">
        <f>AY52+AY53</f>
        <v>0.74159604157560244</v>
      </c>
      <c r="AZ51" s="18"/>
      <c r="BA51" s="18"/>
      <c r="BB51" s="18"/>
      <c r="BC51" s="18"/>
      <c r="BD51" s="29"/>
    </row>
    <row r="52" spans="1:56" x14ac:dyDescent="0.25">
      <c r="A52" s="264" t="s">
        <v>20</v>
      </c>
      <c r="B52" s="263"/>
      <c r="C52" s="20">
        <f>(C15*G32*G38)+(C18*G32*G47)</f>
        <v>7.7527084601267093</v>
      </c>
      <c r="D52" s="18"/>
      <c r="E52" s="18"/>
      <c r="F52" s="18"/>
      <c r="G52" s="18"/>
      <c r="H52" s="29"/>
      <c r="Q52" s="264" t="s">
        <v>20</v>
      </c>
      <c r="R52" s="263"/>
      <c r="S52" s="20">
        <f>S25*W40</f>
        <v>0.19997321574835869</v>
      </c>
      <c r="T52" s="18"/>
      <c r="U52" s="18"/>
      <c r="V52" s="18"/>
      <c r="W52" s="18"/>
      <c r="X52" s="29"/>
      <c r="Y52" s="264" t="s">
        <v>20</v>
      </c>
      <c r="Z52" s="263"/>
      <c r="AA52" s="20">
        <f>AA25*AE40</f>
        <v>0.67214749123250406</v>
      </c>
      <c r="AB52" s="18"/>
      <c r="AC52" s="18"/>
      <c r="AD52" s="18"/>
      <c r="AE52" s="18"/>
      <c r="AF52" s="29"/>
      <c r="AG52" s="264" t="s">
        <v>20</v>
      </c>
      <c r="AH52" s="263"/>
      <c r="AI52" s="20">
        <f>AI25*AM40</f>
        <v>0.58154982644421438</v>
      </c>
      <c r="AJ52" s="18"/>
      <c r="AK52" s="18"/>
      <c r="AL52" s="18"/>
      <c r="AM52" s="18"/>
      <c r="AN52" s="29"/>
      <c r="AO52" s="264" t="s">
        <v>20</v>
      </c>
      <c r="AP52" s="263"/>
      <c r="AQ52" s="20">
        <f>AQ18*AU46</f>
        <v>0.24274518730435368</v>
      </c>
      <c r="AR52" s="18"/>
      <c r="AS52" s="18"/>
      <c r="AT52" s="167"/>
      <c r="AU52" s="18"/>
      <c r="AV52" s="29"/>
      <c r="AW52" s="264" t="s">
        <v>20</v>
      </c>
      <c r="AX52" s="263"/>
      <c r="AY52" s="20">
        <f>AY18*BC46</f>
        <v>0.25165853921243347</v>
      </c>
      <c r="AZ52" s="18"/>
      <c r="BA52" s="18"/>
      <c r="BB52" s="167"/>
      <c r="BC52" s="18"/>
      <c r="BD52" s="29"/>
    </row>
    <row r="53" spans="1:56" x14ac:dyDescent="0.25">
      <c r="A53" s="264" t="s">
        <v>21</v>
      </c>
      <c r="B53" s="263"/>
      <c r="C53" s="20">
        <f>(C16*H32*H38)+(C19*H32*H47)</f>
        <v>18.892373007598788</v>
      </c>
      <c r="D53" s="18"/>
      <c r="E53" s="18"/>
      <c r="F53" s="18"/>
      <c r="G53" s="18"/>
      <c r="H53" s="29"/>
      <c r="Q53" s="264" t="s">
        <v>21</v>
      </c>
      <c r="R53" s="263"/>
      <c r="S53" s="20">
        <f>S26*X40</f>
        <v>0.43280446391774041</v>
      </c>
      <c r="T53" s="18"/>
      <c r="U53" s="18"/>
      <c r="V53" s="18"/>
      <c r="W53" s="18"/>
      <c r="X53" s="29"/>
      <c r="Y53" s="264" t="s">
        <v>21</v>
      </c>
      <c r="Z53" s="263"/>
      <c r="AA53" s="20">
        <f>AA26*AF40</f>
        <v>1.7312178556709616</v>
      </c>
      <c r="AB53" s="18"/>
      <c r="AC53" s="18"/>
      <c r="AD53" s="18"/>
      <c r="AE53" s="18"/>
      <c r="AF53" s="29"/>
      <c r="AG53" s="264" t="s">
        <v>21</v>
      </c>
      <c r="AH53" s="263"/>
      <c r="AI53" s="20">
        <f>AI26*AN40</f>
        <v>1.1151507227807103</v>
      </c>
      <c r="AJ53" s="18"/>
      <c r="AK53" s="18"/>
      <c r="AL53" s="18"/>
      <c r="AM53" s="18"/>
      <c r="AN53" s="29"/>
      <c r="AO53" s="264" t="s">
        <v>21</v>
      </c>
      <c r="AP53" s="263"/>
      <c r="AQ53" s="92">
        <f>AQ19*AV46</f>
        <v>0.4427419073227235</v>
      </c>
      <c r="AR53" s="18"/>
      <c r="AS53" s="18"/>
      <c r="AT53" s="167"/>
      <c r="AU53" s="18"/>
      <c r="AV53" s="29"/>
      <c r="AW53" s="264" t="s">
        <v>21</v>
      </c>
      <c r="AX53" s="263"/>
      <c r="AY53" s="92">
        <f>AY19*BD46</f>
        <v>0.48993750236316896</v>
      </c>
      <c r="AZ53" s="18"/>
      <c r="BA53" s="18"/>
      <c r="BB53" s="167"/>
      <c r="BC53" s="18"/>
      <c r="BD53" s="29"/>
    </row>
    <row r="54" spans="1:56" x14ac:dyDescent="0.25">
      <c r="A54" s="28"/>
      <c r="B54" s="18"/>
      <c r="C54" s="18"/>
      <c r="D54" s="18"/>
      <c r="E54" s="18"/>
      <c r="F54" s="18"/>
      <c r="G54" s="18"/>
      <c r="H54" s="29"/>
      <c r="Q54" s="28"/>
      <c r="R54" s="18"/>
      <c r="S54" s="18"/>
      <c r="T54" s="18"/>
      <c r="U54" s="18"/>
      <c r="V54" s="18"/>
      <c r="W54" s="18"/>
      <c r="X54" s="29"/>
      <c r="Y54" s="28"/>
      <c r="Z54" s="18"/>
      <c r="AA54" s="18"/>
      <c r="AB54" s="18"/>
      <c r="AC54" s="18"/>
      <c r="AD54" s="18"/>
      <c r="AE54" s="18"/>
      <c r="AF54" s="29"/>
      <c r="AG54" s="28"/>
      <c r="AH54" s="18"/>
      <c r="AI54" s="18"/>
      <c r="AJ54" s="18"/>
      <c r="AK54" s="18"/>
      <c r="AL54" s="18"/>
      <c r="AM54" s="18"/>
      <c r="AN54" s="29"/>
      <c r="AO54" s="28"/>
      <c r="AP54" s="18"/>
      <c r="AQ54" s="18"/>
      <c r="AR54" s="18"/>
      <c r="AS54" s="18"/>
      <c r="AT54" s="167"/>
      <c r="AU54" s="18"/>
      <c r="AV54" s="29"/>
      <c r="AW54" s="28"/>
      <c r="AX54" s="18"/>
      <c r="AY54" s="18"/>
      <c r="AZ54" s="18"/>
      <c r="BA54" s="18"/>
      <c r="BB54" s="167"/>
      <c r="BC54" s="18"/>
      <c r="BD54" s="29"/>
    </row>
    <row r="55" spans="1:56" x14ac:dyDescent="0.25">
      <c r="A55" s="28"/>
      <c r="B55" s="18"/>
      <c r="C55" s="18"/>
      <c r="D55" s="18"/>
      <c r="E55" s="18"/>
      <c r="F55" s="18"/>
      <c r="G55" s="18"/>
      <c r="H55" s="29"/>
      <c r="Q55" s="28"/>
      <c r="R55" s="18"/>
      <c r="S55" s="18"/>
      <c r="T55" s="18"/>
      <c r="U55" s="18"/>
      <c r="V55" s="18"/>
      <c r="W55" s="18"/>
      <c r="X55" s="29"/>
      <c r="Y55" s="28"/>
      <c r="Z55" s="18"/>
      <c r="AA55" s="18"/>
      <c r="AB55" s="18"/>
      <c r="AC55" s="18"/>
      <c r="AD55" s="18"/>
      <c r="AE55" s="18"/>
      <c r="AF55" s="29"/>
      <c r="AG55" s="28"/>
      <c r="AH55" s="18"/>
      <c r="AI55" s="18"/>
      <c r="AJ55" s="18"/>
      <c r="AK55" s="18"/>
      <c r="AL55" s="18"/>
      <c r="AM55" s="18"/>
      <c r="AN55" s="29"/>
      <c r="AO55" s="28"/>
      <c r="AP55" s="18"/>
      <c r="AQ55" s="18"/>
      <c r="AR55" s="18"/>
      <c r="AS55" s="18"/>
      <c r="AT55" s="167"/>
      <c r="AU55" s="18"/>
      <c r="AV55" s="29"/>
      <c r="AW55" s="28"/>
      <c r="AX55" s="18"/>
      <c r="AY55" s="18"/>
      <c r="AZ55" s="18"/>
      <c r="BA55" s="18"/>
      <c r="BB55" s="167"/>
      <c r="BC55" s="18"/>
      <c r="BD55" s="29"/>
    </row>
    <row r="56" spans="1:56" x14ac:dyDescent="0.25">
      <c r="A56" s="28"/>
      <c r="B56" s="18"/>
      <c r="C56" s="18"/>
      <c r="D56" s="18"/>
      <c r="E56" s="18"/>
      <c r="F56" s="18"/>
      <c r="G56" s="18"/>
      <c r="H56" s="29"/>
      <c r="Q56" s="28"/>
      <c r="R56" s="18"/>
      <c r="S56" s="18"/>
      <c r="T56" s="18"/>
      <c r="U56" s="18"/>
      <c r="V56" s="18"/>
      <c r="W56" s="18"/>
      <c r="X56" s="29"/>
      <c r="Y56" s="28"/>
      <c r="Z56" s="18"/>
      <c r="AA56" s="18"/>
      <c r="AB56" s="18"/>
      <c r="AC56" s="18"/>
      <c r="AD56" s="18"/>
      <c r="AE56" s="18"/>
      <c r="AF56" s="29"/>
      <c r="AG56" s="28"/>
      <c r="AH56" s="18"/>
      <c r="AI56" s="18"/>
      <c r="AJ56" s="18"/>
      <c r="AK56" s="18"/>
      <c r="AL56" s="18"/>
      <c r="AM56" s="18"/>
      <c r="AN56" s="29"/>
      <c r="AO56" s="28"/>
      <c r="AP56" s="18"/>
      <c r="AQ56" s="18"/>
      <c r="AR56" s="18"/>
      <c r="AS56" s="18"/>
      <c r="AT56" s="167"/>
      <c r="AU56" s="18"/>
      <c r="AV56" s="29"/>
      <c r="AW56" s="28"/>
      <c r="AX56" s="18"/>
      <c r="AY56" s="18"/>
      <c r="AZ56" s="18"/>
      <c r="BA56" s="18"/>
      <c r="BB56" s="167"/>
      <c r="BC56" s="18"/>
      <c r="BD56" s="29"/>
    </row>
    <row r="57" spans="1:56" x14ac:dyDescent="0.25">
      <c r="A57" s="30"/>
      <c r="B57" s="31"/>
      <c r="C57" s="31"/>
      <c r="D57" s="31"/>
      <c r="E57" s="31"/>
      <c r="F57" s="31"/>
      <c r="G57" s="31"/>
      <c r="H57" s="32"/>
      <c r="Q57" s="30"/>
      <c r="R57" s="31"/>
      <c r="S57" s="31"/>
      <c r="T57" s="31"/>
      <c r="U57" s="31"/>
      <c r="V57" s="31"/>
      <c r="W57" s="31"/>
      <c r="X57" s="32"/>
      <c r="Y57" s="30"/>
      <c r="Z57" s="31"/>
      <c r="AA57" s="31"/>
      <c r="AB57" s="31"/>
      <c r="AC57" s="31"/>
      <c r="AD57" s="31"/>
      <c r="AE57" s="31"/>
      <c r="AF57" s="32"/>
      <c r="AG57" s="30"/>
      <c r="AH57" s="31"/>
      <c r="AI57" s="31"/>
      <c r="AJ57" s="31"/>
      <c r="AK57" s="31"/>
      <c r="AL57" s="31"/>
      <c r="AM57" s="31"/>
      <c r="AN57" s="32"/>
      <c r="AO57" s="30"/>
      <c r="AP57" s="31"/>
      <c r="AQ57" s="31"/>
      <c r="AR57" s="31"/>
      <c r="AS57" s="31"/>
      <c r="AT57" s="130"/>
      <c r="AU57" s="31"/>
      <c r="AV57" s="32"/>
      <c r="AW57" s="30"/>
      <c r="AX57" s="31"/>
      <c r="AY57" s="31"/>
      <c r="AZ57" s="31"/>
      <c r="BA57" s="31"/>
      <c r="BB57" s="130"/>
      <c r="BC57" s="31"/>
      <c r="BD57" s="32"/>
    </row>
  </sheetData>
  <mergeCells count="214">
    <mergeCell ref="BF1:BI1"/>
    <mergeCell ref="AW49:BD49"/>
    <mergeCell ref="AW51:AX51"/>
    <mergeCell ref="AW52:AX52"/>
    <mergeCell ref="AW53:AX53"/>
    <mergeCell ref="AO1:AV1"/>
    <mergeCell ref="AW1:BD1"/>
    <mergeCell ref="AW41:AW42"/>
    <mergeCell ref="AX41:BA41"/>
    <mergeCell ref="AX42:BA42"/>
    <mergeCell ref="AX43:BA43"/>
    <mergeCell ref="AX44:BA44"/>
    <mergeCell ref="AX45:BA45"/>
    <mergeCell ref="AX35:AZ35"/>
    <mergeCell ref="AX36:AZ36"/>
    <mergeCell ref="AW37:AW38"/>
    <mergeCell ref="AX37:AZ37"/>
    <mergeCell ref="AX38:AZ38"/>
    <mergeCell ref="AW39:AW40"/>
    <mergeCell ref="AX29:BB29"/>
    <mergeCell ref="AX30:AZ30"/>
    <mergeCell ref="AW31:AW32"/>
    <mergeCell ref="AW2:BD2"/>
    <mergeCell ref="AW3:AX3"/>
    <mergeCell ref="AY3:BB3"/>
    <mergeCell ref="BC3:BD3"/>
    <mergeCell ref="BC5:BD5"/>
    <mergeCell ref="AO37:AO38"/>
    <mergeCell ref="AP37:AR37"/>
    <mergeCell ref="AP38:AR38"/>
    <mergeCell ref="AX33:BA33"/>
    <mergeCell ref="AX34:BA34"/>
    <mergeCell ref="AY7:AZ7"/>
    <mergeCell ref="AX32:BA32"/>
    <mergeCell ref="AW19:AX19"/>
    <mergeCell ref="AP35:AR35"/>
    <mergeCell ref="AP36:AR36"/>
    <mergeCell ref="AQ7:AR7"/>
    <mergeCell ref="AW33:AW34"/>
    <mergeCell ref="AW13:AX13"/>
    <mergeCell ref="AW14:AX14"/>
    <mergeCell ref="AW17:AX17"/>
    <mergeCell ref="AW18:AX18"/>
    <mergeCell ref="AO13:AP13"/>
    <mergeCell ref="AO14:AP14"/>
    <mergeCell ref="AO17:AP17"/>
    <mergeCell ref="AO18:AP18"/>
    <mergeCell ref="AO19:AP19"/>
    <mergeCell ref="AX31:BA31"/>
    <mergeCell ref="AO52:AP52"/>
    <mergeCell ref="AO53:AP53"/>
    <mergeCell ref="AO2:AV2"/>
    <mergeCell ref="AO3:AP3"/>
    <mergeCell ref="AQ3:AT3"/>
    <mergeCell ref="AU3:AV3"/>
    <mergeCell ref="AU5:AV5"/>
    <mergeCell ref="AP29:AT29"/>
    <mergeCell ref="AP30:AR30"/>
    <mergeCell ref="AO31:AO32"/>
    <mergeCell ref="AP31:AS31"/>
    <mergeCell ref="AP43:AS43"/>
    <mergeCell ref="AP44:AS44"/>
    <mergeCell ref="AP45:AS45"/>
    <mergeCell ref="AO49:AV49"/>
    <mergeCell ref="AO51:AP51"/>
    <mergeCell ref="AO41:AO42"/>
    <mergeCell ref="AP41:AS41"/>
    <mergeCell ref="AP42:AS42"/>
    <mergeCell ref="AO39:AO40"/>
    <mergeCell ref="AP32:AS32"/>
    <mergeCell ref="AO33:AO34"/>
    <mergeCell ref="AP33:AS33"/>
    <mergeCell ref="AP34:AS34"/>
    <mergeCell ref="AG49:AN49"/>
    <mergeCell ref="AG51:AH51"/>
    <mergeCell ref="AG52:AH52"/>
    <mergeCell ref="AG53:AH53"/>
    <mergeCell ref="AH35:AL35"/>
    <mergeCell ref="AH36:AL36"/>
    <mergeCell ref="AH37:AL37"/>
    <mergeCell ref="AH38:AL38"/>
    <mergeCell ref="AH39:AL39"/>
    <mergeCell ref="AG42:AI42"/>
    <mergeCell ref="AH29:AL29"/>
    <mergeCell ref="AH30:AL30"/>
    <mergeCell ref="AH31:AL31"/>
    <mergeCell ref="AH32:AL32"/>
    <mergeCell ref="AH33:AL33"/>
    <mergeCell ref="AH34:AL34"/>
    <mergeCell ref="AG9:AH9"/>
    <mergeCell ref="AG14:AH14"/>
    <mergeCell ref="AG15:AH15"/>
    <mergeCell ref="AG24:AH24"/>
    <mergeCell ref="AG25:AH25"/>
    <mergeCell ref="AG26:AH26"/>
    <mergeCell ref="Y51:Z51"/>
    <mergeCell ref="Y52:Z52"/>
    <mergeCell ref="Y53:Z53"/>
    <mergeCell ref="AG1:AN1"/>
    <mergeCell ref="AG2:AN2"/>
    <mergeCell ref="AH3:AL3"/>
    <mergeCell ref="AM3:AN3"/>
    <mergeCell ref="AK5:AL5"/>
    <mergeCell ref="AM5:AN5"/>
    <mergeCell ref="AG8:AH8"/>
    <mergeCell ref="Z36:AD36"/>
    <mergeCell ref="Z37:AD37"/>
    <mergeCell ref="Z38:AD38"/>
    <mergeCell ref="Z39:AD39"/>
    <mergeCell ref="Y42:AA42"/>
    <mergeCell ref="Y49:AF49"/>
    <mergeCell ref="Z30:AD30"/>
    <mergeCell ref="Z31:AD31"/>
    <mergeCell ref="Z32:AD32"/>
    <mergeCell ref="Z33:AD33"/>
    <mergeCell ref="Z34:AD34"/>
    <mergeCell ref="Z35:AD35"/>
    <mergeCell ref="Y14:Z14"/>
    <mergeCell ref="Y15:Z15"/>
    <mergeCell ref="Y24:Z24"/>
    <mergeCell ref="Y25:Z25"/>
    <mergeCell ref="Y26:Z26"/>
    <mergeCell ref="Z29:AD29"/>
    <mergeCell ref="Q52:R52"/>
    <mergeCell ref="Q53:R53"/>
    <mergeCell ref="Y1:AF1"/>
    <mergeCell ref="Y2:AF2"/>
    <mergeCell ref="Z3:AD3"/>
    <mergeCell ref="AE3:AF3"/>
    <mergeCell ref="AC5:AD5"/>
    <mergeCell ref="AE5:AF5"/>
    <mergeCell ref="Y8:Z8"/>
    <mergeCell ref="Y9:Z9"/>
    <mergeCell ref="R37:V37"/>
    <mergeCell ref="R38:V38"/>
    <mergeCell ref="R39:V39"/>
    <mergeCell ref="Q42:S42"/>
    <mergeCell ref="Q49:X49"/>
    <mergeCell ref="Q51:R51"/>
    <mergeCell ref="R31:V31"/>
    <mergeCell ref="R32:V32"/>
    <mergeCell ref="R33:V33"/>
    <mergeCell ref="R34:V34"/>
    <mergeCell ref="R35:V35"/>
    <mergeCell ref="R36:V36"/>
    <mergeCell ref="Q15:R15"/>
    <mergeCell ref="Q24:R24"/>
    <mergeCell ref="Q25:R25"/>
    <mergeCell ref="Q26:R26"/>
    <mergeCell ref="R29:V29"/>
    <mergeCell ref="R30:V30"/>
    <mergeCell ref="J30:N31"/>
    <mergeCell ref="Q1:X1"/>
    <mergeCell ref="Q2:X2"/>
    <mergeCell ref="R3:V3"/>
    <mergeCell ref="W3:X3"/>
    <mergeCell ref="U5:V5"/>
    <mergeCell ref="W5:X5"/>
    <mergeCell ref="Q8:R8"/>
    <mergeCell ref="Q9:R9"/>
    <mergeCell ref="Q14:R14"/>
    <mergeCell ref="A51:B51"/>
    <mergeCell ref="A52:B52"/>
    <mergeCell ref="A53:B53"/>
    <mergeCell ref="I1:P1"/>
    <mergeCell ref="I2:P2"/>
    <mergeCell ref="J3:N3"/>
    <mergeCell ref="O3:P3"/>
    <mergeCell ref="I11:J11"/>
    <mergeCell ref="I12:J12"/>
    <mergeCell ref="J27:N28"/>
    <mergeCell ref="B42:E42"/>
    <mergeCell ref="B43:D43"/>
    <mergeCell ref="B44:C44"/>
    <mergeCell ref="B45:D45"/>
    <mergeCell ref="B46:F46"/>
    <mergeCell ref="A49:H49"/>
    <mergeCell ref="B36:F36"/>
    <mergeCell ref="B37:F37"/>
    <mergeCell ref="B38:F38"/>
    <mergeCell ref="B39:F39"/>
    <mergeCell ref="B40:C40"/>
    <mergeCell ref="B41:C41"/>
    <mergeCell ref="D41:F41"/>
    <mergeCell ref="B31:F31"/>
    <mergeCell ref="B32:F32"/>
    <mergeCell ref="B33:F33"/>
    <mergeCell ref="B34:C34"/>
    <mergeCell ref="B35:C35"/>
    <mergeCell ref="D35:F35"/>
    <mergeCell ref="A23:B23"/>
    <mergeCell ref="B26:F26"/>
    <mergeCell ref="B27:F27"/>
    <mergeCell ref="B28:E28"/>
    <mergeCell ref="B29:E29"/>
    <mergeCell ref="B30:D30"/>
    <mergeCell ref="A19:B19"/>
    <mergeCell ref="A21:B21"/>
    <mergeCell ref="A22:B22"/>
    <mergeCell ref="A8:B8"/>
    <mergeCell ref="A9:B9"/>
    <mergeCell ref="A10:B10"/>
    <mergeCell ref="A11:B11"/>
    <mergeCell ref="A14:B14"/>
    <mergeCell ref="A15:B15"/>
    <mergeCell ref="A1:H1"/>
    <mergeCell ref="A2:H2"/>
    <mergeCell ref="B3:F3"/>
    <mergeCell ref="G3:H3"/>
    <mergeCell ref="E5:F5"/>
    <mergeCell ref="G5:H5"/>
    <mergeCell ref="A16:B16"/>
    <mergeCell ref="A17:B17"/>
    <mergeCell ref="A18:B18"/>
  </mergeCells>
  <dataValidations count="8">
    <dataValidation type="list" allowBlank="1" showInputMessage="1" showErrorMessage="1" sqref="T6 AJ6 AB6">
      <formula1>"Right, Left"</formula1>
    </dataValidation>
    <dataValidation type="list" allowBlank="1" showInputMessage="1" showErrorMessage="1" sqref="AT41:AT43 BB41:BB43">
      <formula1>"Channelized, Not Channelized"</formula1>
    </dataValidation>
    <dataValidation type="list" allowBlank="1" showInputMessage="1" showErrorMessage="1" sqref="AT39:AT40 BB39:BB40">
      <formula1>"Protected Only, Permissive"</formula1>
    </dataValidation>
    <dataValidation type="list" allowBlank="1" showInputMessage="1" showErrorMessage="1" sqref="AT31:AT34 AT44 BB44 BB31:BB34">
      <formula1>"Present, Not Present"</formula1>
    </dataValidation>
    <dataValidation type="list" allowBlank="1" showInputMessage="1" showErrorMessage="1" sqref="AT30 BB30">
      <formula1>"Merge/Freeflow,Signal/Stop/Yield"</formula1>
    </dataValidation>
    <dataValidation type="list" allowBlank="1" showInputMessage="1" showErrorMessage="1" sqref="AS9 BA9">
      <formula1>"Signalized, Unsignalized"</formula1>
    </dataValidation>
    <dataValidation type="whole" allowBlank="1" showInputMessage="1" showErrorMessage="1" sqref="AS7 BA7">
      <formula1>2</formula1>
      <formula2>6</formula2>
    </dataValidation>
    <dataValidation type="list" allowBlank="1" showInputMessage="1" showErrorMessage="1" sqref="AS5 BA5">
      <formula1>"Rural,Urban"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Reference!$A$249:$A$252</xm:f>
          </x14:formula1>
          <xm:sqref>G5:H5</xm:sqref>
        </x14:dataValidation>
        <x14:dataValidation type="list" allowBlank="1" showInputMessage="1" showErrorMessage="1">
          <x14:formula1>
            <xm:f>Reference!$A$197:$A$204</xm:f>
          </x14:formula1>
          <xm:sqref>W5:X5 AM5:AN5 AE5:AF5</xm:sqref>
        </x14:dataValidation>
        <x14:dataValidation type="list" allowBlank="1" showInputMessage="1" showErrorMessage="1">
          <x14:formula1>
            <xm:f>Reference!$A$269:$A$275</xm:f>
          </x14:formula1>
          <xm:sqref>AU5 BC5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3"/>
  <sheetViews>
    <sheetView workbookViewId="0">
      <selection activeCell="M45" sqref="M45"/>
    </sheetView>
  </sheetViews>
  <sheetFormatPr defaultRowHeight="15" x14ac:dyDescent="0.25"/>
  <cols>
    <col min="1" max="3" width="9.140625" style="114"/>
    <col min="4" max="4" width="28.140625" style="114" bestFit="1" customWidth="1"/>
    <col min="5" max="16384" width="9.140625" style="114"/>
  </cols>
  <sheetData>
    <row r="1" spans="3:14" ht="15" customHeight="1" x14ac:dyDescent="0.25">
      <c r="C1" s="317"/>
      <c r="D1" s="318"/>
      <c r="E1" s="311" t="s">
        <v>369</v>
      </c>
      <c r="F1" s="321"/>
      <c r="G1" s="311" t="s">
        <v>394</v>
      </c>
      <c r="H1" s="321"/>
      <c r="I1" s="323" t="s">
        <v>370</v>
      </c>
      <c r="J1" s="324"/>
      <c r="K1" s="311" t="s">
        <v>371</v>
      </c>
      <c r="L1" s="321"/>
      <c r="M1" s="311" t="s">
        <v>372</v>
      </c>
      <c r="N1" s="312"/>
    </row>
    <row r="2" spans="3:14" x14ac:dyDescent="0.25">
      <c r="C2" s="317"/>
      <c r="D2" s="319"/>
      <c r="E2" s="313"/>
      <c r="F2" s="322"/>
      <c r="G2" s="313"/>
      <c r="H2" s="322"/>
      <c r="I2" s="315">
        <v>5</v>
      </c>
      <c r="J2" s="316"/>
      <c r="K2" s="313"/>
      <c r="L2" s="322"/>
      <c r="M2" s="313"/>
      <c r="N2" s="314"/>
    </row>
    <row r="3" spans="3:14" x14ac:dyDescent="0.25">
      <c r="C3" s="317"/>
      <c r="D3" s="320"/>
      <c r="E3" s="176" t="s">
        <v>20</v>
      </c>
      <c r="F3" s="176" t="s">
        <v>21</v>
      </c>
      <c r="G3" s="176" t="s">
        <v>20</v>
      </c>
      <c r="H3" s="176" t="s">
        <v>21</v>
      </c>
      <c r="I3" s="176" t="s">
        <v>20</v>
      </c>
      <c r="J3" s="176" t="s">
        <v>21</v>
      </c>
      <c r="K3" s="176" t="s">
        <v>20</v>
      </c>
      <c r="L3" s="176" t="s">
        <v>21</v>
      </c>
      <c r="M3" s="176" t="s">
        <v>20</v>
      </c>
      <c r="N3" s="211" t="s">
        <v>21</v>
      </c>
    </row>
    <row r="4" spans="3:14" ht="15.75" thickBot="1" x14ac:dyDescent="0.3">
      <c r="D4" s="212" t="s">
        <v>373</v>
      </c>
      <c r="E4" s="213">
        <f>SUM(E5:E6)</f>
        <v>5.6617054802651552</v>
      </c>
      <c r="F4" s="213">
        <f>SUM(F5:F6)</f>
        <v>14.873906171162194</v>
      </c>
      <c r="G4" s="214"/>
      <c r="H4" s="214"/>
      <c r="I4" s="215"/>
      <c r="J4" s="215"/>
      <c r="K4" s="216">
        <f>SUM(K5:K6)</f>
        <v>6.4</v>
      </c>
      <c r="L4" s="216">
        <f>SUM(L5:L6)</f>
        <v>9.8000000000000007</v>
      </c>
      <c r="M4" s="217">
        <f>SUM(M5:M6)</f>
        <v>6.4015242908584069</v>
      </c>
      <c r="N4" s="218">
        <f>SUM(N5:N6)</f>
        <v>11.266097587877367</v>
      </c>
    </row>
    <row r="5" spans="3:14" x14ac:dyDescent="0.25">
      <c r="D5" s="219" t="s">
        <v>374</v>
      </c>
      <c r="E5" s="220">
        <f>SPFs!C15</f>
        <v>3.7520689262175977</v>
      </c>
      <c r="F5" s="220">
        <f>SPFs!C16</f>
        <v>10.058756039048163</v>
      </c>
      <c r="G5" s="221">
        <f>1/(G16*SPFs!$D$5)</f>
        <v>9.4696969696969696E-2</v>
      </c>
      <c r="H5" s="221">
        <f>1/(H16*SPFs!$D$5)</f>
        <v>8.8652482269503549E-2</v>
      </c>
      <c r="I5" s="222">
        <f>1/(1+G5*E5*$I$2)</f>
        <v>0.36015947741635229</v>
      </c>
      <c r="J5" s="222">
        <f>1/(1+H5*F5*$I$2)</f>
        <v>0.18319485930915538</v>
      </c>
      <c r="K5" s="223">
        <v>5.4</v>
      </c>
      <c r="L5" s="223">
        <v>8.4</v>
      </c>
      <c r="M5" s="222">
        <f>I5*E5+(1-I5)*K5</f>
        <v>4.8064820056483617</v>
      </c>
      <c r="N5" s="224">
        <f>J5*F5+(1-J5)*L5</f>
        <v>8.7038755792016413</v>
      </c>
    </row>
    <row r="6" spans="3:14" x14ac:dyDescent="0.25">
      <c r="D6" s="225" t="s">
        <v>375</v>
      </c>
      <c r="E6" s="226">
        <f>SPFs!C18</f>
        <v>1.9096365540475573</v>
      </c>
      <c r="F6" s="226">
        <f>SPFs!C19</f>
        <v>4.81515013211403</v>
      </c>
      <c r="G6" s="221">
        <f>1/(G17*SPFs!$D$5)</f>
        <v>5.5370985603543747E-2</v>
      </c>
      <c r="H6" s="221">
        <f>1/(H17*SPFs!$D$5)</f>
        <v>8.0515297906602251E-2</v>
      </c>
      <c r="I6" s="226">
        <f>1/(1+G6*E6*$I$2)</f>
        <v>0.65415388438637356</v>
      </c>
      <c r="J6" s="226">
        <f>1/(1+H6*F6*$I$2)</f>
        <v>0.34031359199904099</v>
      </c>
      <c r="K6" s="227">
        <v>1</v>
      </c>
      <c r="L6" s="227">
        <v>1.4</v>
      </c>
      <c r="M6" s="226">
        <f t="shared" ref="M6:N6" si="0">I6*E6+(1-I6)*K6</f>
        <v>1.5950422852100452</v>
      </c>
      <c r="N6" s="228">
        <f t="shared" si="0"/>
        <v>2.5622220086757248</v>
      </c>
    </row>
    <row r="7" spans="3:14" ht="15.75" thickBot="1" x14ac:dyDescent="0.3">
      <c r="D7" s="212" t="s">
        <v>353</v>
      </c>
      <c r="E7" s="229">
        <f>SPFs!S25</f>
        <v>0.15856798619283211</v>
      </c>
      <c r="F7" s="229">
        <f>SPFs!S26</f>
        <v>0.43280446391774041</v>
      </c>
      <c r="G7" s="230">
        <f>1/G18</f>
        <v>0.5617977528089888</v>
      </c>
      <c r="H7" s="230">
        <f>1/H18</f>
        <v>0.63291139240506322</v>
      </c>
      <c r="I7" s="229">
        <f t="shared" ref="I7:J10" si="1">1/(1+G7*E7*$I$2)</f>
        <v>0.69184249613731419</v>
      </c>
      <c r="J7" s="229">
        <f t="shared" si="1"/>
        <v>0.4220060312497203</v>
      </c>
      <c r="K7" s="231">
        <f>13/5</f>
        <v>2.6</v>
      </c>
      <c r="L7" s="231">
        <f>22/5</f>
        <v>4.4000000000000004</v>
      </c>
      <c r="M7" s="217">
        <f>SUM(M8:M10)</f>
        <v>4.6093927675666455</v>
      </c>
      <c r="N7" s="218">
        <f>SUM(N8:N10)</f>
        <v>9.9742711356393343</v>
      </c>
    </row>
    <row r="8" spans="3:14" ht="15.75" thickBot="1" x14ac:dyDescent="0.3">
      <c r="D8" s="232" t="s">
        <v>354</v>
      </c>
      <c r="E8" s="213">
        <f>SPFs!AA25</f>
        <v>0.63427194477132842</v>
      </c>
      <c r="F8" s="213">
        <f>SPFs!AA26</f>
        <v>1.7312178556709616</v>
      </c>
      <c r="G8" s="230">
        <f>1/G19</f>
        <v>0.5617977528089888</v>
      </c>
      <c r="H8" s="230">
        <f>1/H19</f>
        <v>0.63291139240506322</v>
      </c>
      <c r="I8" s="233">
        <f>1/(1+G8*E8*$I$2)</f>
        <v>0.35949720870079455</v>
      </c>
      <c r="J8" s="233">
        <f t="shared" si="1"/>
        <v>0.15435582447889173</v>
      </c>
      <c r="K8" s="216">
        <v>5</v>
      </c>
      <c r="L8" s="216">
        <v>7.6</v>
      </c>
      <c r="M8" s="234">
        <f>I8*E8+(1-I8)*K8</f>
        <v>3.4305329501985442</v>
      </c>
      <c r="N8" s="235">
        <f>J8*F8+(1-J8)*L8</f>
        <v>6.6941192934250928</v>
      </c>
    </row>
    <row r="9" spans="3:14" ht="15.75" thickBot="1" x14ac:dyDescent="0.3">
      <c r="D9" s="232" t="s">
        <v>376</v>
      </c>
      <c r="E9" s="213">
        <f>SPFs!AI25</f>
        <v>0.27326945429295063</v>
      </c>
      <c r="F9" s="213">
        <f>SPFs!AI26</f>
        <v>0.86674503143508907</v>
      </c>
      <c r="G9" s="214">
        <f>1/(G20*SPFs!$AJ$5)</f>
        <v>0.38314176245210724</v>
      </c>
      <c r="H9" s="214">
        <f>1/(H20*SPFs!$AJ$5)</f>
        <v>0.40322580645161282</v>
      </c>
      <c r="I9" s="233">
        <f>1/(1+G9*E9*$I$2)</f>
        <v>0.65638130218907254</v>
      </c>
      <c r="J9" s="233">
        <f t="shared" si="1"/>
        <v>0.36397124081066645</v>
      </c>
      <c r="K9" s="216">
        <v>2.2000000000000002</v>
      </c>
      <c r="L9" s="216">
        <v>4</v>
      </c>
      <c r="M9" s="234">
        <f t="shared" ref="M9:N9" si="2">I9*E9+(1-I9)*K9</f>
        <v>0.93533009544134471</v>
      </c>
      <c r="N9" s="235">
        <f t="shared" si="2"/>
        <v>2.8595853013152439</v>
      </c>
    </row>
    <row r="10" spans="3:14" ht="15.75" thickBot="1" x14ac:dyDescent="0.3">
      <c r="D10" s="232" t="s">
        <v>377</v>
      </c>
      <c r="E10" s="213">
        <f>SPFs!AQ18</f>
        <v>0.22347933558363905</v>
      </c>
      <c r="F10" s="213">
        <f>SPFs!AQ19</f>
        <v>0.24517827456710514</v>
      </c>
      <c r="G10" s="214">
        <f>1/G21</f>
        <v>0.1146788990825688</v>
      </c>
      <c r="H10" s="214">
        <f>1/H21</f>
        <v>0.24691358024691359</v>
      </c>
      <c r="I10" s="233">
        <f t="shared" ref="I10" si="3">1/(1+G10*E10*$I$2)</f>
        <v>0.88641337596699821</v>
      </c>
      <c r="J10" s="233">
        <f t="shared" si="1"/>
        <v>0.76764279508342659</v>
      </c>
      <c r="K10" s="216">
        <f>2/5</f>
        <v>0.4</v>
      </c>
      <c r="L10" s="216">
        <f>5/5</f>
        <v>1</v>
      </c>
      <c r="M10" s="234">
        <f>I10*E10+(1-I10)*K10</f>
        <v>0.24352972192675593</v>
      </c>
      <c r="N10" s="235">
        <f>J10*F10+(1-J10)*L10</f>
        <v>0.42056654089899781</v>
      </c>
    </row>
    <row r="11" spans="3:14" ht="15.75" thickBot="1" x14ac:dyDescent="0.3">
      <c r="D11" s="232" t="s">
        <v>378</v>
      </c>
      <c r="E11" s="213">
        <f>SPFs!AY18</f>
        <v>0.24788060594553477</v>
      </c>
      <c r="F11" s="213">
        <f>SPFs!AY19</f>
        <v>0.40577209613731613</v>
      </c>
      <c r="G11" s="214">
        <f>1/G22</f>
        <v>8.6956521739130432E-2</v>
      </c>
      <c r="H11" s="214">
        <f>1/H22</f>
        <v>0.13869625520110956</v>
      </c>
      <c r="I11" s="233">
        <f>1/(1+G11*E11*$I$2)</f>
        <v>0.90271105900052773</v>
      </c>
      <c r="J11" s="233">
        <f>1/(1+H11*F11*$I$2)</f>
        <v>0.78039927273197573</v>
      </c>
      <c r="K11" s="216">
        <f>2/5</f>
        <v>0.4</v>
      </c>
      <c r="L11" s="216">
        <f>4/5</f>
        <v>0.8</v>
      </c>
      <c r="M11" s="234">
        <f t="shared" ref="M11:N11" si="4">I11*E11+(1-I11)*K11</f>
        <v>0.26268014069857509</v>
      </c>
      <c r="N11" s="235">
        <f t="shared" si="4"/>
        <v>0.49234483053491029</v>
      </c>
    </row>
    <row r="12" spans="3:14" ht="16.5" thickTop="1" thickBot="1" x14ac:dyDescent="0.3">
      <c r="D12" s="236" t="s">
        <v>19</v>
      </c>
      <c r="E12" s="237">
        <f>SUM(E4,E11:E11,E7:E10)</f>
        <v>7.199174807051441</v>
      </c>
      <c r="F12" s="237">
        <f>SUM(F4,F11:F11,F7:F10)</f>
        <v>18.555623892890406</v>
      </c>
      <c r="G12" s="237"/>
      <c r="H12" s="237"/>
      <c r="I12" s="238"/>
      <c r="J12" s="238"/>
      <c r="K12" s="239">
        <f>SUM(K4,K11:K11,K7:K10)</f>
        <v>17</v>
      </c>
      <c r="L12" s="239">
        <f>SUM(L4,L11:L11,L7:L10)</f>
        <v>27.6</v>
      </c>
      <c r="M12" s="240">
        <f>SUM(M4,M8:M11,M7)</f>
        <v>15.882989966690271</v>
      </c>
      <c r="N12" s="240">
        <f>SUM(N4,N8:N11,N7)</f>
        <v>31.706984689690945</v>
      </c>
    </row>
    <row r="14" spans="3:14" hidden="1" x14ac:dyDescent="0.25">
      <c r="F14" s="310" t="s">
        <v>393</v>
      </c>
      <c r="G14" s="310"/>
      <c r="H14" s="310"/>
      <c r="I14" s="310"/>
    </row>
    <row r="15" spans="3:14" hidden="1" x14ac:dyDescent="0.25">
      <c r="F15" s="250"/>
      <c r="G15" s="251" t="s">
        <v>20</v>
      </c>
      <c r="H15" s="251" t="s">
        <v>21</v>
      </c>
      <c r="I15" s="250"/>
    </row>
    <row r="16" spans="3:14" hidden="1" x14ac:dyDescent="0.25">
      <c r="F16" s="250"/>
      <c r="G16" s="250">
        <v>17.600000000000001</v>
      </c>
      <c r="H16" s="250">
        <v>18.8</v>
      </c>
      <c r="I16" s="252"/>
      <c r="J16" s="246"/>
    </row>
    <row r="17" spans="6:10" hidden="1" x14ac:dyDescent="0.25">
      <c r="F17" s="250"/>
      <c r="G17" s="250">
        <v>30.1</v>
      </c>
      <c r="H17" s="250">
        <v>20.7</v>
      </c>
      <c r="I17" s="252"/>
      <c r="J17" s="246"/>
    </row>
    <row r="18" spans="6:10" hidden="1" x14ac:dyDescent="0.25">
      <c r="F18" s="250"/>
      <c r="G18" s="250">
        <v>1.78</v>
      </c>
      <c r="H18" s="250">
        <v>1.58</v>
      </c>
      <c r="I18" s="252"/>
      <c r="J18" s="246"/>
    </row>
    <row r="19" spans="6:10" hidden="1" x14ac:dyDescent="0.25">
      <c r="F19" s="250"/>
      <c r="G19" s="253">
        <v>1.78</v>
      </c>
      <c r="H19" s="253">
        <v>1.58</v>
      </c>
      <c r="I19" s="252"/>
      <c r="J19" s="246"/>
    </row>
    <row r="20" spans="6:10" hidden="1" x14ac:dyDescent="0.25">
      <c r="F20" s="250"/>
      <c r="G20" s="253">
        <v>26.1</v>
      </c>
      <c r="H20" s="253">
        <v>24.8</v>
      </c>
      <c r="I20" s="252"/>
      <c r="J20" s="246"/>
    </row>
    <row r="21" spans="6:10" hidden="1" x14ac:dyDescent="0.25">
      <c r="F21" s="250"/>
      <c r="G21" s="253">
        <v>8.7200000000000006</v>
      </c>
      <c r="H21" s="253">
        <v>4.05</v>
      </c>
      <c r="I21" s="252"/>
      <c r="J21" s="246"/>
    </row>
    <row r="22" spans="6:10" hidden="1" x14ac:dyDescent="0.25">
      <c r="F22" s="250"/>
      <c r="G22" s="253">
        <v>11.5</v>
      </c>
      <c r="H22" s="253">
        <v>7.21</v>
      </c>
      <c r="I22" s="252"/>
      <c r="J22" s="246"/>
    </row>
    <row r="23" spans="6:10" hidden="1" x14ac:dyDescent="0.25">
      <c r="F23" s="250"/>
      <c r="G23" s="250"/>
      <c r="H23" s="250"/>
      <c r="I23" s="250"/>
    </row>
  </sheetData>
  <mergeCells count="9">
    <mergeCell ref="F14:I14"/>
    <mergeCell ref="M1:N2"/>
    <mergeCell ref="I2:J2"/>
    <mergeCell ref="C1:C3"/>
    <mergeCell ref="D1:D3"/>
    <mergeCell ref="E1:F2"/>
    <mergeCell ref="G1:H2"/>
    <mergeCell ref="I1:J1"/>
    <mergeCell ref="K1:L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7" workbookViewId="0">
      <selection activeCell="G38" sqref="G38"/>
    </sheetView>
  </sheetViews>
  <sheetFormatPr defaultRowHeight="15" x14ac:dyDescent="0.25"/>
  <sheetData>
    <row r="1" spans="1:16" ht="15.75" x14ac:dyDescent="0.25">
      <c r="A1" s="279" t="s">
        <v>360</v>
      </c>
      <c r="B1" s="280"/>
      <c r="C1" s="280"/>
      <c r="D1" s="280"/>
      <c r="E1" s="280"/>
      <c r="F1" s="280"/>
      <c r="G1" s="280"/>
      <c r="H1" s="283"/>
      <c r="I1" s="279" t="s">
        <v>361</v>
      </c>
      <c r="J1" s="280"/>
      <c r="K1" s="280"/>
      <c r="L1" s="280"/>
      <c r="M1" s="280"/>
      <c r="N1" s="280"/>
      <c r="O1" s="280"/>
      <c r="P1" s="283"/>
    </row>
    <row r="2" spans="1:16" ht="15.75" x14ac:dyDescent="0.25">
      <c r="A2" s="281" t="s">
        <v>138</v>
      </c>
      <c r="B2" s="282"/>
      <c r="C2" s="282"/>
      <c r="D2" s="282"/>
      <c r="E2" s="282"/>
      <c r="F2" s="282"/>
      <c r="G2" s="282"/>
      <c r="H2" s="284"/>
      <c r="I2" s="281" t="s">
        <v>138</v>
      </c>
      <c r="J2" s="282"/>
      <c r="K2" s="282"/>
      <c r="L2" s="282"/>
      <c r="M2" s="282"/>
      <c r="N2" s="282"/>
      <c r="O2" s="282"/>
      <c r="P2" s="284"/>
    </row>
    <row r="3" spans="1:16" x14ac:dyDescent="0.25">
      <c r="A3" s="264" t="s">
        <v>0</v>
      </c>
      <c r="B3" s="263"/>
      <c r="C3" s="259" t="s">
        <v>139</v>
      </c>
      <c r="D3" s="259"/>
      <c r="E3" s="259"/>
      <c r="F3" s="259"/>
      <c r="G3" s="259" t="s">
        <v>385</v>
      </c>
      <c r="H3" s="285"/>
      <c r="I3" s="264" t="s">
        <v>0</v>
      </c>
      <c r="J3" s="263"/>
      <c r="K3" s="259" t="s">
        <v>139</v>
      </c>
      <c r="L3" s="259"/>
      <c r="M3" s="259"/>
      <c r="N3" s="259"/>
      <c r="O3" s="259" t="s">
        <v>385</v>
      </c>
      <c r="P3" s="285"/>
    </row>
    <row r="4" spans="1:16" x14ac:dyDescent="0.25">
      <c r="A4" s="28"/>
      <c r="B4" s="18"/>
      <c r="C4" s="18"/>
      <c r="D4" s="18"/>
      <c r="E4" s="18"/>
      <c r="F4" s="18"/>
      <c r="G4" s="18"/>
      <c r="H4" s="29"/>
      <c r="I4" s="28"/>
      <c r="J4" s="18"/>
      <c r="K4" s="18"/>
      <c r="L4" s="18"/>
      <c r="M4" s="18"/>
      <c r="N4" s="18"/>
      <c r="O4" s="18"/>
      <c r="P4" s="29"/>
    </row>
    <row r="5" spans="1:16" ht="18" x14ac:dyDescent="0.35">
      <c r="A5" s="172" t="s">
        <v>165</v>
      </c>
      <c r="B5" s="68">
        <f>0.5*(B8+B9)</f>
        <v>1700</v>
      </c>
      <c r="C5" s="18"/>
      <c r="D5" s="173" t="s">
        <v>170</v>
      </c>
      <c r="E5" s="40" t="s">
        <v>220</v>
      </c>
      <c r="F5" s="173" t="s">
        <v>172</v>
      </c>
      <c r="G5" s="277" t="s">
        <v>143</v>
      </c>
      <c r="H5" s="278"/>
      <c r="I5" s="172" t="s">
        <v>165</v>
      </c>
      <c r="J5" s="68">
        <f>0.5*(J8+J9)</f>
        <v>1700</v>
      </c>
      <c r="K5" s="18"/>
      <c r="L5" s="173" t="s">
        <v>170</v>
      </c>
      <c r="M5" s="40" t="s">
        <v>220</v>
      </c>
      <c r="N5" s="173" t="s">
        <v>172</v>
      </c>
      <c r="O5" s="277" t="s">
        <v>142</v>
      </c>
      <c r="P5" s="278"/>
    </row>
    <row r="6" spans="1:16" ht="18" x14ac:dyDescent="0.35">
      <c r="A6" s="172" t="s">
        <v>166</v>
      </c>
      <c r="B6" s="42">
        <v>1600</v>
      </c>
      <c r="C6" s="18"/>
      <c r="D6" s="18"/>
      <c r="E6" s="18"/>
      <c r="F6" s="18"/>
      <c r="G6" s="18"/>
      <c r="H6" s="29"/>
      <c r="I6" s="172" t="s">
        <v>166</v>
      </c>
      <c r="J6" s="42">
        <v>1600</v>
      </c>
      <c r="K6" s="18"/>
      <c r="L6" s="18"/>
      <c r="M6" s="18"/>
      <c r="N6" s="18"/>
      <c r="O6" s="18"/>
      <c r="P6" s="29"/>
    </row>
    <row r="7" spans="1:16" ht="18" x14ac:dyDescent="0.35">
      <c r="A7" s="172" t="s">
        <v>167</v>
      </c>
      <c r="B7" s="42">
        <v>1500</v>
      </c>
      <c r="C7" s="297" t="s">
        <v>171</v>
      </c>
      <c r="D7" s="298"/>
      <c r="E7" s="40">
        <v>4</v>
      </c>
      <c r="F7" s="18"/>
      <c r="G7" s="18"/>
      <c r="H7" s="29"/>
      <c r="I7" s="172" t="s">
        <v>167</v>
      </c>
      <c r="J7" s="42">
        <v>1500</v>
      </c>
      <c r="K7" s="297" t="s">
        <v>171</v>
      </c>
      <c r="L7" s="298"/>
      <c r="M7" s="40">
        <v>4</v>
      </c>
      <c r="N7" s="18"/>
      <c r="O7" s="18"/>
      <c r="P7" s="29"/>
    </row>
    <row r="8" spans="1:16" ht="18" x14ac:dyDescent="0.35">
      <c r="A8" s="172" t="s">
        <v>168</v>
      </c>
      <c r="B8" s="42">
        <v>1500</v>
      </c>
      <c r="C8" s="18"/>
      <c r="D8" s="18"/>
      <c r="E8" s="18"/>
      <c r="F8" s="18"/>
      <c r="G8" s="18"/>
      <c r="H8" s="29"/>
      <c r="I8" s="172" t="s">
        <v>168</v>
      </c>
      <c r="J8" s="42">
        <v>1500</v>
      </c>
      <c r="K8" s="18"/>
      <c r="L8" s="18"/>
      <c r="M8" s="18"/>
      <c r="N8" s="18"/>
      <c r="O8" s="18"/>
      <c r="P8" s="29"/>
    </row>
    <row r="9" spans="1:16" ht="18" x14ac:dyDescent="0.35">
      <c r="A9" s="172" t="s">
        <v>169</v>
      </c>
      <c r="B9" s="42">
        <v>1900</v>
      </c>
      <c r="C9" s="35"/>
      <c r="D9" s="173" t="s">
        <v>173</v>
      </c>
      <c r="E9" s="40" t="s">
        <v>301</v>
      </c>
      <c r="F9" s="18"/>
      <c r="G9" s="18"/>
      <c r="H9" s="29"/>
      <c r="I9" s="172" t="s">
        <v>169</v>
      </c>
      <c r="J9" s="42">
        <v>1900</v>
      </c>
      <c r="K9" s="35"/>
      <c r="L9" s="173" t="s">
        <v>173</v>
      </c>
      <c r="M9" s="40" t="s">
        <v>301</v>
      </c>
      <c r="N9" s="18"/>
      <c r="O9" s="18"/>
      <c r="P9" s="29"/>
    </row>
    <row r="10" spans="1:16" x14ac:dyDescent="0.25">
      <c r="A10" s="172"/>
      <c r="B10" s="18"/>
      <c r="C10" s="18"/>
      <c r="D10" s="18"/>
      <c r="E10" s="18"/>
      <c r="F10" s="18"/>
      <c r="G10" s="18"/>
      <c r="H10" s="29"/>
      <c r="I10" s="172"/>
      <c r="J10" s="18"/>
      <c r="K10" s="18"/>
      <c r="L10" s="18"/>
      <c r="M10" s="18"/>
      <c r="N10" s="18"/>
      <c r="O10" s="18"/>
      <c r="P10" s="29"/>
    </row>
    <row r="11" spans="1:16" x14ac:dyDescent="0.25">
      <c r="A11" s="28"/>
      <c r="B11" s="18"/>
      <c r="C11" s="18"/>
      <c r="D11" s="18"/>
      <c r="E11" s="18"/>
      <c r="F11" s="18"/>
      <c r="G11" s="18"/>
      <c r="H11" s="29"/>
      <c r="I11" s="28"/>
      <c r="J11" s="18"/>
      <c r="K11" s="18"/>
      <c r="L11" s="18"/>
      <c r="M11" s="18"/>
      <c r="N11" s="18"/>
      <c r="O11" s="18"/>
      <c r="P11" s="29"/>
    </row>
    <row r="12" spans="1:16" x14ac:dyDescent="0.25">
      <c r="A12" s="28"/>
      <c r="B12" s="18"/>
      <c r="C12" s="164" t="s">
        <v>8</v>
      </c>
      <c r="D12" s="164" t="s">
        <v>7</v>
      </c>
      <c r="E12" s="164" t="s">
        <v>9</v>
      </c>
      <c r="F12" s="164" t="s">
        <v>39</v>
      </c>
      <c r="G12" s="18"/>
      <c r="H12" s="29"/>
      <c r="I12" s="28"/>
      <c r="J12" s="18"/>
      <c r="K12" s="164" t="s">
        <v>8</v>
      </c>
      <c r="L12" s="164" t="s">
        <v>7</v>
      </c>
      <c r="M12" s="164" t="s">
        <v>9</v>
      </c>
      <c r="N12" s="164" t="s">
        <v>39</v>
      </c>
      <c r="O12" s="18"/>
      <c r="P12" s="29"/>
    </row>
    <row r="13" spans="1:16" x14ac:dyDescent="0.25">
      <c r="A13" s="264" t="s">
        <v>20</v>
      </c>
      <c r="B13" s="263"/>
      <c r="C13" s="21">
        <f>IF(E9="Signalized",IF(E7=2,LOOKUP(G5,Reference!$A$269:$A$275,Reference!$C$269:$C$275),IF(E7=3,LOOKUP(G5,Reference!$A$285:$A$291,Reference!$C$285:$C$291),IF(E7=4,LOOKUP(G5,Reference!$A$301:$A$307,Reference!$C$301:$C$307),IF(E7=5,LOOKUP(G5,Reference!$A$317:$A$323,Reference!$C$317:$C$323),LOOKUP(G5,Reference!$A$333:$A$339,Reference!$C$333:$C$339))))),IF(E5="Rural",LOOKUP(G5,Reference!$A$350:$A$356,Reference!$C$350:$C$356),LOOKUP(G5,Reference!$A$366:$A$372,Reference!$C$366:$C$372)))</f>
        <v>-1.748</v>
      </c>
      <c r="D13" s="21">
        <f>IF(E9="Signalized",IF(E7=2,LOOKUP(G5,Reference!$A$269:$A$275,Reference!$D$269:$D$275),IF(E7=3,LOOKUP(G5,Reference!$A$285:$A$291,Reference!$D$285:$D$291),IF(E7=4,LOOKUP(G5,Reference!$A$301:$A$307,Reference!$D$301:$D$307),IF(E7=5,LOOKUP(G5,Reference!$A$317:$A$323,Reference!$D$317:$D$323),LOOKUP(G5,Reference!$A$333:$A$339,Reference!$D$333:$D$339))))),IF(E5="Rural",LOOKUP(G5,Reference!$A$350:$A$356,Reference!$D$350:$D$356),LOOKUP(G5,Reference!$A$366:$A$372,Reference!$D$366:$D$372)))</f>
        <v>0.191</v>
      </c>
      <c r="E13" s="21">
        <f>IF(E9="Signalized",IF(E7=2,LOOKUP(G5,Reference!$A$269:$A$275,Reference!$E$269:$E$275),IF(E7=3,LOOKUP(G5,Reference!$A$285:$A$291,Reference!$E$285:$E$291),IF(E7=4,LOOKUP(G5,Reference!$A$301:$A$307,Reference!$E$301:$E$307),IF(E7=5,LOOKUP(G5,Reference!$A$317:$A$323,Reference!$E$317:$E$323),LOOKUP(G5,Reference!$A$333:$A$339,Reference!$E$333:$E$339))))),IF(E5="Rural",LOOKUP(G5,Reference!$A$350:$A$356,Reference!$E$350:$E$356),LOOKUP(G5,Reference!$A$366:$A$372,Reference!$E$366:$E$372)))</f>
        <v>1E-3</v>
      </c>
      <c r="F13" s="21">
        <f>IF(E9="Signalized",IF(E7=2,LOOKUP(G5,Reference!$A$269:$A$275,Reference!$F$269:$F$275),IF(E7=3,LOOKUP(G5,Reference!$A$285:$A$291,Reference!$F$285:$F$291),IF(E7=4,LOOKUP(G5,Reference!$A$301:$A$307,Reference!$F$301:$F$307),IF(E7=5,LOOKUP(G5,Reference!$A$317:$A$323,Reference!$F$317:$F$323),LOOKUP(G5,Reference!$A$333:$A$339,Reference!$F$333:$F$339))))),IF(E5="Rural",LOOKUP(G5,Reference!$A$350:$A$356,Reference!$F$350:$F$356),LOOKUP(G5,Reference!$A$366:$A$372,Reference!$F$366:$F$372)))</f>
        <v>0.13100000000000001</v>
      </c>
      <c r="G13" s="18"/>
      <c r="H13" s="29"/>
      <c r="I13" s="264" t="s">
        <v>20</v>
      </c>
      <c r="J13" s="263"/>
      <c r="K13" s="21">
        <f>IF(M9="Signalized",IF(M7=2,LOOKUP(O5,Reference!$A$269:$A$275,Reference!$C$269:$C$275),IF(M7=3,LOOKUP(O5,Reference!$A$285:$A$291,Reference!$C$285:$C$291),IF(M7=4,LOOKUP(O5,Reference!$A$301:$A$307,Reference!$C$301:$C$307),IF(M7=5,LOOKUP(O5,Reference!$A$317:$A$323,Reference!$C$317:$C$323),LOOKUP(O5,Reference!$A$333:$A$339,Reference!$C$333:$C$339))))),IF(M5="Rural",LOOKUP(O5,Reference!$A$350:$A$356,Reference!$C$350:$C$356),LOOKUP(O5,Reference!$A$366:$A$372,Reference!$C$366:$C$372)))</f>
        <v>-2.335</v>
      </c>
      <c r="L13" s="21">
        <f>IF(M9="Signalized",IF(M7=2,LOOKUP(O5,Reference!$A$269:$A$275,Reference!$D$269:$D$275),IF(M7=3,LOOKUP(O5,Reference!$A$285:$A$291,Reference!$D$285:$D$291),IF(M7=4,LOOKUP(O5,Reference!$A$301:$A$307,Reference!$D$301:$D$307),IF(M7=5,LOOKUP(O5,Reference!$A$317:$A$323,Reference!$D$317:$D$323),LOOKUP(O5,Reference!$A$333:$A$339,Reference!$D$333:$D$339))))),IF(M5="Rural",LOOKUP(O5,Reference!$A$350:$A$356,Reference!$D$350:$D$356),LOOKUP(O5,Reference!$A$366:$A$372,Reference!$D$366:$D$372)))</f>
        <v>1.1910000000000001</v>
      </c>
      <c r="M13" s="21">
        <f>IF(M9="Signalized",IF(M7=2,LOOKUP(O5,Reference!$A$269:$A$275,Reference!$E$269:$E$275),IF(M7=3,LOOKUP(O5,Reference!$A$285:$A$291,Reference!$E$285:$E$291),IF(M7=4,LOOKUP(O5,Reference!$A$301:$A$307,Reference!$E$301:$E$307),IF(M7=5,LOOKUP(O5,Reference!$A$317:$A$323,Reference!$E$317:$E$323),LOOKUP(O5,Reference!$A$333:$A$339,Reference!$E$333:$E$339))))),IF(M5="Rural",LOOKUP(O5,Reference!$A$350:$A$356,Reference!$E$350:$E$356),LOOKUP(O5,Reference!$A$366:$A$372,Reference!$E$366:$E$372)))</f>
        <v>1E-3</v>
      </c>
      <c r="N13" s="21">
        <f>IF(M9="Signalized",IF(M7=2,LOOKUP(O5,Reference!$A$269:$A$275,Reference!$F$269:$F$275),IF(M7=3,LOOKUP(O5,Reference!$A$285:$A$291,Reference!$F$285:$F$291),IF(M7=4,LOOKUP(O5,Reference!$A$301:$A$307,Reference!$F$301:$F$307),IF(M7=5,LOOKUP(O5,Reference!$A$317:$A$323,Reference!$F$317:$F$323),LOOKUP(O5,Reference!$A$333:$A$339,Reference!$F$333:$F$339))))),IF(M5="Rural",LOOKUP(O5,Reference!$A$350:$A$356,Reference!$F$350:$F$356),LOOKUP(O5,Reference!$A$366:$A$372,Reference!$F$366:$F$372)))</f>
        <v>0.13100000000000001</v>
      </c>
      <c r="O13" s="18"/>
      <c r="P13" s="29"/>
    </row>
    <row r="14" spans="1:16" x14ac:dyDescent="0.25">
      <c r="A14" s="264" t="s">
        <v>21</v>
      </c>
      <c r="B14" s="266"/>
      <c r="C14" s="21">
        <f>IF(E9="Signalized",IF(E7=2,LOOKUP(G5,Reference!$A$277:$A$283,Reference!$C$277:$C$283),IF(E7=3,LOOKUP(G5,Reference!$A$293:$A$299,Reference!$C$293:$C$299),IF(E7=4,LOOKUP(G5,Reference!$A$309:$A$315,Reference!$C$309:$C$315),IF(E7=5,LOOKUP(G5,Reference!$A$325:$A$331,Reference!$C$325:$C$331),LOOKUP(G5,Reference!$A$341:$A$347,Reference!$C$341:$C$347))))),IF(E5="Rural",LOOKUP(G5,Reference!$A$358:$A$364,Reference!$C$358:$C$364),LOOKUP(G5,Reference!$A$374:$A$380,Reference!$C$374:$C$380)))</f>
        <v>-2.7549999999999999</v>
      </c>
      <c r="D14" s="21">
        <f>IF(E9="Signalized",IF(E7=2,LOOKUP(G5,Reference!$A$277:$A$283,Reference!$D$277:$D$283),IF(E7=3,LOOKUP(G5,Reference!$A$293:$A$299,Reference!$D$293:$D$299),IF(E7=4,LOOKUP(G5,Reference!$A$309:$A$315,Reference!$D$309:$D$315),IF(E7=5,LOOKUP(G5,Reference!$A$325:$A$331,Reference!$D$325:$D$331),LOOKUP(G5,Reference!$A$341:$A$347,Reference!$D$341:$D$347))))),IF(E5="Rural",LOOKUP(G5,Reference!$A$358:$A$364,Reference!$D$358:$D$364),LOOKUP(G5,Reference!$A$374:$A$380,Reference!$D$374:$D$380)))</f>
        <v>0.74099999999999999</v>
      </c>
      <c r="E14" s="21">
        <f>IF(E9="Signalized",IF(E7=2,LOOKUP(G5,Reference!$A$277:$A$283,Reference!$E$277:$E$283),IF(E7=3,LOOKUP(G5,Reference!$A$293:$A$299,Reference!$E$293:$E$299),IF(E7=4,LOOKUP(G5,Reference!$A$309:$A$315,Reference!$E$309:$E$315),IF(E7=5,LOOKUP(G5,Reference!$A$325:$A$331,Reference!$E$325:$E$331),LOOKUP(G5,Reference!$A$341:$A$347,Reference!$E$341:$E$347))))),IF(E5="Rural",LOOKUP(G5,Reference!$A$358:$A$364,Reference!$E$358:$E$364),LOOKUP(G5,Reference!$A$374:$A$380,Reference!$E$374:$E$380)))</f>
        <v>1E-3</v>
      </c>
      <c r="F14" s="21">
        <f>IF(E9="Signalized",IF(E7=2,LOOKUP(G5,Reference!$A$277:$A$283,Reference!$F$277:$F$283),IF(E7=3,LOOKUP(G5,Reference!$A$293:$A$299,Reference!$F$293:$F$299),IF(E7=4,LOOKUP(G5,Reference!$A$309:$A$315,Reference!$F$309:$F$315),IF(E7=5,LOOKUP(G5,Reference!$A$325:$A$331,Reference!$F$325:$F$331),LOOKUP(G5,Reference!$A$341:$A$347,Reference!$F$341:$F$347))))),IF(E5="Rural",LOOKUP(G5,Reference!$A$358:$A$364,Reference!$F$358:$F$364),LOOKUP(G5,Reference!$A$374:$A$380,Reference!$F$374:$F$380)))</f>
        <v>0.84499999999999997</v>
      </c>
      <c r="G14" s="18"/>
      <c r="H14" s="29"/>
      <c r="I14" s="264" t="s">
        <v>21</v>
      </c>
      <c r="J14" s="266"/>
      <c r="K14" s="21">
        <f>IF(M9="Signalized",IF(M7=2,LOOKUP(O5,Reference!$A$277:$A$283,Reference!$C$277:$C$283),IF(M7=3,LOOKUP(O5,Reference!$A$293:$A$299,Reference!$C$293:$C$299),IF(M7=4,LOOKUP(O5,Reference!$A$309:$A$315,Reference!$C$309:$C$315),IF(M7=5,LOOKUP(O5,Reference!$A$325:$A$331,Reference!$C$325:$C$331),LOOKUP(O5,Reference!$A$341:$A$347,Reference!$C$341:$C$347))))),IF(M5="Rural",LOOKUP(O5,Reference!$A$358:$A$364,Reference!$C$358:$C$364),LOOKUP(O5,Reference!$A$374:$A$380,Reference!$C$374:$C$380)))</f>
        <v>-2.0720000000000001</v>
      </c>
      <c r="L14" s="21">
        <f>IF(M9="Signalized",IF(M7=2,LOOKUP(O5,Reference!$A$277:$A$283,Reference!$D$277:$D$283),IF(M7=3,LOOKUP(O5,Reference!$A$293:$A$299,Reference!$D$293:$D$299),IF(M7=4,LOOKUP(O5,Reference!$A$309:$A$315,Reference!$D$309:$D$315),IF(M7=5,LOOKUP(O5,Reference!$A$325:$A$331,Reference!$D$325:$D$331),LOOKUP(O5,Reference!$A$341:$A$347,Reference!$D$341:$D$347))))),IF(M5="Rural",LOOKUP(O5,Reference!$A$358:$A$364,Reference!$D$358:$D$364),LOOKUP(O5,Reference!$A$374:$A$380,Reference!$D$374:$D$380)))</f>
        <v>0.879</v>
      </c>
      <c r="M14" s="21">
        <f>IF(M9="Signalized",IF(M7=2,LOOKUP(O5,Reference!$A$277:$A$283,Reference!$E$277:$E$283),IF(M7=3,LOOKUP(O5,Reference!$A$293:$A$299,Reference!$E$293:$E$299),IF(M7=4,LOOKUP(O5,Reference!$A$309:$A$315,Reference!$E$309:$E$315),IF(M7=5,LOOKUP(O5,Reference!$A$325:$A$331,Reference!$E$325:$E$331),LOOKUP(O5,Reference!$A$341:$A$347,Reference!$E$341:$E$347))))),IF(M5="Rural",LOOKUP(O5,Reference!$A$358:$A$364,Reference!$E$358:$E$364),LOOKUP(O5,Reference!$A$374:$A$380,Reference!$E$374:$E$380)))</f>
        <v>1E-3</v>
      </c>
      <c r="N14" s="21">
        <f>IF(M9="Signalized",IF(M7=2,LOOKUP(O5,Reference!$A$277:$A$283,Reference!$F$277:$F$283),IF(M7=3,LOOKUP(O5,Reference!$A$293:$A$299,Reference!$F$293:$F$299),IF(M7=4,LOOKUP(O5,Reference!$A$309:$A$315,Reference!$F$309:$F$315),IF(M7=5,LOOKUP(O5,Reference!$A$325:$A$331,Reference!$F$325:$F$331),LOOKUP(O5,Reference!$A$341:$A$347,Reference!$F$341:$F$347))))),IF(M5="Rural",LOOKUP(O5,Reference!$A$358:$A$364,Reference!$F$358:$F$364),LOOKUP(O5,Reference!$A$374:$A$380,Reference!$F$374:$F$380)))</f>
        <v>0.54500000000000004</v>
      </c>
      <c r="O14" s="18"/>
      <c r="P14" s="29"/>
    </row>
    <row r="15" spans="1:16" x14ac:dyDescent="0.25">
      <c r="A15" s="28"/>
      <c r="B15" s="18"/>
      <c r="C15" s="18"/>
      <c r="D15" s="18"/>
      <c r="E15" s="18"/>
      <c r="F15" s="18"/>
      <c r="G15" s="18"/>
      <c r="H15" s="29"/>
      <c r="I15" s="28"/>
      <c r="J15" s="18"/>
      <c r="K15" s="18"/>
      <c r="L15" s="18"/>
      <c r="M15" s="18"/>
      <c r="N15" s="18"/>
      <c r="O15" s="18"/>
      <c r="P15" s="29"/>
    </row>
    <row r="16" spans="1:16" x14ac:dyDescent="0.25">
      <c r="A16" s="28"/>
      <c r="B16" s="18"/>
      <c r="C16" s="18"/>
      <c r="D16" s="18"/>
      <c r="E16" s="18"/>
      <c r="F16" s="18"/>
      <c r="G16" s="18"/>
      <c r="H16" s="29"/>
      <c r="I16" s="28"/>
      <c r="J16" s="18"/>
      <c r="K16" s="18"/>
      <c r="L16" s="18"/>
      <c r="M16" s="18"/>
      <c r="N16" s="18"/>
      <c r="O16" s="18"/>
      <c r="P16" s="29"/>
    </row>
    <row r="17" spans="1:16" x14ac:dyDescent="0.25">
      <c r="A17" s="264" t="s">
        <v>112</v>
      </c>
      <c r="B17" s="267"/>
      <c r="C17" s="56">
        <f>SUM(C18:C19)</f>
        <v>0.4686576101507442</v>
      </c>
      <c r="D17" s="18"/>
      <c r="E17" s="18"/>
      <c r="F17" s="18"/>
      <c r="G17" s="18"/>
      <c r="H17" s="29"/>
      <c r="I17" s="264" t="s">
        <v>112</v>
      </c>
      <c r="J17" s="267"/>
      <c r="K17" s="56">
        <f>SUM(K18:K19)</f>
        <v>0.58319190533779963</v>
      </c>
      <c r="L17" s="18"/>
      <c r="M17" s="18"/>
      <c r="N17" s="18"/>
      <c r="O17" s="18"/>
      <c r="P17" s="29"/>
    </row>
    <row r="18" spans="1:16" x14ac:dyDescent="0.25">
      <c r="A18" s="264" t="s">
        <v>113</v>
      </c>
      <c r="B18" s="267"/>
      <c r="C18" s="56">
        <f>EXP(C13+D13*LN(E13*B5)+F13*LN(E13*SUM(B6:B7)))</f>
        <v>0.22347933558363905</v>
      </c>
      <c r="D18" s="18"/>
      <c r="E18" s="18"/>
      <c r="F18" s="18"/>
      <c r="G18" s="18"/>
      <c r="H18" s="29"/>
      <c r="I18" s="264" t="s">
        <v>113</v>
      </c>
      <c r="J18" s="267"/>
      <c r="K18" s="56">
        <f>EXP(K13+L13*LN(M13*J5)+N13*LN(M13*SUM(J6:J7)))</f>
        <v>0.21122991876166836</v>
      </c>
      <c r="L18" s="18"/>
      <c r="M18" s="18"/>
      <c r="N18" s="18"/>
      <c r="O18" s="18"/>
      <c r="P18" s="29"/>
    </row>
    <row r="19" spans="1:16" x14ac:dyDescent="0.25">
      <c r="A19" s="264" t="s">
        <v>114</v>
      </c>
      <c r="B19" s="267"/>
      <c r="C19" s="56">
        <f>EXP(C14+D14*LN(E14*B5)+F14*LN(E14*SUM(B6:B7)))</f>
        <v>0.24517827456710514</v>
      </c>
      <c r="D19" s="18"/>
      <c r="E19" s="18"/>
      <c r="F19" s="18"/>
      <c r="G19" s="18"/>
      <c r="H19" s="29"/>
      <c r="I19" s="264" t="s">
        <v>114</v>
      </c>
      <c r="J19" s="267"/>
      <c r="K19" s="56">
        <f>EXP(K14+L14*LN(M14*J5)+N14*LN(M14*SUM(J6:J7)))</f>
        <v>0.37196198657613122</v>
      </c>
      <c r="L19" s="18"/>
      <c r="M19" s="18"/>
      <c r="N19" s="18"/>
      <c r="O19" s="18"/>
      <c r="P19" s="29"/>
    </row>
    <row r="20" spans="1:16" x14ac:dyDescent="0.25">
      <c r="A20" s="28"/>
      <c r="B20" s="18"/>
      <c r="C20" s="18"/>
      <c r="D20" s="18"/>
      <c r="E20" s="18"/>
      <c r="F20" s="18"/>
      <c r="G20" s="18"/>
      <c r="H20" s="29"/>
      <c r="I20" s="28"/>
      <c r="J20" s="18"/>
      <c r="K20" s="18"/>
      <c r="L20" s="18"/>
      <c r="M20" s="18"/>
      <c r="N20" s="18"/>
      <c r="O20" s="18"/>
      <c r="P20" s="29"/>
    </row>
    <row r="21" spans="1:16" x14ac:dyDescent="0.25">
      <c r="A21" s="28"/>
      <c r="B21" s="18"/>
      <c r="C21" s="18"/>
      <c r="D21" s="18"/>
      <c r="E21" s="18"/>
      <c r="F21" s="18"/>
      <c r="G21" s="18"/>
      <c r="H21" s="29"/>
      <c r="I21" s="28"/>
      <c r="J21" s="18"/>
      <c r="K21" s="18"/>
      <c r="L21" s="18"/>
      <c r="M21" s="18"/>
      <c r="N21" s="18"/>
      <c r="O21" s="18"/>
      <c r="P21" s="29"/>
    </row>
    <row r="22" spans="1:16" x14ac:dyDescent="0.25">
      <c r="A22" s="28"/>
      <c r="B22" s="18"/>
      <c r="C22" s="18"/>
      <c r="D22" s="18"/>
      <c r="E22" s="18"/>
      <c r="F22" s="89"/>
      <c r="G22" s="18"/>
      <c r="H22" s="29"/>
      <c r="I22" s="28"/>
      <c r="J22" s="18"/>
      <c r="K22" s="18"/>
      <c r="L22" s="18"/>
      <c r="M22" s="18"/>
      <c r="N22" s="89"/>
      <c r="O22" s="18"/>
      <c r="P22" s="29"/>
    </row>
    <row r="23" spans="1:16" x14ac:dyDescent="0.25">
      <c r="A23" s="28"/>
      <c r="B23" s="18"/>
      <c r="C23" s="18"/>
      <c r="D23" s="18"/>
      <c r="E23" s="18"/>
      <c r="F23" s="18"/>
      <c r="G23" s="18"/>
      <c r="H23" s="29"/>
      <c r="I23" s="28"/>
      <c r="J23" s="18"/>
      <c r="K23" s="18"/>
      <c r="L23" s="18"/>
      <c r="M23" s="18"/>
      <c r="N23" s="18"/>
      <c r="O23" s="18"/>
      <c r="P23" s="29"/>
    </row>
    <row r="24" spans="1:16" x14ac:dyDescent="0.25">
      <c r="A24" s="28"/>
      <c r="B24" s="18"/>
      <c r="C24" s="18"/>
      <c r="D24" s="18"/>
      <c r="E24" s="18"/>
      <c r="F24" s="18"/>
      <c r="G24" s="18"/>
      <c r="H24" s="29"/>
      <c r="I24" s="28"/>
      <c r="J24" s="18"/>
      <c r="K24" s="18"/>
      <c r="L24" s="18"/>
      <c r="M24" s="18"/>
      <c r="N24" s="18"/>
      <c r="O24" s="18"/>
      <c r="P24" s="29"/>
    </row>
    <row r="25" spans="1:16" x14ac:dyDescent="0.25">
      <c r="A25" s="28"/>
      <c r="B25" s="18"/>
      <c r="C25" s="18"/>
      <c r="D25" s="18"/>
      <c r="E25" s="18"/>
      <c r="F25" s="18"/>
      <c r="G25" s="18"/>
      <c r="H25" s="29"/>
      <c r="I25" s="28"/>
      <c r="J25" s="18"/>
      <c r="K25" s="18"/>
      <c r="L25" s="18"/>
      <c r="M25" s="18"/>
      <c r="N25" s="18"/>
      <c r="O25" s="18"/>
      <c r="P25" s="29"/>
    </row>
    <row r="26" spans="1:16" x14ac:dyDescent="0.25">
      <c r="A26" s="28"/>
      <c r="B26" s="18"/>
      <c r="C26" s="18"/>
      <c r="D26" s="18"/>
      <c r="E26" s="18"/>
      <c r="F26" s="18"/>
      <c r="G26" s="18"/>
      <c r="H26" s="29"/>
      <c r="I26" s="28"/>
      <c r="J26" s="18"/>
      <c r="K26" s="18"/>
      <c r="L26" s="18"/>
      <c r="M26" s="18"/>
      <c r="N26" s="18"/>
      <c r="O26" s="18"/>
      <c r="P26" s="29"/>
    </row>
    <row r="27" spans="1:16" x14ac:dyDescent="0.25">
      <c r="A27" s="28"/>
      <c r="B27" s="18"/>
      <c r="C27" s="18"/>
      <c r="D27" s="18"/>
      <c r="E27" s="18"/>
      <c r="F27" s="18"/>
      <c r="G27" s="18"/>
      <c r="H27" s="29"/>
      <c r="I27" s="28"/>
      <c r="J27" s="18"/>
      <c r="K27" s="18"/>
      <c r="L27" s="18"/>
      <c r="M27" s="18"/>
      <c r="N27" s="18"/>
      <c r="O27" s="18"/>
      <c r="P27" s="29"/>
    </row>
    <row r="28" spans="1:16" x14ac:dyDescent="0.25">
      <c r="A28" s="28"/>
      <c r="B28" s="18"/>
      <c r="C28" s="18"/>
      <c r="D28" s="18"/>
      <c r="E28" s="18"/>
      <c r="F28" s="18"/>
      <c r="G28" s="18"/>
      <c r="H28" s="29"/>
      <c r="I28" s="28"/>
      <c r="J28" s="18"/>
      <c r="K28" s="18"/>
      <c r="L28" s="18"/>
      <c r="M28" s="18"/>
      <c r="N28" s="18"/>
      <c r="O28" s="18"/>
      <c r="P28" s="29"/>
    </row>
    <row r="29" spans="1:16" x14ac:dyDescent="0.25">
      <c r="A29" s="35"/>
      <c r="B29" s="273" t="s">
        <v>46</v>
      </c>
      <c r="C29" s="273"/>
      <c r="D29" s="273"/>
      <c r="E29" s="273"/>
      <c r="F29" s="273"/>
      <c r="G29" s="164" t="s">
        <v>20</v>
      </c>
      <c r="H29" s="36" t="s">
        <v>21</v>
      </c>
      <c r="I29" s="35"/>
      <c r="J29" s="273" t="s">
        <v>46</v>
      </c>
      <c r="K29" s="273"/>
      <c r="L29" s="273"/>
      <c r="M29" s="273"/>
      <c r="N29" s="273"/>
      <c r="O29" s="164" t="s">
        <v>20</v>
      </c>
      <c r="P29" s="36" t="s">
        <v>21</v>
      </c>
    </row>
    <row r="30" spans="1:16" x14ac:dyDescent="0.25">
      <c r="A30" s="166">
        <v>10</v>
      </c>
      <c r="B30" s="289" t="s">
        <v>175</v>
      </c>
      <c r="C30" s="290"/>
      <c r="D30" s="291"/>
      <c r="E30" s="125">
        <v>1</v>
      </c>
      <c r="F30" s="171" t="s">
        <v>349</v>
      </c>
      <c r="G30" s="60">
        <f>(1-(B6/SUM(B6:B9)))+(B6/SUM(B6:B9))*EXP(IF(E9="Signalized",0.0668,0.151)*(0.001*B6)/IF(F30="Merge/Freeflow",0.5*(E30-1)+1,0.5*E30))</f>
        <v>1.0277663287093155</v>
      </c>
      <c r="H30" s="61">
        <f>(1-(B6/SUM(B6:B9)))+(B6/SUM(B6:B9))*EXP(IF(E9="Signalized",0.0668,0.151)*(0.001*B6)/IF(F30="Merge/Freeflow",0.5*(E30-1)+1,0.5*E30))</f>
        <v>1.0277663287093155</v>
      </c>
      <c r="I30" s="166">
        <v>10</v>
      </c>
      <c r="J30" s="289" t="s">
        <v>175</v>
      </c>
      <c r="K30" s="290"/>
      <c r="L30" s="291"/>
      <c r="M30" s="125">
        <v>1</v>
      </c>
      <c r="N30" s="171" t="s">
        <v>349</v>
      </c>
      <c r="O30" s="60">
        <f>(1-(J6/SUM(J6:J9)))+(J6/SUM(J6:J9))*EXP(IF(M9="Signalized",0.0668,0.151)*(0.001*J6)/IF(N30="Merge/Freeflow",0.5*(M30-1)+1,0.5*M30))</f>
        <v>1.0277663287093155</v>
      </c>
      <c r="P30" s="61">
        <f>(1-(J6/SUM(J6:J9)))+(J6/SUM(J6:J9))*EXP(IF(M9="Signalized",0.0668,0.151)*(0.001*J6)/IF(N30="Merge/Freeflow",0.5*(M30-1)+1,0.5*M30))</f>
        <v>1.0277663287093155</v>
      </c>
    </row>
    <row r="31" spans="1:16" x14ac:dyDescent="0.25">
      <c r="A31" s="299">
        <v>11</v>
      </c>
      <c r="B31" s="268" t="s">
        <v>178</v>
      </c>
      <c r="C31" s="268"/>
      <c r="D31" s="268"/>
      <c r="E31" s="268"/>
      <c r="F31" s="171" t="s">
        <v>132</v>
      </c>
      <c r="G31" s="60">
        <f>IF(F31="Present",(1-(B8/SUM(B6:B9)))+(B8/SUM(B6:B9))*IF(E9="Signalized",IF(E5="Rural",0.44,0.65),IF(E5="Rural",0.36,0.59)),1)</f>
        <v>0.91923076923076918</v>
      </c>
      <c r="H31" s="61">
        <f>IF(F31="Present",(1-(B8/SUM(B6:B9)))+(B8/SUM(B6:B9))*IF(E9="Signalized",IF(E5="Rural",0.66,0.68),IF(E5="Rural",0.55,0.58)),1)</f>
        <v>0.92615384615384611</v>
      </c>
      <c r="I31" s="299">
        <v>11</v>
      </c>
      <c r="J31" s="268" t="s">
        <v>178</v>
      </c>
      <c r="K31" s="268"/>
      <c r="L31" s="268"/>
      <c r="M31" s="268"/>
      <c r="N31" s="171" t="s">
        <v>132</v>
      </c>
      <c r="O31" s="60">
        <f>IF(N31="Present",(1-(J8/SUM(J6:J9)))+(J8/SUM(J6:J9))*IF(M9="Signalized",IF(M5="Rural",0.44,0.65),IF(M5="Rural",0.36,0.59)),1)</f>
        <v>0.91923076923076918</v>
      </c>
      <c r="P31" s="61">
        <f>IF(N31="Present",(1-(J8/SUM(J6:J9)))+(J8/SUM(J6:J9))*IF(M9="Signalized",IF(M5="Rural",0.66,0.68),IF(M5="Rural",0.55,0.58)),1)</f>
        <v>0.92615384615384611</v>
      </c>
    </row>
    <row r="32" spans="1:16" x14ac:dyDescent="0.25">
      <c r="A32" s="299"/>
      <c r="B32" s="268" t="s">
        <v>177</v>
      </c>
      <c r="C32" s="268"/>
      <c r="D32" s="268"/>
      <c r="E32" s="268"/>
      <c r="F32" s="171" t="s">
        <v>133</v>
      </c>
      <c r="G32" s="60">
        <f>IF(F32="Present",(1-(B9/SUM(B6:B9)))+(B9/SUM(B6:B9))*IF(E9="Signalized",IF(E5="Rural",0.44,0.65),IF(E5="Rural",0.36,0.59)),1)</f>
        <v>1</v>
      </c>
      <c r="H32" s="61">
        <f>IF(F32="Present",(1-(B9/SUM(B6:B9)))+(B9/SUM(B6:B9))*IF(E9="Signalized",IF(E5="Rural",0.66,0.68),IF(E5="Rural",0.55,0.58)),1)</f>
        <v>1</v>
      </c>
      <c r="I32" s="299"/>
      <c r="J32" s="268" t="s">
        <v>177</v>
      </c>
      <c r="K32" s="268"/>
      <c r="L32" s="268"/>
      <c r="M32" s="268"/>
      <c r="N32" s="171" t="s">
        <v>133</v>
      </c>
      <c r="O32" s="60">
        <f>IF(N32="Present",(1-(J9/SUM(J6:J9)))+(J9/SUM(J6:J9))*IF(M9="Signalized",IF(M5="Rural",0.44,0.65),IF(M5="Rural",0.36,0.59)),1)</f>
        <v>1</v>
      </c>
      <c r="P32" s="61">
        <f>IF(N32="Present",(1-(J9/SUM(J6:J9)))+(J9/SUM(J6:J9))*IF(M9="Signalized",IF(M5="Rural",0.66,0.68),IF(M5="Rural",0.55,0.58)),1)</f>
        <v>1</v>
      </c>
    </row>
    <row r="33" spans="1:16" x14ac:dyDescent="0.25">
      <c r="A33" s="299">
        <v>12</v>
      </c>
      <c r="B33" s="268" t="s">
        <v>221</v>
      </c>
      <c r="C33" s="268"/>
      <c r="D33" s="268"/>
      <c r="E33" s="268"/>
      <c r="F33" s="171" t="s">
        <v>133</v>
      </c>
      <c r="G33" s="60">
        <f>IF(F33="Present",(1-(B8/SUM(B6:B9)))+(B8/SUM(B6:B9))*IF(E9="Signalized",IF(E5="Rural",0.59,0.76),IF(E5="Rural",0.76,0.87)),1)</f>
        <v>1</v>
      </c>
      <c r="H33" s="61">
        <f>IF(F33="Present",(1-(B8/SUM(B6:B9)))+(B8/SUM(B6:B9))*IF(E9="Signalized",IF(E5="Rural",0.97,0.94),IF(E5="Rural",0.63,0.69)),1)</f>
        <v>1</v>
      </c>
      <c r="I33" s="299">
        <v>12</v>
      </c>
      <c r="J33" s="268" t="s">
        <v>221</v>
      </c>
      <c r="K33" s="268"/>
      <c r="L33" s="268"/>
      <c r="M33" s="268"/>
      <c r="N33" s="171" t="s">
        <v>133</v>
      </c>
      <c r="O33" s="60">
        <f>IF(N33="Present",(1-(J8/SUM(J6:J9)))+(J8/SUM(J6:J9))*IF(M9="Signalized",IF(M5="Rural",0.59,0.76),IF(M5="Rural",0.76,0.87)),1)</f>
        <v>1</v>
      </c>
      <c r="P33" s="61">
        <f>IF(N33="Present",(1-(J8/SUM(J6:J9)))+(J8/SUM(J6:J9))*IF(M9="Signalized",IF(M5="Rural",0.97,0.94),IF(M5="Rural",0.63,0.69)),1)</f>
        <v>1</v>
      </c>
    </row>
    <row r="34" spans="1:16" x14ac:dyDescent="0.25">
      <c r="A34" s="299"/>
      <c r="B34" s="268" t="s">
        <v>179</v>
      </c>
      <c r="C34" s="268"/>
      <c r="D34" s="268"/>
      <c r="E34" s="268"/>
      <c r="F34" s="171" t="s">
        <v>132</v>
      </c>
      <c r="G34" s="60">
        <f>IF(F34="Present",(1-(B9/SUM(B6:B9)))+(B9/SUM(B6:B9))*IF(E9="Signalized",IF(E5="Rural",0.59,0.76),IF(E5="Rural",0.76,0.87)),1)</f>
        <v>0.92984615384615377</v>
      </c>
      <c r="H34" s="61">
        <f>IF(F34="Present",(1-(B9/SUM(B6:B9)))+(B9/SUM(B6:B9))*IF(E9="Signalized",IF(E5="Rural",0.97,0.94),IF(E5="Rural",0.63,0.69)),1)</f>
        <v>0.98246153846153839</v>
      </c>
      <c r="I34" s="299"/>
      <c r="J34" s="268" t="s">
        <v>179</v>
      </c>
      <c r="K34" s="268"/>
      <c r="L34" s="268"/>
      <c r="M34" s="268"/>
      <c r="N34" s="171" t="s">
        <v>132</v>
      </c>
      <c r="O34" s="60">
        <f>IF(N34="Present",(1-(J9/SUM(J6:J9)))+(J9/SUM(J6:J9))*IF(M9="Signalized",IF(M5="Rural",0.59,0.76),IF(M5="Rural",0.76,0.87)),1)</f>
        <v>0.92984615384615377</v>
      </c>
      <c r="P34" s="61">
        <f>IF(N34="Present",(1-(J9/SUM(J6:J9)))+(J9/SUM(J6:J9))*IF(M9="Signalized",IF(M5="Rural",0.97,0.94),IF(M5="Rural",0.63,0.69)),1)</f>
        <v>0.98246153846153839</v>
      </c>
    </row>
    <row r="35" spans="1:16" x14ac:dyDescent="0.25">
      <c r="A35" s="166">
        <v>13</v>
      </c>
      <c r="B35" s="268" t="s">
        <v>180</v>
      </c>
      <c r="C35" s="268"/>
      <c r="D35" s="268"/>
      <c r="E35" s="126">
        <v>0</v>
      </c>
      <c r="F35" s="67">
        <v>0</v>
      </c>
      <c r="G35" s="60">
        <f>(1-(B9/SUM(B6:B9)))+(B9/SUM(B6:B9))*EXP(IF(E9="Signalized",0.158,0)*E35+IF(E9="Signalized",0.158,0.522)*F35)</f>
        <v>1</v>
      </c>
      <c r="H35" s="61">
        <f>(1-(B9/SUM(B6:B9)))+(B9/SUM(B6:B9))*EXP(IF(E9="Signalized",0.203,0)*E35+IF(E9="Signalized",0.203,0)*F35)</f>
        <v>1</v>
      </c>
      <c r="I35" s="166">
        <v>13</v>
      </c>
      <c r="J35" s="268" t="s">
        <v>180</v>
      </c>
      <c r="K35" s="268"/>
      <c r="L35" s="268"/>
      <c r="M35" s="126">
        <v>0</v>
      </c>
      <c r="N35" s="67">
        <v>0</v>
      </c>
      <c r="O35" s="60">
        <f>(1-(J9/SUM(J6:J9)))+(J9/SUM(J6:J9))*EXP(IF(M9="Signalized",0.158,0)*M35+IF(M9="Signalized",0.158,0.522)*N35)</f>
        <v>1</v>
      </c>
      <c r="P35" s="61">
        <f>(1-(J9/SUM(J6:J9)))+(J9/SUM(J6:J9))*EXP(IF(M9="Signalized",0.203,0)*M35+IF(M9="Signalized",0.203,0)*N35)</f>
        <v>1</v>
      </c>
    </row>
    <row r="36" spans="1:16" x14ac:dyDescent="0.25">
      <c r="A36" s="58">
        <v>14</v>
      </c>
      <c r="B36" s="268" t="s">
        <v>181</v>
      </c>
      <c r="C36" s="268"/>
      <c r="D36" s="268"/>
      <c r="E36" s="144">
        <f>1700/5280</f>
        <v>0.32196969696969696</v>
      </c>
      <c r="F36" s="136">
        <v>1</v>
      </c>
      <c r="G36" s="60">
        <f>EXP(IF(E9="Signalized",-0.0185,-0.0141)*((1/E36)+(1/F36)-0.333))</f>
        <v>0.93258188076383275</v>
      </c>
      <c r="H36" s="61">
        <f>EXP(IF(E9="Signalized",-0.0186,0)*((1/E36)+(1/F36)-0.33))</f>
        <v>0.93217807797025676</v>
      </c>
      <c r="I36" s="58">
        <v>14</v>
      </c>
      <c r="J36" s="268" t="s">
        <v>181</v>
      </c>
      <c r="K36" s="268"/>
      <c r="L36" s="268"/>
      <c r="M36" s="144">
        <f>1700/5280</f>
        <v>0.32196969696969696</v>
      </c>
      <c r="N36" s="136">
        <v>1</v>
      </c>
      <c r="O36" s="60">
        <f>EXP(IF(M9="Signalized",-0.0185,-0.0141)*((1/M36)+(1/N36)-0.333))</f>
        <v>0.93258188076383275</v>
      </c>
      <c r="P36" s="61">
        <f>EXP(IF(M9="Signalized",-0.0186,0)*((1/M36)+(1/N36)-0.33))</f>
        <v>0.93217807797025676</v>
      </c>
    </row>
    <row r="37" spans="1:16" x14ac:dyDescent="0.25">
      <c r="A37" s="299">
        <v>15</v>
      </c>
      <c r="B37" s="268" t="s">
        <v>183</v>
      </c>
      <c r="C37" s="268"/>
      <c r="D37" s="268"/>
      <c r="E37" s="80">
        <v>4</v>
      </c>
      <c r="F37" s="127">
        <v>12</v>
      </c>
      <c r="G37" s="60">
        <f>(1-(B8/SUM(B6:B9)))+(B8/SUM(B6:B9))*EXP(IF(E9="Signalized",0.0287+(-0.00074)*0.001*B8,-0.00322+(0.00354)*0.001*B8)*MAX(0,E37-MAX(12,F37)))</f>
        <v>1</v>
      </c>
      <c r="H37" s="61">
        <f>IF(E9="Signalized",(1-(B8/SUM(B6:B9)))+(B8/SUM(B6:B9))*EXP((0.061+(-0.00246)*0.001*B8)*MAX(0,E37-MAX(12,F37))),1)</f>
        <v>1</v>
      </c>
      <c r="I37" s="299">
        <v>15</v>
      </c>
      <c r="J37" s="268" t="s">
        <v>183</v>
      </c>
      <c r="K37" s="268"/>
      <c r="L37" s="268"/>
      <c r="M37" s="80">
        <v>4</v>
      </c>
      <c r="N37" s="127">
        <v>12</v>
      </c>
      <c r="O37" s="60">
        <f>(1-(J8/SUM(J6:J9)))+(J8/SUM(J6:J9))*EXP(IF(M9="Signalized",0.0287+(-0.00074)*0.001*J8,-0.00322+(0.00354)*0.001*J8)*MAX(0,M37-MAX(12,N37)))</f>
        <v>1</v>
      </c>
      <c r="P37" s="61">
        <f>IF(M9="Signalized",(1-(J8/SUM(J6:J9)))+(J8/SUM(J6:J9))*EXP((0.061+(-0.00246)*0.001*J8)*MAX(0,M37-MAX(12,N37))),1)</f>
        <v>1</v>
      </c>
    </row>
    <row r="38" spans="1:16" x14ac:dyDescent="0.25">
      <c r="A38" s="299"/>
      <c r="B38" s="268" t="s">
        <v>182</v>
      </c>
      <c r="C38" s="268"/>
      <c r="D38" s="268"/>
      <c r="E38" s="80">
        <v>22</v>
      </c>
      <c r="F38" s="127">
        <v>12</v>
      </c>
      <c r="G38" s="60">
        <f>(1-(B9/SUM(B6:B9)))+(B9/SUM(B6:B9))*EXP(IF(E9="Signalized",0.0287+(-0.00074)*0.001*B9,-0.00322+(0.00354)*0.001*B9)*MAX(0,E38-MAX(12,F38)))</f>
        <v>1.0917324130819297</v>
      </c>
      <c r="H38" s="61">
        <f>IF(E9="Signalized",(1-(B9/SUM(B6:B9)))+(B9/SUM(B6:B9))*EXP((0.061+(-0.00246)*0.001*B9)*MAX(0,E38-MAX(12,F38))),1)</f>
        <v>1.2210983246810498</v>
      </c>
      <c r="I38" s="299"/>
      <c r="J38" s="268" t="s">
        <v>182</v>
      </c>
      <c r="K38" s="268"/>
      <c r="L38" s="268"/>
      <c r="M38" s="80">
        <v>22</v>
      </c>
      <c r="N38" s="127">
        <v>12</v>
      </c>
      <c r="O38" s="60">
        <f>(1-(J9/SUM(J6:J9)))+(J9/SUM(J6:J9))*EXP(IF(M9="Signalized",0.0287+(-0.00074)*0.001*J9,-0.00322+(0.00354)*0.001*J9)*MAX(0,M38-MAX(12,N38)))</f>
        <v>1.0917324130819297</v>
      </c>
      <c r="P38" s="61">
        <f>IF(M9="Signalized",(1-(J9/SUM(J6:J9)))+(J9/SUM(J6:J9))*EXP((0.061+(-0.00246)*0.001*J9)*MAX(0,M38-MAX(12,N38))),1)</f>
        <v>1.2210983246810498</v>
      </c>
    </row>
    <row r="39" spans="1:16" x14ac:dyDescent="0.25">
      <c r="A39" s="299">
        <v>16</v>
      </c>
      <c r="B39" s="165" t="s">
        <v>184</v>
      </c>
      <c r="C39" s="165"/>
      <c r="D39" s="165"/>
      <c r="E39" s="128">
        <v>2</v>
      </c>
      <c r="F39" s="127" t="s">
        <v>186</v>
      </c>
      <c r="G39" s="60">
        <f>IF(E9="Signalized",IF(F39="Protected Only",(1-(SUM(B8:B9)/SUM(B6:B9)))+(SUM(B8:B9)/SUM(B6:B9))*EXP(-0.363*E39),1),1)</f>
        <v>0.73000886984479529</v>
      </c>
      <c r="H39" s="61">
        <f>IF(E9="Signalized",IF(F39="Protected Only",(1-(SUM(B8:B9)/SUM(B6:B9)))+(SUM(B8:B9)/SUM(B6:B9))*EXP(-0.223*E39),1),1)</f>
        <v>0.81178843461686157</v>
      </c>
      <c r="I39" s="299">
        <v>16</v>
      </c>
      <c r="J39" s="165" t="s">
        <v>184</v>
      </c>
      <c r="K39" s="165"/>
      <c r="L39" s="165"/>
      <c r="M39" s="128">
        <v>2</v>
      </c>
      <c r="N39" s="127" t="s">
        <v>186</v>
      </c>
      <c r="O39" s="60">
        <f>IF(M9="Signalized",IF(N39="Protected Only",(1-(SUM(J8:J9)/SUM(J6:J9)))+(SUM(J8:J9)/SUM(J6:J9))*EXP(-0.363*M39),1),1)</f>
        <v>0.73000886984479529</v>
      </c>
      <c r="P39" s="61">
        <f>IF(M9="Signalized",IF(N39="Protected Only",(1-(SUM(J8:J9)/SUM(J6:J9)))+(SUM(J8:J9)/SUM(J6:J9))*EXP(-0.223*M39),1),1)</f>
        <v>0.81178843461686157</v>
      </c>
    </row>
    <row r="40" spans="1:16" x14ac:dyDescent="0.25">
      <c r="A40" s="299"/>
      <c r="B40" s="165" t="s">
        <v>185</v>
      </c>
      <c r="C40" s="165"/>
      <c r="D40" s="165"/>
      <c r="E40" s="128">
        <v>2</v>
      </c>
      <c r="F40" s="127" t="s">
        <v>129</v>
      </c>
      <c r="G40" s="60">
        <f>IF(E9="Signalized",IF(F40="Protected Only",(1-(SUM(B8:B9)/SUM(B6:B9)))+(SUM(B8:B9)/SUM(B6:B9))*EXP(-0.363*E40),1),1)</f>
        <v>1</v>
      </c>
      <c r="H40" s="61">
        <f>IF(E9="Signalized",IF(F40="Protected Only",(1-(SUM(B8:B9)/SUM(B6:B9)))+(SUM(B8:B9)/SUM(B6:B9))*EXP(-0.223*E40),1),1)</f>
        <v>1</v>
      </c>
      <c r="I40" s="299"/>
      <c r="J40" s="165" t="s">
        <v>185</v>
      </c>
      <c r="K40" s="165"/>
      <c r="L40" s="165"/>
      <c r="M40" s="128">
        <v>2</v>
      </c>
      <c r="N40" s="127" t="s">
        <v>129</v>
      </c>
      <c r="O40" s="60">
        <f>IF(M9="Signalized",IF(N40="Protected Only",(1-(SUM(J8:J9)/SUM(J6:J9)))+(SUM(J8:J9)/SUM(J6:J9))*EXP(-0.363*M40),1),1)</f>
        <v>1</v>
      </c>
      <c r="P40" s="61">
        <f>IF(M9="Signalized",IF(N40="Protected Only",(1-(SUM(J8:J9)/SUM(J6:J9)))+(SUM(J8:J9)/SUM(J6:J9))*EXP(-0.223*M40),1),1)</f>
        <v>1</v>
      </c>
    </row>
    <row r="41" spans="1:16" x14ac:dyDescent="0.25">
      <c r="A41" s="299">
        <v>17</v>
      </c>
      <c r="B41" s="268" t="s">
        <v>187</v>
      </c>
      <c r="C41" s="268"/>
      <c r="D41" s="268"/>
      <c r="E41" s="268"/>
      <c r="F41" s="127" t="s">
        <v>302</v>
      </c>
      <c r="G41" s="60">
        <f>IF(E9="Signalized",IF(F41="Channelized",(1-B8/SUM(B6:B9))+B8/SUM(B6:B9)*EXP(0.466),1),1)</f>
        <v>1</v>
      </c>
      <c r="H41" s="61">
        <f>IF(E9="Signalized",IF(F41="Channelized",(1-B8/SUM(B6:B9))+B8/SUM(B6:B9)*EXP(0.465),1),1)</f>
        <v>1</v>
      </c>
      <c r="I41" s="299">
        <v>17</v>
      </c>
      <c r="J41" s="268" t="s">
        <v>187</v>
      </c>
      <c r="K41" s="268"/>
      <c r="L41" s="268"/>
      <c r="M41" s="268"/>
      <c r="N41" s="127" t="s">
        <v>302</v>
      </c>
      <c r="O41" s="60">
        <f>IF(M9="Signalized",IF(N41="Channelized",(1-J8/SUM(J6:J9))+J8/SUM(J6:J9)*EXP(0.466),1),1)</f>
        <v>1</v>
      </c>
      <c r="P41" s="61">
        <f>IF(M9="Signalized",IF(N41="Channelized",(1-J8/SUM(J6:J9))+J8/SUM(J6:J9)*EXP(0.465),1),1)</f>
        <v>1</v>
      </c>
    </row>
    <row r="42" spans="1:16" x14ac:dyDescent="0.25">
      <c r="A42" s="299"/>
      <c r="B42" s="268" t="s">
        <v>189</v>
      </c>
      <c r="C42" s="268"/>
      <c r="D42" s="268"/>
      <c r="E42" s="268"/>
      <c r="F42" s="127" t="s">
        <v>188</v>
      </c>
      <c r="G42" s="60">
        <f>IF(E9="Signalized",IF(F42="Channelized",(1-B9/SUM(B6:B9))+B9/SUM(B6:B9)*EXP(0.466),1),1)</f>
        <v>1.1735158921172493</v>
      </c>
      <c r="H42" s="61">
        <f>IF(E9="Signalized",IF(F42="Channelized",(1-B9/SUM(B6:B9))+B9/SUM(B6:B9)*EXP(0.465),1),1)</f>
        <v>1.1730503013669988</v>
      </c>
      <c r="I42" s="299"/>
      <c r="J42" s="268" t="s">
        <v>189</v>
      </c>
      <c r="K42" s="268"/>
      <c r="L42" s="268"/>
      <c r="M42" s="268"/>
      <c r="N42" s="127" t="s">
        <v>188</v>
      </c>
      <c r="O42" s="60">
        <f>IF(M9="Signalized",IF(N42="Channelized",(1-J9/SUM(J6:J9))+J9/SUM(J6:J9)*EXP(0.466),1),1)</f>
        <v>1.1735158921172493</v>
      </c>
      <c r="P42" s="61">
        <f>IF(M9="Signalized",IF(N42="Channelized",(1-J9/SUM(J6:J9))+J9/SUM(J6:J9)*EXP(0.465),1),1)</f>
        <v>1.1730503013669988</v>
      </c>
    </row>
    <row r="43" spans="1:16" x14ac:dyDescent="0.25">
      <c r="A43" s="58">
        <v>18</v>
      </c>
      <c r="B43" s="268" t="s">
        <v>190</v>
      </c>
      <c r="C43" s="268"/>
      <c r="D43" s="268"/>
      <c r="E43" s="268"/>
      <c r="F43" s="127" t="s">
        <v>188</v>
      </c>
      <c r="G43" s="60">
        <f>IF(E9="Signalized",IF(F43="Channelized",(1-B6/SUM(B6:B9))+B6/SUM(B6:B9)*EXP(0.992),1),1)</f>
        <v>1.417630111348434</v>
      </c>
      <c r="H43" s="61">
        <f>IF(E9="Signalized",IF(F43="Channelized",(1-B6/SUM(B6:B9))+B6/SUM(B6:B9)*EXP(1.429),1),1)</f>
        <v>1.781420943110066</v>
      </c>
      <c r="I43" s="58">
        <v>18</v>
      </c>
      <c r="J43" s="268" t="s">
        <v>190</v>
      </c>
      <c r="K43" s="268"/>
      <c r="L43" s="268"/>
      <c r="M43" s="268"/>
      <c r="N43" s="127" t="s">
        <v>188</v>
      </c>
      <c r="O43" s="60">
        <f>IF(M9="Signalized",IF(N43="Channelized",(1-J6/SUM(J6:J9))+J6/SUM(J6:J9)*EXP(0.992),1),1)</f>
        <v>1.417630111348434</v>
      </c>
      <c r="P43" s="61">
        <f>IF(M9="Signalized",IF(N43="Channelized",(1-J6/SUM(J6:J9))+J6/SUM(J6:J9)*EXP(1.429),1),1)</f>
        <v>1.781420943110066</v>
      </c>
    </row>
    <row r="44" spans="1:16" x14ac:dyDescent="0.25">
      <c r="A44" s="58">
        <v>19</v>
      </c>
      <c r="B44" s="268" t="s">
        <v>191</v>
      </c>
      <c r="C44" s="268"/>
      <c r="D44" s="268"/>
      <c r="E44" s="268"/>
      <c r="F44" s="171" t="s">
        <v>133</v>
      </c>
      <c r="G44" s="60">
        <f>IF(E9="signalized",IF(F44="Present",EXP(0.592),1),1)</f>
        <v>1</v>
      </c>
      <c r="H44" s="61">
        <f>IF(E9="signalized",IF(F44="Present",EXP(0.52),1),1)</f>
        <v>1</v>
      </c>
      <c r="I44" s="58">
        <v>19</v>
      </c>
      <c r="J44" s="268" t="s">
        <v>191</v>
      </c>
      <c r="K44" s="268"/>
      <c r="L44" s="268"/>
      <c r="M44" s="268"/>
      <c r="N44" s="171" t="s">
        <v>133</v>
      </c>
      <c r="O44" s="60">
        <f>IF(M9="signalized",IF(N44="Present",EXP(0.592),1),1)</f>
        <v>1</v>
      </c>
      <c r="P44" s="61">
        <f>IF(M9="signalized",IF(N44="Present",EXP(0.52),1),1)</f>
        <v>1</v>
      </c>
    </row>
    <row r="45" spans="1:16" x14ac:dyDescent="0.25">
      <c r="A45" s="58">
        <v>20</v>
      </c>
      <c r="B45" s="268" t="s">
        <v>192</v>
      </c>
      <c r="C45" s="268"/>
      <c r="D45" s="268"/>
      <c r="E45" s="268"/>
      <c r="F45" s="129">
        <v>0</v>
      </c>
      <c r="G45" s="60">
        <f>IF(E9="Signalized",1,(1-B6/SUM(B6:B9)+B6/SUM(B6:B9)*EXP(0.341*SIN(F45)*0.001*B6)))</f>
        <v>1</v>
      </c>
      <c r="H45" s="61">
        <v>1</v>
      </c>
      <c r="I45" s="58">
        <v>20</v>
      </c>
      <c r="J45" s="268" t="s">
        <v>192</v>
      </c>
      <c r="K45" s="268"/>
      <c r="L45" s="268"/>
      <c r="M45" s="268"/>
      <c r="N45" s="129">
        <v>0</v>
      </c>
      <c r="O45" s="60">
        <f>IF(M9="Signalized",1,(1-J6/SUM(J6:J9)+J6/SUM(J6:J9)*EXP(0.341*SIN(N45)*0.001*J6)))</f>
        <v>1</v>
      </c>
      <c r="P45" s="61">
        <v>1</v>
      </c>
    </row>
    <row r="46" spans="1:16" x14ac:dyDescent="0.25">
      <c r="A46" s="28"/>
      <c r="B46" s="170"/>
      <c r="C46" s="170"/>
      <c r="D46" s="170"/>
      <c r="E46" s="170"/>
      <c r="F46" s="18"/>
      <c r="G46" s="22">
        <f>IF(G30=0,1,G30)*IF(G31=0,1,G31)*IF(G32=0,1,G32)*IF(G33=0,1,G33)*IF(G34=0,1,G34)*IF(G35=0,1,G35)*IF(G36=0,1,G36)*IF(G37=0,1,G37)*IF(G38=0,1,G38)*IF(G39=0,1,G39)*IF(G40=0,1,G40)*IF(G41=0,1,G41)*IF(G42=0,1,G42)*IF(G43=0,1,G43)*IF(G44=0,1,G44)*IF(G45=0,1,G45)</f>
        <v>1.086208649539788</v>
      </c>
      <c r="H46" s="37">
        <f>IF(H30=0,1,H30)*IF(H31=0,1,H31)*IF(H32=0,1,H32)*IF(H33=0,1,H33)*IF(H34=0,1,H34)*IF(H35=0,1,H35)*IF(H36=0,1,H36)*IF(H37=0,1,H37)*IF(H38=0,1,H38)*IF(H39=0,1,H39)*IF(H40=0,1,H40)*IF(H41=0,1,H41)*IF(H42=0,1,H42)*IF(H43=0,1,H43)*IF(H44=0,1,H44)*IF(H45=0,1,H45)</f>
        <v>1.8057958361296214</v>
      </c>
      <c r="I46" s="28"/>
      <c r="J46" s="170"/>
      <c r="K46" s="170"/>
      <c r="L46" s="170"/>
      <c r="M46" s="170"/>
      <c r="N46" s="18"/>
      <c r="O46" s="22">
        <f>IF(O30=0,1,O30)*IF(O31=0,1,O31)*IF(O32=0,1,O32)*IF(O33=0,1,O33)*IF(O34=0,1,O34)*IF(O35=0,1,O35)*IF(O36=0,1,O36)*IF(O37=0,1,O37)*IF(O38=0,1,O38)*IF(O39=0,1,O39)*IF(O40=0,1,O40)*IF(O41=0,1,O41)*IF(O42=0,1,O42)*IF(O43=0,1,O43)*IF(O44=0,1,O44)*IF(O45=0,1,O45)</f>
        <v>1.086208649539788</v>
      </c>
      <c r="P46" s="37">
        <f>IF(P30=0,1,P30)*IF(P31=0,1,P31)*IF(P32=0,1,P32)*IF(P33=0,1,P33)*IF(P34=0,1,P34)*IF(P35=0,1,P35)*IF(P36=0,1,P36)*IF(P37=0,1,P37)*IF(P38=0,1,P38)*IF(P39=0,1,P39)*IF(P40=0,1,P40)*IF(P41=0,1,P41)*IF(P42=0,1,P42)*IF(P43=0,1,P43)*IF(P44=0,1,P44)*IF(P45=0,1,P45)</f>
        <v>1.8057958361296214</v>
      </c>
    </row>
    <row r="47" spans="1:16" x14ac:dyDescent="0.25">
      <c r="A47" s="28"/>
      <c r="B47" s="18"/>
      <c r="C47" s="18"/>
      <c r="D47" s="18"/>
      <c r="E47" s="18"/>
      <c r="F47" s="18"/>
      <c r="G47" s="18"/>
      <c r="H47" s="29"/>
      <c r="I47" s="28"/>
      <c r="J47" s="18"/>
      <c r="K47" s="18"/>
      <c r="L47" s="18"/>
      <c r="M47" s="18"/>
      <c r="N47" s="18"/>
      <c r="O47" s="18"/>
      <c r="P47" s="29"/>
    </row>
    <row r="48" spans="1:16" x14ac:dyDescent="0.25">
      <c r="A48" s="28"/>
      <c r="B48" s="18"/>
      <c r="C48" s="18"/>
      <c r="D48" s="18"/>
      <c r="E48" s="18"/>
      <c r="F48" s="18"/>
      <c r="G48" s="18"/>
      <c r="H48" s="29"/>
      <c r="I48" s="28"/>
      <c r="J48" s="18"/>
      <c r="K48" s="18"/>
      <c r="L48" s="18"/>
      <c r="M48" s="18"/>
      <c r="N48" s="18"/>
      <c r="O48" s="18"/>
      <c r="P48" s="29"/>
    </row>
    <row r="49" spans="1:17" ht="16.5" thickBot="1" x14ac:dyDescent="0.3">
      <c r="A49" s="269" t="s">
        <v>121</v>
      </c>
      <c r="B49" s="270"/>
      <c r="C49" s="270"/>
      <c r="D49" s="270"/>
      <c r="E49" s="270"/>
      <c r="F49" s="270"/>
      <c r="G49" s="270"/>
      <c r="H49" s="271"/>
      <c r="I49" s="269" t="s">
        <v>121</v>
      </c>
      <c r="J49" s="270"/>
      <c r="K49" s="270"/>
      <c r="L49" s="270"/>
      <c r="M49" s="270"/>
      <c r="N49" s="270"/>
      <c r="O49" s="270"/>
      <c r="P49" s="271"/>
      <c r="Q49" s="169" t="s">
        <v>335</v>
      </c>
    </row>
    <row r="50" spans="1:17" ht="15.75" thickTop="1" x14ac:dyDescent="0.25">
      <c r="A50" s="28"/>
      <c r="B50" s="18"/>
      <c r="C50" s="18"/>
      <c r="D50" s="18"/>
      <c r="E50" s="18"/>
      <c r="F50" s="18"/>
      <c r="G50" s="18"/>
      <c r="H50" s="29"/>
      <c r="I50" s="28"/>
      <c r="J50" s="18"/>
      <c r="K50" s="18"/>
      <c r="L50" s="18"/>
      <c r="M50" s="18"/>
      <c r="N50" s="18"/>
      <c r="O50" s="18"/>
      <c r="P50" s="29"/>
      <c r="Q50" s="114"/>
    </row>
    <row r="51" spans="1:17" x14ac:dyDescent="0.25">
      <c r="A51" s="264" t="s">
        <v>19</v>
      </c>
      <c r="B51" s="263"/>
      <c r="C51" s="20">
        <f>C52+C53</f>
        <v>0.68548709462707724</v>
      </c>
      <c r="D51" s="18"/>
      <c r="E51" s="18"/>
      <c r="F51" s="18"/>
      <c r="G51" s="18"/>
      <c r="H51" s="29"/>
      <c r="I51" s="264" t="s">
        <v>19</v>
      </c>
      <c r="J51" s="263"/>
      <c r="K51" s="20">
        <f>K52+K53</f>
        <v>0.90112717135819076</v>
      </c>
      <c r="L51" s="18"/>
      <c r="M51" s="18"/>
      <c r="N51" s="18"/>
      <c r="O51" s="18"/>
      <c r="P51" s="29"/>
      <c r="Q51" s="20">
        <f>K51/C51</f>
        <v>1.314579338431495</v>
      </c>
    </row>
    <row r="52" spans="1:17" x14ac:dyDescent="0.25">
      <c r="A52" s="264" t="s">
        <v>20</v>
      </c>
      <c r="B52" s="263"/>
      <c r="C52" s="20">
        <f>C18*G46</f>
        <v>0.24274518730435368</v>
      </c>
      <c r="D52" s="18"/>
      <c r="E52" s="18"/>
      <c r="F52" s="167"/>
      <c r="G52" s="18"/>
      <c r="H52" s="29"/>
      <c r="I52" s="264" t="s">
        <v>20</v>
      </c>
      <c r="J52" s="263"/>
      <c r="K52" s="20">
        <f>K18*O46</f>
        <v>0.22943976480051093</v>
      </c>
      <c r="L52" s="18"/>
      <c r="M52" s="18"/>
      <c r="N52" s="167"/>
      <c r="O52" s="18"/>
      <c r="P52" s="29"/>
      <c r="Q52" s="20">
        <f t="shared" ref="Q52:Q53" si="0">K52/C52</f>
        <v>0.94518769804832248</v>
      </c>
    </row>
    <row r="53" spans="1:17" x14ac:dyDescent="0.25">
      <c r="A53" s="264" t="s">
        <v>21</v>
      </c>
      <c r="B53" s="263"/>
      <c r="C53" s="92">
        <f>C19*H46</f>
        <v>0.4427419073227235</v>
      </c>
      <c r="D53" s="18"/>
      <c r="E53" s="18"/>
      <c r="F53" s="167"/>
      <c r="G53" s="18"/>
      <c r="H53" s="29"/>
      <c r="I53" s="264" t="s">
        <v>21</v>
      </c>
      <c r="J53" s="263"/>
      <c r="K53" s="92">
        <f>K19*P46</f>
        <v>0.67168740655767989</v>
      </c>
      <c r="L53" s="18"/>
      <c r="M53" s="18"/>
      <c r="N53" s="167"/>
      <c r="O53" s="18"/>
      <c r="P53" s="29"/>
      <c r="Q53" s="20">
        <f t="shared" si="0"/>
        <v>1.5171082643145262</v>
      </c>
    </row>
    <row r="54" spans="1:17" x14ac:dyDescent="0.25">
      <c r="A54" s="28"/>
      <c r="B54" s="18"/>
      <c r="C54" s="18"/>
      <c r="D54" s="18"/>
      <c r="E54" s="18"/>
      <c r="F54" s="167"/>
      <c r="G54" s="18"/>
      <c r="H54" s="29"/>
      <c r="I54" s="28"/>
      <c r="J54" s="18"/>
      <c r="K54" s="18"/>
      <c r="L54" s="18"/>
      <c r="M54" s="18"/>
      <c r="N54" s="167"/>
      <c r="O54" s="18"/>
      <c r="P54" s="29"/>
    </row>
    <row r="55" spans="1:17" x14ac:dyDescent="0.25">
      <c r="A55" s="28"/>
      <c r="B55" s="18"/>
      <c r="C55" s="18"/>
      <c r="D55" s="18"/>
      <c r="E55" s="18"/>
      <c r="F55" s="167"/>
      <c r="G55" s="18"/>
      <c r="H55" s="29"/>
      <c r="I55" s="28"/>
      <c r="J55" s="18"/>
      <c r="K55" s="18"/>
      <c r="L55" s="18"/>
      <c r="M55" s="18"/>
      <c r="N55" s="167"/>
      <c r="O55" s="18"/>
      <c r="P55" s="29"/>
    </row>
    <row r="56" spans="1:17" x14ac:dyDescent="0.25">
      <c r="A56" s="28"/>
      <c r="B56" s="18"/>
      <c r="C56" s="18"/>
      <c r="D56" s="18"/>
      <c r="E56" s="18"/>
      <c r="F56" s="167"/>
      <c r="G56" s="18"/>
      <c r="H56" s="29"/>
      <c r="I56" s="28"/>
      <c r="J56" s="18"/>
      <c r="K56" s="18"/>
      <c r="L56" s="18"/>
      <c r="M56" s="18"/>
      <c r="N56" s="167"/>
      <c r="O56" s="18"/>
      <c r="P56" s="29"/>
    </row>
    <row r="57" spans="1:17" x14ac:dyDescent="0.25">
      <c r="A57" s="30"/>
      <c r="B57" s="31"/>
      <c r="C57" s="31"/>
      <c r="D57" s="31"/>
      <c r="E57" s="31"/>
      <c r="F57" s="130"/>
      <c r="G57" s="31"/>
      <c r="H57" s="32"/>
      <c r="I57" s="30"/>
      <c r="J57" s="31"/>
      <c r="K57" s="31"/>
      <c r="L57" s="31"/>
      <c r="M57" s="31"/>
      <c r="N57" s="130"/>
      <c r="O57" s="31"/>
      <c r="P57" s="32"/>
    </row>
  </sheetData>
  <mergeCells count="72">
    <mergeCell ref="I51:J51"/>
    <mergeCell ref="I52:J52"/>
    <mergeCell ref="I53:J53"/>
    <mergeCell ref="I41:I42"/>
    <mergeCell ref="J41:M41"/>
    <mergeCell ref="J42:M42"/>
    <mergeCell ref="J43:M43"/>
    <mergeCell ref="J44:M44"/>
    <mergeCell ref="J45:M45"/>
    <mergeCell ref="J36:L36"/>
    <mergeCell ref="I37:I38"/>
    <mergeCell ref="J37:L37"/>
    <mergeCell ref="J38:L38"/>
    <mergeCell ref="I49:P49"/>
    <mergeCell ref="J32:M32"/>
    <mergeCell ref="I33:I34"/>
    <mergeCell ref="J33:M33"/>
    <mergeCell ref="J34:M34"/>
    <mergeCell ref="J35:L35"/>
    <mergeCell ref="K7:L7"/>
    <mergeCell ref="I13:J13"/>
    <mergeCell ref="I14:J14"/>
    <mergeCell ref="I17:J17"/>
    <mergeCell ref="I18:J18"/>
    <mergeCell ref="I19:J19"/>
    <mergeCell ref="A49:H49"/>
    <mergeCell ref="A51:B51"/>
    <mergeCell ref="A52:B52"/>
    <mergeCell ref="A53:B53"/>
    <mergeCell ref="B44:E44"/>
    <mergeCell ref="B45:E45"/>
    <mergeCell ref="A33:A34"/>
    <mergeCell ref="B33:E33"/>
    <mergeCell ref="B34:E34"/>
    <mergeCell ref="A19:B19"/>
    <mergeCell ref="I39:I40"/>
    <mergeCell ref="J29:N29"/>
    <mergeCell ref="J30:L30"/>
    <mergeCell ref="I31:I32"/>
    <mergeCell ref="J31:M31"/>
    <mergeCell ref="I1:P1"/>
    <mergeCell ref="I2:P2"/>
    <mergeCell ref="I3:J3"/>
    <mergeCell ref="K3:N3"/>
    <mergeCell ref="O3:P3"/>
    <mergeCell ref="O5:P5"/>
    <mergeCell ref="A41:A42"/>
    <mergeCell ref="B41:E41"/>
    <mergeCell ref="B42:E42"/>
    <mergeCell ref="B43:E43"/>
    <mergeCell ref="B35:D35"/>
    <mergeCell ref="B36:D36"/>
    <mergeCell ref="A37:A38"/>
    <mergeCell ref="B37:D37"/>
    <mergeCell ref="B38:D38"/>
    <mergeCell ref="A39:A40"/>
    <mergeCell ref="B29:F29"/>
    <mergeCell ref="B30:D30"/>
    <mergeCell ref="A31:A32"/>
    <mergeCell ref="B31:E31"/>
    <mergeCell ref="B32:E32"/>
    <mergeCell ref="C7:D7"/>
    <mergeCell ref="A13:B13"/>
    <mergeCell ref="A14:B14"/>
    <mergeCell ref="A17:B17"/>
    <mergeCell ref="A18:B18"/>
    <mergeCell ref="G5:H5"/>
    <mergeCell ref="A1:H1"/>
    <mergeCell ref="A2:H2"/>
    <mergeCell ref="A3:B3"/>
    <mergeCell ref="C3:F3"/>
    <mergeCell ref="G3:H3"/>
  </mergeCells>
  <dataValidations count="7">
    <dataValidation type="list" allowBlank="1" showInputMessage="1" showErrorMessage="1" sqref="E5 M5">
      <formula1>"Rural,Urban"</formula1>
    </dataValidation>
    <dataValidation type="whole" allowBlank="1" showInputMessage="1" showErrorMessage="1" sqref="E7 M7">
      <formula1>2</formula1>
      <formula2>6</formula2>
    </dataValidation>
    <dataValidation type="list" allowBlank="1" showInputMessage="1" showErrorMessage="1" sqref="E9 M9">
      <formula1>"Signalized, Unsignalized"</formula1>
    </dataValidation>
    <dataValidation type="list" allowBlank="1" showInputMessage="1" showErrorMessage="1" sqref="F30 N30">
      <formula1>"Merge/Freeflow,Signal/Stop/Yield"</formula1>
    </dataValidation>
    <dataValidation type="list" allowBlank="1" showInputMessage="1" showErrorMessage="1" sqref="F31:F34 F44 N31:N34 N44">
      <formula1>"Present, Not Present"</formula1>
    </dataValidation>
    <dataValidation type="list" allowBlank="1" showInputMessage="1" showErrorMessage="1" sqref="F39:F40 N39:N40">
      <formula1>"Protected Only, Permissive"</formula1>
    </dataValidation>
    <dataValidation type="list" allowBlank="1" showInputMessage="1" showErrorMessage="1" sqref="F41:F43 N41:N43">
      <formula1>"Channelized, Not Channelized"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Reference!$A$269:$A$275</xm:f>
          </x14:formula1>
          <xm:sqref>G5 O5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"/>
  <sheetViews>
    <sheetView zoomScale="70" zoomScaleNormal="70" workbookViewId="0">
      <selection activeCell="AM5" sqref="AM5:AN5"/>
    </sheetView>
  </sheetViews>
  <sheetFormatPr defaultRowHeight="15" x14ac:dyDescent="0.25"/>
  <cols>
    <col min="25" max="32" width="9.140625" style="114"/>
  </cols>
  <sheetData>
    <row r="1" spans="1:40" ht="15.75" x14ac:dyDescent="0.25">
      <c r="A1" s="280" t="s">
        <v>362</v>
      </c>
      <c r="B1" s="280"/>
      <c r="C1" s="280"/>
      <c r="D1" s="280"/>
      <c r="E1" s="280"/>
      <c r="F1" s="280"/>
      <c r="G1" s="280"/>
      <c r="H1" s="283"/>
      <c r="I1" s="279" t="s">
        <v>352</v>
      </c>
      <c r="J1" s="280"/>
      <c r="K1" s="280"/>
      <c r="L1" s="280"/>
      <c r="M1" s="280"/>
      <c r="N1" s="280"/>
      <c r="O1" s="280"/>
      <c r="P1" s="283"/>
      <c r="Q1" s="280" t="s">
        <v>363</v>
      </c>
      <c r="R1" s="280"/>
      <c r="S1" s="280"/>
      <c r="T1" s="280"/>
      <c r="U1" s="280"/>
      <c r="V1" s="280"/>
      <c r="W1" s="280"/>
      <c r="X1" s="283"/>
      <c r="Y1" s="279" t="s">
        <v>352</v>
      </c>
      <c r="Z1" s="280"/>
      <c r="AA1" s="280"/>
      <c r="AB1" s="280"/>
      <c r="AC1" s="280"/>
      <c r="AD1" s="280"/>
      <c r="AE1" s="280"/>
      <c r="AF1" s="283"/>
      <c r="AG1" s="279" t="s">
        <v>368</v>
      </c>
      <c r="AH1" s="280"/>
      <c r="AI1" s="280"/>
      <c r="AJ1" s="280"/>
      <c r="AK1" s="280"/>
      <c r="AL1" s="280"/>
      <c r="AM1" s="280"/>
      <c r="AN1" s="283"/>
    </row>
    <row r="2" spans="1:40" ht="15.75" x14ac:dyDescent="0.25">
      <c r="A2" s="282" t="s">
        <v>64</v>
      </c>
      <c r="B2" s="282"/>
      <c r="C2" s="282"/>
      <c r="D2" s="282"/>
      <c r="E2" s="282"/>
      <c r="F2" s="282"/>
      <c r="G2" s="282"/>
      <c r="H2" s="284"/>
      <c r="I2" s="281" t="s">
        <v>68</v>
      </c>
      <c r="J2" s="282"/>
      <c r="K2" s="282"/>
      <c r="L2" s="282"/>
      <c r="M2" s="282"/>
      <c r="N2" s="282"/>
      <c r="O2" s="282"/>
      <c r="P2" s="284"/>
      <c r="Q2" s="282" t="s">
        <v>64</v>
      </c>
      <c r="R2" s="282"/>
      <c r="S2" s="282"/>
      <c r="T2" s="282"/>
      <c r="U2" s="282"/>
      <c r="V2" s="282"/>
      <c r="W2" s="282"/>
      <c r="X2" s="284"/>
      <c r="Y2" s="281" t="s">
        <v>68</v>
      </c>
      <c r="Z2" s="282"/>
      <c r="AA2" s="282"/>
      <c r="AB2" s="282"/>
      <c r="AC2" s="282"/>
      <c r="AD2" s="282"/>
      <c r="AE2" s="282"/>
      <c r="AF2" s="284"/>
      <c r="AG2" s="281" t="s">
        <v>364</v>
      </c>
      <c r="AH2" s="282"/>
      <c r="AI2" s="282"/>
      <c r="AJ2" s="282"/>
      <c r="AK2" s="282"/>
      <c r="AL2" s="282"/>
      <c r="AM2" s="282"/>
      <c r="AN2" s="284"/>
    </row>
    <row r="3" spans="1:40" x14ac:dyDescent="0.25">
      <c r="A3" s="53" t="s">
        <v>0</v>
      </c>
      <c r="B3" s="259" t="s">
        <v>67</v>
      </c>
      <c r="C3" s="259"/>
      <c r="D3" s="259"/>
      <c r="E3" s="259"/>
      <c r="F3" s="259"/>
      <c r="G3" s="259" t="s">
        <v>392</v>
      </c>
      <c r="H3" s="285"/>
      <c r="I3" s="27" t="s">
        <v>0</v>
      </c>
      <c r="J3" s="259" t="s">
        <v>69</v>
      </c>
      <c r="K3" s="259"/>
      <c r="L3" s="259"/>
      <c r="M3" s="259"/>
      <c r="N3" s="259"/>
      <c r="O3" s="259" t="s">
        <v>70</v>
      </c>
      <c r="P3" s="285"/>
      <c r="Q3" s="53" t="s">
        <v>0</v>
      </c>
      <c r="R3" s="259" t="s">
        <v>67</v>
      </c>
      <c r="S3" s="259"/>
      <c r="T3" s="259"/>
      <c r="U3" s="259"/>
      <c r="V3" s="259"/>
      <c r="W3" s="259" t="s">
        <v>392</v>
      </c>
      <c r="X3" s="285"/>
      <c r="Y3" s="27" t="s">
        <v>0</v>
      </c>
      <c r="Z3" s="259" t="s">
        <v>69</v>
      </c>
      <c r="AA3" s="259"/>
      <c r="AB3" s="259"/>
      <c r="AC3" s="259"/>
      <c r="AD3" s="259"/>
      <c r="AE3" s="259" t="s">
        <v>70</v>
      </c>
      <c r="AF3" s="285"/>
      <c r="AG3" s="27" t="s">
        <v>0</v>
      </c>
      <c r="AH3" s="259" t="s">
        <v>41</v>
      </c>
      <c r="AI3" s="259"/>
      <c r="AJ3" s="259"/>
      <c r="AK3" s="259"/>
      <c r="AL3" s="259"/>
      <c r="AM3" s="259" t="s">
        <v>59</v>
      </c>
      <c r="AN3" s="285"/>
    </row>
    <row r="4" spans="1:40" x14ac:dyDescent="0.25">
      <c r="A4" s="18"/>
      <c r="B4" s="17"/>
      <c r="C4" s="17"/>
      <c r="D4" s="17"/>
      <c r="E4" s="17"/>
      <c r="F4" s="17"/>
      <c r="G4" s="17"/>
      <c r="H4" s="33"/>
      <c r="I4" s="28"/>
      <c r="J4" s="18"/>
      <c r="K4" s="18"/>
      <c r="L4" s="18"/>
      <c r="M4" s="18"/>
      <c r="N4" s="18"/>
      <c r="O4" s="18"/>
      <c r="P4" s="29"/>
      <c r="Q4" s="18"/>
      <c r="R4" s="17"/>
      <c r="S4" s="17"/>
      <c r="T4" s="17"/>
      <c r="U4" s="17"/>
      <c r="V4" s="17"/>
      <c r="W4" s="17"/>
      <c r="X4" s="33"/>
      <c r="Y4" s="28"/>
      <c r="Z4" s="18"/>
      <c r="AA4" s="18"/>
      <c r="AB4" s="18"/>
      <c r="AC4" s="18"/>
      <c r="AD4" s="18"/>
      <c r="AE4" s="18"/>
      <c r="AF4" s="29"/>
      <c r="AG4" s="28"/>
      <c r="AH4" s="17"/>
      <c r="AI4" s="17"/>
      <c r="AJ4" s="17"/>
      <c r="AK4" s="17"/>
      <c r="AL4" s="17"/>
      <c r="AM4" s="17"/>
      <c r="AN4" s="33"/>
    </row>
    <row r="5" spans="1:40" x14ac:dyDescent="0.25">
      <c r="A5" s="164" t="s">
        <v>50</v>
      </c>
      <c r="B5" s="171">
        <v>144500</v>
      </c>
      <c r="C5" s="164" t="s">
        <v>65</v>
      </c>
      <c r="D5" s="171">
        <v>0.6</v>
      </c>
      <c r="E5" s="292" t="s">
        <v>66</v>
      </c>
      <c r="F5" s="307"/>
      <c r="G5" s="295" t="s">
        <v>298</v>
      </c>
      <c r="H5" s="308"/>
      <c r="I5" s="172" t="s">
        <v>71</v>
      </c>
      <c r="J5" s="202">
        <v>1</v>
      </c>
      <c r="K5" s="173" t="s">
        <v>72</v>
      </c>
      <c r="L5" s="40">
        <f>J8</f>
        <v>0.6</v>
      </c>
      <c r="M5" s="173" t="s">
        <v>73</v>
      </c>
      <c r="N5" s="40">
        <v>0</v>
      </c>
      <c r="O5" s="173" t="s">
        <v>74</v>
      </c>
      <c r="P5" s="85">
        <v>0</v>
      </c>
      <c r="Q5" s="164" t="s">
        <v>50</v>
      </c>
      <c r="R5" s="171">
        <v>144500</v>
      </c>
      <c r="S5" s="164" t="s">
        <v>65</v>
      </c>
      <c r="T5" s="171">
        <v>0.6</v>
      </c>
      <c r="U5" s="292" t="s">
        <v>66</v>
      </c>
      <c r="V5" s="307"/>
      <c r="W5" s="295" t="s">
        <v>298</v>
      </c>
      <c r="X5" s="308"/>
      <c r="Y5" s="172" t="s">
        <v>71</v>
      </c>
      <c r="Z5" s="202">
        <v>0</v>
      </c>
      <c r="AA5" s="173" t="s">
        <v>72</v>
      </c>
      <c r="AB5" s="40">
        <f>Z8</f>
        <v>0.6</v>
      </c>
      <c r="AC5" s="173" t="s">
        <v>73</v>
      </c>
      <c r="AD5" s="40">
        <v>0</v>
      </c>
      <c r="AE5" s="173" t="s">
        <v>74</v>
      </c>
      <c r="AF5" s="85">
        <v>1.7</v>
      </c>
      <c r="AG5" s="168" t="s">
        <v>30</v>
      </c>
      <c r="AH5" s="171">
        <v>6750</v>
      </c>
      <c r="AI5" s="164" t="s">
        <v>40</v>
      </c>
      <c r="AJ5" s="171">
        <v>0.15</v>
      </c>
      <c r="AK5" s="263" t="s">
        <v>31</v>
      </c>
      <c r="AL5" s="263"/>
      <c r="AM5" s="275" t="s">
        <v>367</v>
      </c>
      <c r="AN5" s="276"/>
    </row>
    <row r="6" spans="1:40" x14ac:dyDescent="0.25">
      <c r="A6" s="18"/>
      <c r="B6" s="18"/>
      <c r="C6" s="18"/>
      <c r="D6" s="18"/>
      <c r="E6" s="18"/>
      <c r="F6" s="18"/>
      <c r="G6" s="18"/>
      <c r="H6" s="29"/>
      <c r="I6" s="172" t="s">
        <v>75</v>
      </c>
      <c r="J6" s="202">
        <v>1</v>
      </c>
      <c r="K6" s="173" t="s">
        <v>76</v>
      </c>
      <c r="L6" s="40">
        <f>J8</f>
        <v>0.6</v>
      </c>
      <c r="M6" s="173" t="s">
        <v>77</v>
      </c>
      <c r="N6" s="40">
        <v>0.6</v>
      </c>
      <c r="O6" s="173" t="s">
        <v>78</v>
      </c>
      <c r="P6" s="85">
        <v>0.6</v>
      </c>
      <c r="Q6" s="18"/>
      <c r="R6" s="18"/>
      <c r="S6" s="18"/>
      <c r="T6" s="18"/>
      <c r="U6" s="18"/>
      <c r="V6" s="18"/>
      <c r="W6" s="18"/>
      <c r="X6" s="29"/>
      <c r="Y6" s="172" t="s">
        <v>75</v>
      </c>
      <c r="Z6" s="202">
        <v>1</v>
      </c>
      <c r="AA6" s="173" t="s">
        <v>76</v>
      </c>
      <c r="AB6" s="40">
        <f>Z8</f>
        <v>0.6</v>
      </c>
      <c r="AC6" s="173" t="s">
        <v>77</v>
      </c>
      <c r="AD6" s="40">
        <v>0</v>
      </c>
      <c r="AE6" s="173" t="s">
        <v>78</v>
      </c>
      <c r="AF6" s="85">
        <v>0.6</v>
      </c>
      <c r="AG6" s="28"/>
      <c r="AH6" s="18"/>
      <c r="AI6" s="18"/>
      <c r="AJ6" s="18"/>
      <c r="AK6" s="18"/>
      <c r="AL6" s="18"/>
      <c r="AM6" s="18"/>
      <c r="AN6" s="29"/>
    </row>
    <row r="7" spans="1:40" x14ac:dyDescent="0.25">
      <c r="A7" s="18"/>
      <c r="B7" s="18"/>
      <c r="C7" s="164" t="s">
        <v>8</v>
      </c>
      <c r="D7" s="164" t="s">
        <v>7</v>
      </c>
      <c r="E7" s="164" t="s">
        <v>9</v>
      </c>
      <c r="F7" s="18"/>
      <c r="G7" s="17"/>
      <c r="H7" s="33"/>
      <c r="I7" s="43" t="s">
        <v>79</v>
      </c>
      <c r="J7" s="40">
        <v>13000</v>
      </c>
      <c r="K7" s="173" t="s">
        <v>80</v>
      </c>
      <c r="L7" s="40">
        <v>13000</v>
      </c>
      <c r="M7" s="173" t="s">
        <v>81</v>
      </c>
      <c r="N7" s="40">
        <v>20000</v>
      </c>
      <c r="O7" s="173" t="s">
        <v>82</v>
      </c>
      <c r="P7" s="85">
        <v>18000</v>
      </c>
      <c r="Q7" s="18"/>
      <c r="R7" s="18"/>
      <c r="S7" s="164" t="s">
        <v>8</v>
      </c>
      <c r="T7" s="164" t="s">
        <v>7</v>
      </c>
      <c r="U7" s="164" t="s">
        <v>9</v>
      </c>
      <c r="V7" s="18"/>
      <c r="W7" s="17"/>
      <c r="X7" s="33"/>
      <c r="Y7" s="43" t="s">
        <v>79</v>
      </c>
      <c r="Z7" s="40">
        <v>10400</v>
      </c>
      <c r="AA7" s="173" t="s">
        <v>80</v>
      </c>
      <c r="AB7" s="40">
        <v>13000</v>
      </c>
      <c r="AC7" s="173" t="s">
        <v>81</v>
      </c>
      <c r="AD7" s="40">
        <v>14500</v>
      </c>
      <c r="AE7" s="173" t="s">
        <v>82</v>
      </c>
      <c r="AF7" s="85">
        <v>18000</v>
      </c>
      <c r="AG7" s="28"/>
      <c r="AH7" s="18"/>
      <c r="AI7" s="164" t="s">
        <v>8</v>
      </c>
      <c r="AJ7" s="164" t="s">
        <v>7</v>
      </c>
      <c r="AK7" s="164" t="s">
        <v>9</v>
      </c>
      <c r="AL7" s="164" t="s">
        <v>39</v>
      </c>
      <c r="AM7" s="17"/>
      <c r="AN7" s="33"/>
    </row>
    <row r="8" spans="1:40" x14ac:dyDescent="0.25">
      <c r="A8" s="263" t="s">
        <v>2</v>
      </c>
      <c r="B8" s="263"/>
      <c r="C8" s="21">
        <f>LOOKUP(G5,Reference!$A$256:$A$259,Reference!$C$256:$C$259)</f>
        <v>-5.5869999999999997</v>
      </c>
      <c r="D8" s="21">
        <f>LOOKUP(G5,Reference!$A$256:$A$259,Reference!$D$256:$D$259)</f>
        <v>1.492</v>
      </c>
      <c r="E8" s="21">
        <f>LOOKUP(G5,Reference!$A$256:$A$259,Reference!$E$256:$E$259)</f>
        <v>1E-3</v>
      </c>
      <c r="F8" s="18"/>
      <c r="G8" s="18"/>
      <c r="H8" s="34">
        <f>D5*EXP(C8+D8*LN(E8*B5))</f>
        <v>3.7520689262175977</v>
      </c>
      <c r="I8" s="43" t="s">
        <v>83</v>
      </c>
      <c r="J8" s="207">
        <v>0.6</v>
      </c>
      <c r="K8" s="18"/>
      <c r="L8" s="18"/>
      <c r="M8" s="18"/>
      <c r="N8" s="18"/>
      <c r="O8" s="18"/>
      <c r="P8" s="18"/>
      <c r="Q8" s="263" t="s">
        <v>2</v>
      </c>
      <c r="R8" s="263"/>
      <c r="S8" s="21">
        <f>LOOKUP(W5,Reference!$A$256:$A$259,Reference!$C$256:$C$259)</f>
        <v>-5.5869999999999997</v>
      </c>
      <c r="T8" s="21">
        <f>LOOKUP(W5,Reference!$A$256:$A$259,Reference!$D$256:$D$259)</f>
        <v>1.492</v>
      </c>
      <c r="U8" s="21">
        <f>LOOKUP(W5,Reference!$A$256:$A$259,Reference!$E$256:$E$259)</f>
        <v>1E-3</v>
      </c>
      <c r="V8" s="18"/>
      <c r="W8" s="18"/>
      <c r="X8" s="34">
        <f>T5*EXP(S8+T8*LN(U8*R5))</f>
        <v>3.7520689262175977</v>
      </c>
      <c r="Y8" s="43" t="s">
        <v>83</v>
      </c>
      <c r="Z8" s="40">
        <f>T5</f>
        <v>0.6</v>
      </c>
      <c r="AA8" s="18"/>
      <c r="AB8" s="18"/>
      <c r="AC8" s="18"/>
      <c r="AD8" s="18"/>
      <c r="AE8" s="18"/>
      <c r="AF8" s="18"/>
      <c r="AG8" s="264" t="s">
        <v>2</v>
      </c>
      <c r="AH8" s="263"/>
      <c r="AI8" s="21">
        <f>LOOKUP(AM5,Reference!$A$387:$A$389,Reference!$C$387:$C$389)</f>
        <v>-2.5150000000000001</v>
      </c>
      <c r="AJ8" s="21">
        <f>LOOKUP(AM5,Reference!$A$387:$A$389,Reference!$D$387:$D$389)</f>
        <v>0.52400000000000002</v>
      </c>
      <c r="AK8" s="21">
        <f>LOOKUP(AM5,Reference!$A$387:$A$389,Reference!$E$387:$E$389)</f>
        <v>1E-3</v>
      </c>
      <c r="AL8" s="21">
        <f>LOOKUP(AM5,Reference!$A$387:$A$389,Reference!$F$387:$F$389)</f>
        <v>6.9900000000000004E-2</v>
      </c>
      <c r="AM8" s="18"/>
      <c r="AN8" s="34">
        <f>AJ5*EXP(AI8+AJ8*LN(AK8*AH5)+AL8*(AK8*AH5))</f>
        <v>5.2881870457496767E-2</v>
      </c>
    </row>
    <row r="9" spans="1:40" x14ac:dyDescent="0.25">
      <c r="A9" s="263" t="s">
        <v>3</v>
      </c>
      <c r="B9" s="263"/>
      <c r="C9" s="21">
        <f>LOOKUP(G5,Reference!$A$261:$A$264,Reference!$C$261:$C$264)</f>
        <v>-6.8090000000000002</v>
      </c>
      <c r="D9" s="21">
        <f>LOOKUP(G5,Reference!$A$261:$A$264,Reference!$D$261:$D$264)</f>
        <v>1.9359999999999999</v>
      </c>
      <c r="E9" s="21">
        <f>LOOKUP(G5,Reference!$A$261:$A$264,Reference!$E$261:$E$264)</f>
        <v>1E-3</v>
      </c>
      <c r="F9" s="18"/>
      <c r="G9" s="18"/>
      <c r="H9" s="34">
        <f>D5*EXP(C9+D9*LN(E9*B5))</f>
        <v>10.058756039048163</v>
      </c>
      <c r="I9" s="28"/>
      <c r="J9" s="18"/>
      <c r="K9" s="18"/>
      <c r="L9" s="18"/>
      <c r="M9" s="18"/>
      <c r="N9" s="18"/>
      <c r="O9" s="18"/>
      <c r="P9" s="29"/>
      <c r="Q9" s="263" t="s">
        <v>3</v>
      </c>
      <c r="R9" s="263"/>
      <c r="S9" s="21">
        <f>LOOKUP(W5,Reference!$A$261:$A$264,Reference!$C$261:$C$264)</f>
        <v>-6.8090000000000002</v>
      </c>
      <c r="T9" s="21">
        <f>LOOKUP(W5,Reference!$A$261:$A$264,Reference!$D$261:$D$264)</f>
        <v>1.9359999999999999</v>
      </c>
      <c r="U9" s="21">
        <f>LOOKUP(W5,Reference!$A$261:$A$264,Reference!$E$261:$E$264)</f>
        <v>1E-3</v>
      </c>
      <c r="V9" s="18"/>
      <c r="W9" s="18"/>
      <c r="X9" s="34">
        <f>T5*EXP(S9+T9*LN(U9*R5))</f>
        <v>10.058756039048163</v>
      </c>
      <c r="Y9" s="28"/>
      <c r="Z9" s="18"/>
      <c r="AA9" s="18"/>
      <c r="AB9" s="18"/>
      <c r="AC9" s="18"/>
      <c r="AD9" s="18"/>
      <c r="AE9" s="18"/>
      <c r="AF9" s="29"/>
      <c r="AG9" s="264" t="s">
        <v>3</v>
      </c>
      <c r="AH9" s="263"/>
      <c r="AI9" s="21">
        <f>LOOKUP(AM5,Reference!$A$391:$A$393,Reference!$C$391:$C$393)</f>
        <v>-2.4750000000000001</v>
      </c>
      <c r="AJ9" s="21">
        <f>LOOKUP(AM5,Reference!$A$391:$A$393,Reference!$D$391:$D$393)</f>
        <v>1.256</v>
      </c>
      <c r="AK9" s="21">
        <f>LOOKUP(AM5,Reference!$A$391:$A$393,Reference!$E$391:$E$393)</f>
        <v>1E-3</v>
      </c>
      <c r="AL9" s="21">
        <f>LOOKUP(AM5,Reference!$A$391:$A$393,Reference!$F$391:$F$393)</f>
        <v>0</v>
      </c>
      <c r="AM9" s="18"/>
      <c r="AN9" s="34">
        <f>AJ5*EXP(AI9+AJ9*LN(AK9*AH5)+AL9*(AK9*AH5))</f>
        <v>0.13893701212275555</v>
      </c>
    </row>
    <row r="10" spans="1:40" x14ac:dyDescent="0.25">
      <c r="A10" s="263" t="s">
        <v>5</v>
      </c>
      <c r="B10" s="263"/>
      <c r="C10" s="21">
        <f>LOOKUP(G5,Reference!$A$256:$A$259,Reference!$F$256:$F$259)</f>
        <v>-2.0550000000000002</v>
      </c>
      <c r="D10" s="21">
        <f>LOOKUP(G5,Reference!$A$256:$A$259,Reference!$G$256:$G$259)</f>
        <v>0.64600000000000002</v>
      </c>
      <c r="E10" s="21">
        <f>LOOKUP(G5,Reference!$A$256:$A$259,Reference!$H$256:$H$259)</f>
        <v>1E-3</v>
      </c>
      <c r="F10" s="18"/>
      <c r="G10" s="18"/>
      <c r="H10" s="34">
        <f>D5*EXP(C10+D10*LN(E10*B5))</f>
        <v>1.9096365540475573</v>
      </c>
      <c r="I10" s="28"/>
      <c r="J10" s="18"/>
      <c r="K10" s="164" t="s">
        <v>8</v>
      </c>
      <c r="L10" s="164" t="s">
        <v>7</v>
      </c>
      <c r="M10" s="164" t="s">
        <v>9</v>
      </c>
      <c r="N10" s="164" t="s">
        <v>39</v>
      </c>
      <c r="O10" s="18"/>
      <c r="P10" s="29"/>
      <c r="Q10" s="263" t="s">
        <v>5</v>
      </c>
      <c r="R10" s="263"/>
      <c r="S10" s="21">
        <f>LOOKUP(W5,Reference!$A$256:$A$259,Reference!$F$256:$F$259)</f>
        <v>-2.0550000000000002</v>
      </c>
      <c r="T10" s="21">
        <f>LOOKUP(W5,Reference!$A$256:$A$259,Reference!$G$256:$G$259)</f>
        <v>0.64600000000000002</v>
      </c>
      <c r="U10" s="21">
        <f>LOOKUP(W5,Reference!$A$256:$A$259,Reference!$H$256:$H$259)</f>
        <v>1E-3</v>
      </c>
      <c r="V10" s="18"/>
      <c r="W10" s="18"/>
      <c r="X10" s="34">
        <f>T5*EXP(S10+T10*LN(U10*R5))</f>
        <v>1.9096365540475573</v>
      </c>
      <c r="Y10" s="28"/>
      <c r="Z10" s="18"/>
      <c r="AA10" s="164" t="s">
        <v>8</v>
      </c>
      <c r="AB10" s="164" t="s">
        <v>7</v>
      </c>
      <c r="AC10" s="164" t="s">
        <v>9</v>
      </c>
      <c r="AD10" s="164" t="s">
        <v>39</v>
      </c>
      <c r="AE10" s="18"/>
      <c r="AF10" s="29"/>
      <c r="AG10" s="264" t="s">
        <v>5</v>
      </c>
      <c r="AH10" s="263"/>
      <c r="AI10" s="21">
        <f>LOOKUP(AM5,Reference!$A$387:$A$389,Reference!$G$387:$G$389)</f>
        <v>-2.8809999999999998</v>
      </c>
      <c r="AJ10" s="21">
        <f>LOOKUP(AM5,Reference!$A$387:$A$389,Reference!$H$387:$H$389)</f>
        <v>0.71799999999999997</v>
      </c>
      <c r="AK10" s="21">
        <f>LOOKUP(AM5,Reference!$A$387:$A$389,Reference!$I$387:$I$389)</f>
        <v>1E-3</v>
      </c>
      <c r="AL10" s="21">
        <f>LOOKUP(AM5,Reference!$A$387:$A$389,Reference!$J$387:$J$389)</f>
        <v>0</v>
      </c>
      <c r="AM10" s="18"/>
      <c r="AN10" s="34">
        <f>AJ5*EXP(AI10+AJ10*LN(AK10*AH5)+AL10*(AK10*AH5))</f>
        <v>3.3138203880719988E-2</v>
      </c>
    </row>
    <row r="11" spans="1:40" x14ac:dyDescent="0.25">
      <c r="A11" s="263" t="s">
        <v>6</v>
      </c>
      <c r="B11" s="263"/>
      <c r="C11" s="21">
        <f>LOOKUP(G5,Reference!$A$261:$A$264,Reference!$F$261:$F$264)</f>
        <v>-2.274</v>
      </c>
      <c r="D11" s="21">
        <f>LOOKUP(G5,Reference!$A$261:$A$264,Reference!$G$261:$G$264)</f>
        <v>0.876</v>
      </c>
      <c r="E11" s="21">
        <f>LOOKUP(G5,Reference!$A$261:$A$264,Reference!$H$261:$H$264)</f>
        <v>1E-3</v>
      </c>
      <c r="F11" s="18"/>
      <c r="G11" s="18"/>
      <c r="H11" s="34">
        <f>D5*EXP(C11+D11*LN(E11*B5))</f>
        <v>4.81515013211403</v>
      </c>
      <c r="I11" s="264" t="s">
        <v>20</v>
      </c>
      <c r="J11" s="263"/>
      <c r="K11" s="25">
        <v>0.17499999999999999</v>
      </c>
      <c r="L11" s="25">
        <v>12.56</v>
      </c>
      <c r="M11" s="25">
        <v>1E-3</v>
      </c>
      <c r="N11" s="25">
        <v>-0.27200000000000002</v>
      </c>
      <c r="O11" s="18"/>
      <c r="P11" s="29"/>
      <c r="Q11" s="263" t="s">
        <v>6</v>
      </c>
      <c r="R11" s="263"/>
      <c r="S11" s="21">
        <f>LOOKUP(W5,Reference!$A$261:$A$264,Reference!$F$261:$F$264)</f>
        <v>-2.274</v>
      </c>
      <c r="T11" s="21">
        <f>LOOKUP(W5,Reference!$A$261:$A$264,Reference!$G$261:$G$264)</f>
        <v>0.876</v>
      </c>
      <c r="U11" s="21">
        <f>LOOKUP(W5,Reference!$A$261:$A$264,Reference!$H$261:$H$264)</f>
        <v>1E-3</v>
      </c>
      <c r="V11" s="18"/>
      <c r="W11" s="18"/>
      <c r="X11" s="34">
        <f>T5*EXP(S11+T11*LN(U11*R5))</f>
        <v>4.81515013211403</v>
      </c>
      <c r="Y11" s="264" t="s">
        <v>20</v>
      </c>
      <c r="Z11" s="263"/>
      <c r="AA11" s="25">
        <v>0.17499999999999999</v>
      </c>
      <c r="AB11" s="25">
        <v>12.56</v>
      </c>
      <c r="AC11" s="25">
        <v>1E-3</v>
      </c>
      <c r="AD11" s="25">
        <v>-0.27200000000000002</v>
      </c>
      <c r="AE11" s="18"/>
      <c r="AF11" s="29"/>
      <c r="AG11" s="264" t="s">
        <v>6</v>
      </c>
      <c r="AH11" s="263"/>
      <c r="AI11" s="21">
        <f>LOOKUP(AM5,Reference!$A$391:$A$393,Reference!$G$391:$G$393)</f>
        <v>-2.3439999999999999</v>
      </c>
      <c r="AJ11" s="21">
        <f>LOOKUP(AM5,Reference!$A$391:$A$393,Reference!$H$391:$H$393)</f>
        <v>0.68899999999999995</v>
      </c>
      <c r="AK11" s="21">
        <f>LOOKUP(AM5,Reference!$A$391:$A$393,Reference!$I$391:$I$393)</f>
        <v>1E-3</v>
      </c>
      <c r="AL11" s="21">
        <f>LOOKUP(AM5,Reference!$A$391:$A$393,Reference!$J$391:$J$393)</f>
        <v>0</v>
      </c>
      <c r="AM11" s="18"/>
      <c r="AN11" s="34">
        <f>AJ5*EXP(AI11+AJ11*LN(AK11*AH5)+AL11*(AK11*AH5))</f>
        <v>5.3640805761894977E-2</v>
      </c>
    </row>
    <row r="12" spans="1:40" x14ac:dyDescent="0.25">
      <c r="A12" s="18"/>
      <c r="B12" s="18"/>
      <c r="C12" s="18"/>
      <c r="D12" s="18"/>
      <c r="E12" s="18"/>
      <c r="F12" s="18"/>
      <c r="G12" s="18"/>
      <c r="H12" s="29"/>
      <c r="I12" s="264" t="s">
        <v>21</v>
      </c>
      <c r="J12" s="266"/>
      <c r="K12" s="25">
        <v>0.123</v>
      </c>
      <c r="L12" s="25">
        <v>13.46</v>
      </c>
      <c r="M12" s="25">
        <v>1E-3</v>
      </c>
      <c r="N12" s="25">
        <v>-0.28299999999999997</v>
      </c>
      <c r="O12" s="18"/>
      <c r="P12" s="29"/>
      <c r="Q12" s="18"/>
      <c r="R12" s="18"/>
      <c r="S12" s="18"/>
      <c r="T12" s="18"/>
      <c r="U12" s="18"/>
      <c r="V12" s="18"/>
      <c r="W12" s="18"/>
      <c r="X12" s="29"/>
      <c r="Y12" s="264" t="s">
        <v>21</v>
      </c>
      <c r="Z12" s="266"/>
      <c r="AA12" s="25">
        <v>0.123</v>
      </c>
      <c r="AB12" s="25">
        <v>13.46</v>
      </c>
      <c r="AC12" s="25">
        <v>1E-3</v>
      </c>
      <c r="AD12" s="25">
        <v>-0.28299999999999997</v>
      </c>
      <c r="AE12" s="18"/>
      <c r="AF12" s="29"/>
      <c r="AG12" s="28"/>
      <c r="AH12" s="18"/>
      <c r="AI12" s="18"/>
      <c r="AJ12" s="18"/>
      <c r="AK12" s="18"/>
      <c r="AL12" s="18"/>
      <c r="AM12" s="18"/>
      <c r="AN12" s="29"/>
    </row>
    <row r="13" spans="1:40" x14ac:dyDescent="0.25">
      <c r="A13" s="18"/>
      <c r="B13" s="18"/>
      <c r="C13" s="18"/>
      <c r="D13" s="18"/>
      <c r="E13" s="18"/>
      <c r="F13" s="18"/>
      <c r="G13" s="18"/>
      <c r="H13" s="29"/>
      <c r="I13" s="28"/>
      <c r="J13" s="18"/>
      <c r="K13" s="18"/>
      <c r="L13" s="18"/>
      <c r="M13" s="18"/>
      <c r="N13" s="18"/>
      <c r="O13" s="18"/>
      <c r="P13" s="29"/>
      <c r="Q13" s="18"/>
      <c r="R13" s="18"/>
      <c r="S13" s="18"/>
      <c r="T13" s="18"/>
      <c r="U13" s="18"/>
      <c r="V13" s="18"/>
      <c r="W13" s="18"/>
      <c r="X13" s="29"/>
      <c r="Y13" s="28"/>
      <c r="Z13" s="18"/>
      <c r="AA13" s="18"/>
      <c r="AB13" s="18"/>
      <c r="AC13" s="18"/>
      <c r="AD13" s="18"/>
      <c r="AE13" s="18"/>
      <c r="AF13" s="29"/>
      <c r="AG13" s="28"/>
      <c r="AH13" s="18"/>
      <c r="AI13" s="18"/>
      <c r="AJ13" s="18"/>
      <c r="AK13" s="18"/>
      <c r="AL13" s="18"/>
      <c r="AM13" s="18"/>
      <c r="AN13" s="29"/>
    </row>
    <row r="14" spans="1:40" x14ac:dyDescent="0.25">
      <c r="A14" s="263" t="s">
        <v>22</v>
      </c>
      <c r="B14" s="263"/>
      <c r="C14" s="56">
        <f>C15+C16</f>
        <v>13.810824965265761</v>
      </c>
      <c r="D14" s="18"/>
      <c r="E14" s="18"/>
      <c r="F14" s="18"/>
      <c r="G14" s="18"/>
      <c r="H14" s="29"/>
      <c r="I14" s="28"/>
      <c r="J14" s="18"/>
      <c r="K14" s="18"/>
      <c r="L14" s="18"/>
      <c r="M14" s="18"/>
      <c r="N14" s="18"/>
      <c r="O14" s="18"/>
      <c r="P14" s="29"/>
      <c r="Q14" s="263" t="s">
        <v>22</v>
      </c>
      <c r="R14" s="263"/>
      <c r="S14" s="56">
        <f>S15+S16</f>
        <v>13.810824965265761</v>
      </c>
      <c r="T14" s="18"/>
      <c r="U14" s="18"/>
      <c r="V14" s="18"/>
      <c r="W14" s="18"/>
      <c r="X14" s="29"/>
      <c r="Y14" s="28"/>
      <c r="Z14" s="18"/>
      <c r="AA14" s="18"/>
      <c r="AB14" s="18"/>
      <c r="AC14" s="18"/>
      <c r="AD14" s="18"/>
      <c r="AE14" s="18"/>
      <c r="AF14" s="29"/>
      <c r="AG14" s="28"/>
      <c r="AH14" s="18"/>
      <c r="AI14" s="18"/>
      <c r="AJ14" s="18"/>
      <c r="AK14" s="18"/>
      <c r="AL14" s="18"/>
      <c r="AM14" s="18"/>
      <c r="AN14" s="29"/>
    </row>
    <row r="15" spans="1:40" x14ac:dyDescent="0.25">
      <c r="A15" s="263" t="s">
        <v>2</v>
      </c>
      <c r="B15" s="263"/>
      <c r="C15" s="56">
        <f>H8</f>
        <v>3.7520689262175977</v>
      </c>
      <c r="D15" s="18"/>
      <c r="E15" s="18"/>
      <c r="F15" s="18"/>
      <c r="G15" s="18"/>
      <c r="H15" s="29"/>
      <c r="I15" s="28"/>
      <c r="J15" s="18"/>
      <c r="K15" s="18"/>
      <c r="L15" s="18"/>
      <c r="M15" s="18"/>
      <c r="N15" s="18"/>
      <c r="O15" s="164"/>
      <c r="P15" s="36"/>
      <c r="Q15" s="263" t="s">
        <v>2</v>
      </c>
      <c r="R15" s="263"/>
      <c r="S15" s="56">
        <f>X8</f>
        <v>3.7520689262175977</v>
      </c>
      <c r="T15" s="18"/>
      <c r="U15" s="18"/>
      <c r="V15" s="18"/>
      <c r="W15" s="18"/>
      <c r="X15" s="29"/>
      <c r="Y15" s="28"/>
      <c r="Z15" s="18"/>
      <c r="AA15" s="18"/>
      <c r="AB15" s="18"/>
      <c r="AC15" s="18"/>
      <c r="AD15" s="18"/>
      <c r="AE15" s="164"/>
      <c r="AF15" s="36"/>
      <c r="AG15" s="28"/>
      <c r="AH15" s="18"/>
      <c r="AI15" s="18"/>
      <c r="AJ15" s="18"/>
      <c r="AK15" s="18"/>
      <c r="AL15" s="18"/>
      <c r="AM15" s="18"/>
      <c r="AN15" s="29"/>
    </row>
    <row r="16" spans="1:40" x14ac:dyDescent="0.25">
      <c r="A16" s="263" t="s">
        <v>3</v>
      </c>
      <c r="B16" s="263"/>
      <c r="C16" s="56">
        <f>H9</f>
        <v>10.058756039048163</v>
      </c>
      <c r="D16" s="18"/>
      <c r="E16" s="18"/>
      <c r="F16" s="18"/>
      <c r="G16" s="18"/>
      <c r="H16" s="29"/>
      <c r="I16" s="28"/>
      <c r="J16" s="18"/>
      <c r="K16" s="18"/>
      <c r="L16" s="18"/>
      <c r="M16" s="18"/>
      <c r="N16" s="18"/>
      <c r="O16" s="164"/>
      <c r="P16" s="36"/>
      <c r="Q16" s="263" t="s">
        <v>3</v>
      </c>
      <c r="R16" s="263"/>
      <c r="S16" s="56">
        <f>X9</f>
        <v>10.058756039048163</v>
      </c>
      <c r="T16" s="18"/>
      <c r="U16" s="18"/>
      <c r="V16" s="18"/>
      <c r="W16" s="18"/>
      <c r="X16" s="29"/>
      <c r="Y16" s="28"/>
      <c r="Z16" s="18"/>
      <c r="AA16" s="18"/>
      <c r="AB16" s="18"/>
      <c r="AC16" s="18"/>
      <c r="AD16" s="18"/>
      <c r="AE16" s="164"/>
      <c r="AF16" s="36"/>
      <c r="AG16" s="28"/>
      <c r="AH16" s="18"/>
      <c r="AI16" s="18"/>
      <c r="AJ16" s="18"/>
      <c r="AK16" s="18"/>
      <c r="AL16" s="18"/>
      <c r="AM16" s="18"/>
      <c r="AN16" s="29"/>
    </row>
    <row r="17" spans="1:40" x14ac:dyDescent="0.25">
      <c r="A17" s="263" t="s">
        <v>4</v>
      </c>
      <c r="B17" s="263"/>
      <c r="C17" s="56">
        <f>C18+C19</f>
        <v>6.724786686161587</v>
      </c>
      <c r="D17" s="18"/>
      <c r="E17" s="18"/>
      <c r="F17" s="18"/>
      <c r="G17" s="18"/>
      <c r="H17" s="29"/>
      <c r="I17" s="28"/>
      <c r="J17" s="18"/>
      <c r="K17" s="18"/>
      <c r="L17" s="18"/>
      <c r="M17" s="18"/>
      <c r="N17" s="18"/>
      <c r="O17" s="164"/>
      <c r="P17" s="36"/>
      <c r="Q17" s="263" t="s">
        <v>4</v>
      </c>
      <c r="R17" s="263"/>
      <c r="S17" s="56">
        <f>S18+S19</f>
        <v>6.724786686161587</v>
      </c>
      <c r="T17" s="18"/>
      <c r="U17" s="18"/>
      <c r="V17" s="18"/>
      <c r="W17" s="18"/>
      <c r="X17" s="29"/>
      <c r="Y17" s="28"/>
      <c r="Z17" s="18"/>
      <c r="AA17" s="18"/>
      <c r="AB17" s="18"/>
      <c r="AC17" s="18"/>
      <c r="AD17" s="18"/>
      <c r="AE17" s="164"/>
      <c r="AF17" s="36"/>
      <c r="AG17" s="28"/>
      <c r="AH17" s="18"/>
      <c r="AI17" s="18"/>
      <c r="AJ17" s="18"/>
      <c r="AK17" s="18"/>
      <c r="AL17" s="18"/>
      <c r="AM17" s="18"/>
      <c r="AN17" s="29"/>
    </row>
    <row r="18" spans="1:40" x14ac:dyDescent="0.25">
      <c r="A18" s="263" t="s">
        <v>5</v>
      </c>
      <c r="B18" s="263"/>
      <c r="C18" s="56">
        <f>H10</f>
        <v>1.9096365540475573</v>
      </c>
      <c r="D18" s="18"/>
      <c r="E18" s="18"/>
      <c r="F18" s="18"/>
      <c r="G18" s="18"/>
      <c r="H18" s="29"/>
      <c r="I18" s="28"/>
      <c r="J18" s="18"/>
      <c r="K18" s="18"/>
      <c r="L18" s="18"/>
      <c r="M18" s="18"/>
      <c r="N18" s="18"/>
      <c r="O18" s="164"/>
      <c r="P18" s="36"/>
      <c r="Q18" s="263" t="s">
        <v>5</v>
      </c>
      <c r="R18" s="263"/>
      <c r="S18" s="56">
        <f>X10</f>
        <v>1.9096365540475573</v>
      </c>
      <c r="T18" s="18"/>
      <c r="U18" s="18"/>
      <c r="V18" s="18"/>
      <c r="W18" s="18"/>
      <c r="X18" s="29"/>
      <c r="Y18" s="28"/>
      <c r="Z18" s="18"/>
      <c r="AA18" s="18"/>
      <c r="AB18" s="18"/>
      <c r="AC18" s="18"/>
      <c r="AD18" s="18"/>
      <c r="AE18" s="164"/>
      <c r="AF18" s="36"/>
      <c r="AG18" s="28"/>
      <c r="AH18" s="18"/>
      <c r="AI18" s="18"/>
      <c r="AJ18" s="18"/>
      <c r="AK18" s="18"/>
      <c r="AL18" s="18"/>
      <c r="AM18" s="18"/>
      <c r="AN18" s="29"/>
    </row>
    <row r="19" spans="1:40" x14ac:dyDescent="0.25">
      <c r="A19" s="263" t="s">
        <v>6</v>
      </c>
      <c r="B19" s="263"/>
      <c r="C19" s="56">
        <f>H11</f>
        <v>4.81515013211403</v>
      </c>
      <c r="D19" s="18"/>
      <c r="E19" s="18"/>
      <c r="F19" s="18"/>
      <c r="G19" s="18"/>
      <c r="H19" s="29"/>
      <c r="I19" s="28"/>
      <c r="J19" s="18"/>
      <c r="K19" s="18"/>
      <c r="L19" s="18"/>
      <c r="M19" s="18"/>
      <c r="N19" s="18"/>
      <c r="O19" s="164"/>
      <c r="P19" s="36"/>
      <c r="Q19" s="263" t="s">
        <v>6</v>
      </c>
      <c r="R19" s="263"/>
      <c r="S19" s="56">
        <f>X11</f>
        <v>4.81515013211403</v>
      </c>
      <c r="T19" s="18"/>
      <c r="U19" s="18"/>
      <c r="V19" s="18"/>
      <c r="W19" s="18"/>
      <c r="X19" s="29"/>
      <c r="Y19" s="28"/>
      <c r="Z19" s="18"/>
      <c r="AA19" s="18"/>
      <c r="AB19" s="18"/>
      <c r="AC19" s="18"/>
      <c r="AD19" s="18"/>
      <c r="AE19" s="164"/>
      <c r="AF19" s="36"/>
      <c r="AG19" s="28"/>
      <c r="AH19" s="18"/>
      <c r="AI19" s="18"/>
      <c r="AJ19" s="18"/>
      <c r="AK19" s="18"/>
      <c r="AL19" s="18"/>
      <c r="AM19" s="18"/>
      <c r="AN19" s="29"/>
    </row>
    <row r="20" spans="1:40" x14ac:dyDescent="0.25">
      <c r="A20" s="18"/>
      <c r="B20" s="18"/>
      <c r="C20" s="18"/>
      <c r="D20" s="18"/>
      <c r="E20" s="18"/>
      <c r="F20" s="18"/>
      <c r="G20" s="18"/>
      <c r="H20" s="29"/>
      <c r="I20" s="28"/>
      <c r="J20" s="18"/>
      <c r="K20" s="18"/>
      <c r="L20" s="18"/>
      <c r="M20" s="18"/>
      <c r="N20" s="18"/>
      <c r="O20" s="164"/>
      <c r="P20" s="36"/>
      <c r="Q20" s="18"/>
      <c r="R20" s="18"/>
      <c r="S20" s="18"/>
      <c r="T20" s="18"/>
      <c r="U20" s="18"/>
      <c r="V20" s="18"/>
      <c r="W20" s="18"/>
      <c r="X20" s="29"/>
      <c r="Y20" s="28"/>
      <c r="Z20" s="18"/>
      <c r="AA20" s="18"/>
      <c r="AB20" s="18"/>
      <c r="AC20" s="18"/>
      <c r="AD20" s="18"/>
      <c r="AE20" s="164"/>
      <c r="AF20" s="36"/>
      <c r="AG20" s="264" t="s">
        <v>1</v>
      </c>
      <c r="AH20" s="263"/>
      <c r="AI20" s="56">
        <f>AI21+AI22</f>
        <v>0.19181888258025231</v>
      </c>
      <c r="AJ20" s="18"/>
      <c r="AK20" s="18"/>
      <c r="AL20" s="18"/>
      <c r="AM20" s="18"/>
      <c r="AN20" s="29"/>
    </row>
    <row r="21" spans="1:40" x14ac:dyDescent="0.25">
      <c r="A21" s="263" t="s">
        <v>19</v>
      </c>
      <c r="B21" s="263"/>
      <c r="C21" s="56">
        <f>C22+C23</f>
        <v>20.535611651427349</v>
      </c>
      <c r="D21" s="18"/>
      <c r="E21" s="18"/>
      <c r="F21" s="18"/>
      <c r="G21" s="18"/>
      <c r="H21" s="29"/>
      <c r="I21" s="28"/>
      <c r="J21" s="18"/>
      <c r="K21" s="18"/>
      <c r="L21" s="18"/>
      <c r="M21" s="18"/>
      <c r="N21" s="18"/>
      <c r="O21" s="164"/>
      <c r="P21" s="36"/>
      <c r="Q21" s="263" t="s">
        <v>19</v>
      </c>
      <c r="R21" s="263"/>
      <c r="S21" s="56">
        <f>S22+S23</f>
        <v>20.535611651427349</v>
      </c>
      <c r="T21" s="18"/>
      <c r="U21" s="18"/>
      <c r="V21" s="18"/>
      <c r="W21" s="18"/>
      <c r="X21" s="29"/>
      <c r="Y21" s="28"/>
      <c r="Z21" s="18"/>
      <c r="AA21" s="18"/>
      <c r="AB21" s="18"/>
      <c r="AC21" s="18"/>
      <c r="AD21" s="18"/>
      <c r="AE21" s="164"/>
      <c r="AF21" s="36"/>
      <c r="AG21" s="264" t="s">
        <v>2</v>
      </c>
      <c r="AH21" s="263"/>
      <c r="AI21" s="56">
        <f>AN8</f>
        <v>5.2881870457496767E-2</v>
      </c>
      <c r="AJ21" s="18"/>
      <c r="AK21" s="18"/>
      <c r="AL21" s="18"/>
      <c r="AM21" s="18"/>
      <c r="AN21" s="29"/>
    </row>
    <row r="22" spans="1:40" x14ac:dyDescent="0.25">
      <c r="A22" s="263" t="s">
        <v>20</v>
      </c>
      <c r="B22" s="263"/>
      <c r="C22" s="56">
        <f>H8+H10</f>
        <v>5.6617054802651552</v>
      </c>
      <c r="D22" s="18"/>
      <c r="E22" s="18"/>
      <c r="F22" s="18"/>
      <c r="G22" s="18"/>
      <c r="H22" s="29"/>
      <c r="I22" s="28"/>
      <c r="J22" s="18"/>
      <c r="K22" s="18"/>
      <c r="L22" s="18"/>
      <c r="M22" s="18"/>
      <c r="N22" s="18"/>
      <c r="O22" s="164"/>
      <c r="P22" s="36"/>
      <c r="Q22" s="263" t="s">
        <v>20</v>
      </c>
      <c r="R22" s="263"/>
      <c r="S22" s="56">
        <f>X8+X10</f>
        <v>5.6617054802651552</v>
      </c>
      <c r="T22" s="18"/>
      <c r="U22" s="18"/>
      <c r="V22" s="18"/>
      <c r="W22" s="18"/>
      <c r="X22" s="29"/>
      <c r="Y22" s="28"/>
      <c r="Z22" s="18"/>
      <c r="AA22" s="18"/>
      <c r="AB22" s="18"/>
      <c r="AC22" s="18"/>
      <c r="AD22" s="18"/>
      <c r="AE22" s="164"/>
      <c r="AF22" s="36"/>
      <c r="AG22" s="264" t="s">
        <v>3</v>
      </c>
      <c r="AH22" s="263"/>
      <c r="AI22" s="56">
        <f>AN9</f>
        <v>0.13893701212275555</v>
      </c>
      <c r="AJ22" s="18"/>
      <c r="AK22" s="18"/>
      <c r="AL22" s="18"/>
      <c r="AM22" s="18"/>
      <c r="AN22" s="29"/>
    </row>
    <row r="23" spans="1:40" x14ac:dyDescent="0.25">
      <c r="A23" s="263" t="s">
        <v>21</v>
      </c>
      <c r="B23" s="267"/>
      <c r="C23" s="56">
        <f>H9+H11</f>
        <v>14.873906171162194</v>
      </c>
      <c r="D23" s="18"/>
      <c r="E23" s="18"/>
      <c r="F23" s="18"/>
      <c r="G23" s="18"/>
      <c r="H23" s="29"/>
      <c r="I23" s="28"/>
      <c r="J23" s="18"/>
      <c r="K23" s="18"/>
      <c r="L23" s="18"/>
      <c r="M23" s="18"/>
      <c r="N23" s="18"/>
      <c r="O23" s="164" t="s">
        <v>20</v>
      </c>
      <c r="P23" s="36" t="s">
        <v>21</v>
      </c>
      <c r="Q23" s="263" t="s">
        <v>21</v>
      </c>
      <c r="R23" s="267"/>
      <c r="S23" s="56">
        <f>X9+X11</f>
        <v>14.873906171162194</v>
      </c>
      <c r="T23" s="18"/>
      <c r="U23" s="18"/>
      <c r="V23" s="18"/>
      <c r="W23" s="18"/>
      <c r="X23" s="29"/>
      <c r="Y23" s="28"/>
      <c r="Z23" s="18"/>
      <c r="AA23" s="18"/>
      <c r="AB23" s="18"/>
      <c r="AC23" s="18"/>
      <c r="AD23" s="18"/>
      <c r="AE23" s="164" t="s">
        <v>20</v>
      </c>
      <c r="AF23" s="36" t="s">
        <v>21</v>
      </c>
      <c r="AG23" s="264" t="s">
        <v>4</v>
      </c>
      <c r="AH23" s="263"/>
      <c r="AI23" s="56">
        <f>AI24+AI25</f>
        <v>8.6779009642614965E-2</v>
      </c>
      <c r="AJ23" s="18"/>
      <c r="AK23" s="18"/>
      <c r="AL23" s="18"/>
      <c r="AM23" s="18"/>
      <c r="AN23" s="29"/>
    </row>
    <row r="24" spans="1:40" x14ac:dyDescent="0.25">
      <c r="A24" s="18"/>
      <c r="B24" s="18"/>
      <c r="C24" s="18"/>
      <c r="D24" s="18"/>
      <c r="E24" s="18"/>
      <c r="F24" s="18"/>
      <c r="G24" s="18"/>
      <c r="H24" s="29"/>
      <c r="I24" s="28" t="s">
        <v>84</v>
      </c>
      <c r="J24" s="18" t="s">
        <v>85</v>
      </c>
      <c r="K24" s="18"/>
      <c r="L24" s="18"/>
      <c r="M24" s="18"/>
      <c r="N24" s="18"/>
      <c r="O24" s="46">
        <f>(1-J5)+J5*EXP(K11/L5)</f>
        <v>1.338656724353094</v>
      </c>
      <c r="P24" s="204">
        <f>(1-J5)+J5*EXP(K12/L5)</f>
        <v>1.2275250649631777</v>
      </c>
      <c r="Q24" s="18"/>
      <c r="R24" s="18"/>
      <c r="S24" s="18"/>
      <c r="T24" s="18"/>
      <c r="U24" s="18"/>
      <c r="V24" s="18"/>
      <c r="W24" s="18"/>
      <c r="X24" s="29"/>
      <c r="Y24" s="28" t="s">
        <v>84</v>
      </c>
      <c r="Z24" s="18" t="s">
        <v>85</v>
      </c>
      <c r="AA24" s="18"/>
      <c r="AB24" s="18"/>
      <c r="AC24" s="18"/>
      <c r="AD24" s="18"/>
      <c r="AE24" s="46">
        <f>(1-Z5)+Z5*EXP(AA11/AB5)</f>
        <v>1</v>
      </c>
      <c r="AF24" s="204">
        <f>(1-Z5)+Z5*EXP(AA12/AB5)</f>
        <v>1</v>
      </c>
      <c r="AG24" s="264" t="s">
        <v>5</v>
      </c>
      <c r="AH24" s="263"/>
      <c r="AI24" s="56">
        <f>AN10</f>
        <v>3.3138203880719988E-2</v>
      </c>
      <c r="AJ24" s="18"/>
      <c r="AK24" s="18"/>
      <c r="AL24" s="18"/>
      <c r="AM24" s="18"/>
      <c r="AN24" s="29"/>
    </row>
    <row r="25" spans="1:40" x14ac:dyDescent="0.25">
      <c r="A25" s="18"/>
      <c r="B25" s="18"/>
      <c r="C25" s="18"/>
      <c r="D25" s="18"/>
      <c r="E25" s="18"/>
      <c r="F25" s="18"/>
      <c r="G25" s="18"/>
      <c r="H25" s="29"/>
      <c r="I25" s="28" t="s">
        <v>86</v>
      </c>
      <c r="J25" s="18" t="s">
        <v>87</v>
      </c>
      <c r="K25" s="18"/>
      <c r="L25" s="18"/>
      <c r="M25" s="18"/>
      <c r="N25" s="18"/>
      <c r="O25" s="46">
        <f>(1-J6)+J6*EXP(K11/L6)</f>
        <v>1.338656724353094</v>
      </c>
      <c r="P25" s="204">
        <f>(1-J6)+J6*EXP(K12/L6)</f>
        <v>1.2275250649631777</v>
      </c>
      <c r="Q25" s="18"/>
      <c r="R25" s="18"/>
      <c r="S25" s="18"/>
      <c r="T25" s="18"/>
      <c r="U25" s="18"/>
      <c r="V25" s="18"/>
      <c r="W25" s="18"/>
      <c r="X25" s="29"/>
      <c r="Y25" s="28" t="s">
        <v>86</v>
      </c>
      <c r="Z25" s="18" t="s">
        <v>87</v>
      </c>
      <c r="AA25" s="18"/>
      <c r="AB25" s="18"/>
      <c r="AC25" s="18"/>
      <c r="AD25" s="18"/>
      <c r="AE25" s="46">
        <f>(1-Z6)+Z6*EXP(AA11/AB6)</f>
        <v>1.338656724353094</v>
      </c>
      <c r="AF25" s="204">
        <f>(1-Z6)+Z6*EXP(AA12/AB6)</f>
        <v>1.2275250649631777</v>
      </c>
      <c r="AG25" s="264" t="s">
        <v>6</v>
      </c>
      <c r="AH25" s="263"/>
      <c r="AI25" s="56">
        <f>AN11</f>
        <v>5.3640805761894977E-2</v>
      </c>
      <c r="AJ25" s="18"/>
      <c r="AK25" s="18"/>
      <c r="AL25" s="18"/>
      <c r="AM25" s="18"/>
      <c r="AN25" s="29"/>
    </row>
    <row r="26" spans="1:40" x14ac:dyDescent="0.25">
      <c r="A26" s="55"/>
      <c r="B26" s="273" t="s">
        <v>46</v>
      </c>
      <c r="C26" s="273"/>
      <c r="D26" s="273"/>
      <c r="E26" s="273"/>
      <c r="F26" s="273"/>
      <c r="G26" s="164" t="s">
        <v>20</v>
      </c>
      <c r="H26" s="36" t="s">
        <v>21</v>
      </c>
      <c r="I26" s="28"/>
      <c r="J26" s="18"/>
      <c r="K26" s="18"/>
      <c r="L26" s="18"/>
      <c r="M26" s="18"/>
      <c r="N26" s="18"/>
      <c r="O26" s="18"/>
      <c r="P26" s="29"/>
      <c r="Q26" s="55"/>
      <c r="R26" s="273" t="s">
        <v>46</v>
      </c>
      <c r="S26" s="273"/>
      <c r="T26" s="273"/>
      <c r="U26" s="273"/>
      <c r="V26" s="273"/>
      <c r="W26" s="164" t="s">
        <v>20</v>
      </c>
      <c r="X26" s="36" t="s">
        <v>21</v>
      </c>
      <c r="Y26" s="28"/>
      <c r="Z26" s="18"/>
      <c r="AA26" s="18"/>
      <c r="AB26" s="18"/>
      <c r="AC26" s="18"/>
      <c r="AD26" s="18"/>
      <c r="AE26" s="18"/>
      <c r="AF26" s="29"/>
      <c r="AG26" s="28"/>
      <c r="AH26" s="18"/>
      <c r="AI26" s="18"/>
      <c r="AJ26" s="18"/>
      <c r="AK26" s="18"/>
      <c r="AL26" s="18"/>
      <c r="AM26" s="18"/>
      <c r="AN26" s="29"/>
    </row>
    <row r="27" spans="1:40" x14ac:dyDescent="0.25">
      <c r="A27" s="164">
        <v>1</v>
      </c>
      <c r="B27" s="306" t="s">
        <v>341</v>
      </c>
      <c r="C27" s="306"/>
      <c r="D27" s="306"/>
      <c r="E27" s="306"/>
      <c r="F27" s="306"/>
      <c r="G27" s="60">
        <v>1</v>
      </c>
      <c r="H27" s="61">
        <v>1</v>
      </c>
      <c r="I27" s="28" t="s">
        <v>88</v>
      </c>
      <c r="J27" s="296" t="s">
        <v>89</v>
      </c>
      <c r="K27" s="296"/>
      <c r="L27" s="296"/>
      <c r="M27" s="296"/>
      <c r="N27" s="296"/>
      <c r="O27" s="44">
        <f>((1+(EXP(-L11*N5+N11*LN(M11*J7)))/(L11*J8))*(1-EXP(-L11*J8)))*((1+(EXP(-L11*P6+N11*LN(M11*P7)))/(L11*J8))*(1-EXP(-L11*J8)))</f>
        <v>1.0649461594059906</v>
      </c>
      <c r="P27" s="205">
        <f>((1+(EXP(-L12*N5+N12*LN(M12*J7)))/(L12*J8))*(1-EXP(-L12*J8)))*((1+(EXP(-L12*P6+N12*LN(M12*P7)))/(L12*J8))*(1-EXP(-L12*J8)))</f>
        <v>1.0592770735021788</v>
      </c>
      <c r="Q27" s="164">
        <v>1</v>
      </c>
      <c r="R27" s="306" t="s">
        <v>341</v>
      </c>
      <c r="S27" s="306"/>
      <c r="T27" s="306"/>
      <c r="U27" s="306"/>
      <c r="V27" s="306"/>
      <c r="W27" s="60">
        <v>1</v>
      </c>
      <c r="X27" s="61">
        <v>1</v>
      </c>
      <c r="Y27" s="28" t="s">
        <v>88</v>
      </c>
      <c r="Z27" s="296" t="s">
        <v>89</v>
      </c>
      <c r="AA27" s="296"/>
      <c r="AB27" s="296"/>
      <c r="AC27" s="296"/>
      <c r="AD27" s="296"/>
      <c r="AE27" s="44">
        <f>((1+(EXP(-AB11*AD5+AD11*LN(AC11*Z7)))/(AB11*Z8))*(1-EXP(-AB11*Z8)))*((1+(EXP(-AB11*AF6+AD11*LN(AC11*AF7)))/(AB11*Z8))*(1-EXP(-AB11*Z8)))</f>
        <v>1.069074891019014</v>
      </c>
      <c r="AF27" s="205">
        <f>((1+(EXP(-AB12*AD5+AD12*LN(AC12*Z7)))/(AB12*Z8))*(1-EXP(-AB12*Z8)))*((1+(EXP(-AB12*AF6+AD12*LN(AC12*AF7)))/(AB12*Z8))*(1-EXP(-AB12*Z8)))</f>
        <v>1.06318054224756</v>
      </c>
      <c r="AG27" s="264" t="s">
        <v>19</v>
      </c>
      <c r="AH27" s="263"/>
      <c r="AI27" s="56">
        <f>AI28+AI29</f>
        <v>0.27859789222286729</v>
      </c>
      <c r="AJ27" s="18"/>
      <c r="AK27" s="18"/>
      <c r="AL27" s="18"/>
      <c r="AM27" s="18"/>
      <c r="AN27" s="29"/>
    </row>
    <row r="28" spans="1:40" x14ac:dyDescent="0.25">
      <c r="A28" s="164">
        <v>2</v>
      </c>
      <c r="B28" s="286" t="s">
        <v>200</v>
      </c>
      <c r="C28" s="287"/>
      <c r="D28" s="287"/>
      <c r="E28" s="288"/>
      <c r="F28" s="79">
        <v>13</v>
      </c>
      <c r="G28" s="60">
        <f>IF(F28&gt;=13,0.963,EXP(-0.0376*(F28-12)))</f>
        <v>0.96299999999999997</v>
      </c>
      <c r="H28" s="61">
        <v>1</v>
      </c>
      <c r="I28" s="28"/>
      <c r="J28" s="296"/>
      <c r="K28" s="296"/>
      <c r="L28" s="296"/>
      <c r="M28" s="296"/>
      <c r="N28" s="296"/>
      <c r="O28" s="45"/>
      <c r="P28" s="29"/>
      <c r="Q28" s="164">
        <v>2</v>
      </c>
      <c r="R28" s="286" t="s">
        <v>200</v>
      </c>
      <c r="S28" s="287"/>
      <c r="T28" s="287"/>
      <c r="U28" s="288"/>
      <c r="V28" s="79">
        <v>13</v>
      </c>
      <c r="W28" s="60">
        <f>IF(V28&gt;=13,0.963,EXP(-0.0376*(V28-12)))</f>
        <v>0.96299999999999997</v>
      </c>
      <c r="X28" s="61">
        <v>1</v>
      </c>
      <c r="Y28" s="28"/>
      <c r="Z28" s="296"/>
      <c r="AA28" s="296"/>
      <c r="AB28" s="296"/>
      <c r="AC28" s="296"/>
      <c r="AD28" s="296"/>
      <c r="AE28" s="45"/>
      <c r="AF28" s="29"/>
      <c r="AG28" s="264" t="s">
        <v>20</v>
      </c>
      <c r="AH28" s="263"/>
      <c r="AI28" s="56">
        <f>AN8+AN10</f>
        <v>8.6020074338216762E-2</v>
      </c>
      <c r="AJ28" s="18"/>
      <c r="AK28" s="18"/>
      <c r="AL28" s="18"/>
      <c r="AM28" s="18"/>
      <c r="AN28" s="29"/>
    </row>
    <row r="29" spans="1:40" x14ac:dyDescent="0.25">
      <c r="A29" s="164">
        <v>3</v>
      </c>
      <c r="B29" s="286" t="s">
        <v>208</v>
      </c>
      <c r="C29" s="287"/>
      <c r="D29" s="287"/>
      <c r="E29" s="288"/>
      <c r="F29" s="77">
        <v>10</v>
      </c>
      <c r="G29" s="60">
        <f>EXP(-0.0172*(F29-6))</f>
        <v>0.9335133640819957</v>
      </c>
      <c r="H29" s="61">
        <f>EXP(-0.0153*(F29-6))</f>
        <v>0.94063509394326494</v>
      </c>
      <c r="I29" s="28"/>
      <c r="J29" s="18"/>
      <c r="K29" s="18"/>
      <c r="L29" s="18"/>
      <c r="M29" s="18"/>
      <c r="N29" s="18"/>
      <c r="O29" s="18"/>
      <c r="P29" s="29"/>
      <c r="Q29" s="164">
        <v>3</v>
      </c>
      <c r="R29" s="286" t="s">
        <v>208</v>
      </c>
      <c r="S29" s="287"/>
      <c r="T29" s="287"/>
      <c r="U29" s="288"/>
      <c r="V29" s="77">
        <v>10</v>
      </c>
      <c r="W29" s="60">
        <f>EXP(-0.0172*(V29-6))</f>
        <v>0.9335133640819957</v>
      </c>
      <c r="X29" s="61">
        <f>EXP(-0.0153*(V29-6))</f>
        <v>0.94063509394326494</v>
      </c>
      <c r="Y29" s="28"/>
      <c r="Z29" s="18"/>
      <c r="AA29" s="18"/>
      <c r="AB29" s="18"/>
      <c r="AC29" s="18"/>
      <c r="AD29" s="18"/>
      <c r="AE29" s="18"/>
      <c r="AF29" s="29"/>
      <c r="AG29" s="264" t="s">
        <v>21</v>
      </c>
      <c r="AH29" s="267"/>
      <c r="AI29" s="56">
        <f>AN9+AN11</f>
        <v>0.19257781788465053</v>
      </c>
      <c r="AJ29" s="18"/>
      <c r="AK29" s="18"/>
      <c r="AL29" s="18"/>
      <c r="AM29" s="18"/>
      <c r="AN29" s="29"/>
    </row>
    <row r="30" spans="1:40" x14ac:dyDescent="0.25">
      <c r="A30" s="164">
        <v>5</v>
      </c>
      <c r="B30" s="286" t="s">
        <v>210</v>
      </c>
      <c r="C30" s="287"/>
      <c r="D30" s="288"/>
      <c r="E30" s="76">
        <v>1</v>
      </c>
      <c r="F30" s="78">
        <v>50</v>
      </c>
      <c r="G30" s="60">
        <f>(1-E30)+E30*EXP(0.131/F30)</f>
        <v>1.002623435199419</v>
      </c>
      <c r="H30" s="61">
        <f>(1-E30)+E30*EXP(0.169/F30)</f>
        <v>1.0033857186411872</v>
      </c>
      <c r="I30" s="28" t="s">
        <v>90</v>
      </c>
      <c r="J30" s="296" t="s">
        <v>91</v>
      </c>
      <c r="K30" s="296"/>
      <c r="L30" s="296"/>
      <c r="M30" s="296"/>
      <c r="N30" s="296"/>
      <c r="O30" s="44">
        <f>((1+(EXP(-L11*P5+N11*LN(M11*N7)))/(L11*J8))*(1-EXP(-L11*J8)))*((1+(EXP(-L11*N6+N11*LN(M11*L7)))/(L11*J8))*(1-EXP(-L11*J8)))</f>
        <v>1.0576539184458691</v>
      </c>
      <c r="P30" s="205">
        <f>((1+(EXP(-L12*P5+N12*LN(M12*N7)))/(L12*J8))*(1-EXP(-L12*J8)))*((1+(EXP(-L12*N6+N12*LN(M12*L7)))/(L12*J8))*(1-EXP(-L12*J8)))</f>
        <v>1.0524059611112813</v>
      </c>
      <c r="Q30" s="164">
        <v>5</v>
      </c>
      <c r="R30" s="286" t="s">
        <v>210</v>
      </c>
      <c r="S30" s="287"/>
      <c r="T30" s="288"/>
      <c r="U30" s="76">
        <v>1</v>
      </c>
      <c r="V30" s="78">
        <v>50</v>
      </c>
      <c r="W30" s="60">
        <f>(1-U30)+U30*EXP(0.131/V30)</f>
        <v>1.002623435199419</v>
      </c>
      <c r="X30" s="61">
        <f>(1-U30)+U30*EXP(0.169/V30)</f>
        <v>1.0033857186411872</v>
      </c>
      <c r="Y30" s="28" t="s">
        <v>90</v>
      </c>
      <c r="Z30" s="296" t="s">
        <v>91</v>
      </c>
      <c r="AA30" s="296"/>
      <c r="AB30" s="296"/>
      <c r="AC30" s="296"/>
      <c r="AD30" s="296"/>
      <c r="AE30" s="44">
        <f>((1+(EXP(-AB11*AF5+AD11*LN(AC11*AD7)))/(AB11*Z8))*(1-EXP(-AB11*Z8)))*((1+(EXP(-AB11*AD6+AD11*LN(AC11*AB7)))/(AB11*Z8))*(1-EXP(-AB11*Z8)))</f>
        <v>1.0649118119198444</v>
      </c>
      <c r="AF30" s="205">
        <f>((1+(EXP(-AB12*AF5+AD12*LN(AC12*AD7)))/(AB12*Z8))*(1-EXP(-AB12*Z8)))*((1+(EXP(-AB12*AD6+AD12*LN(AC12*AB7)))/(AB12*Z8))*(1-EXP(-AB12*Z8)))</f>
        <v>1.0592590764507597</v>
      </c>
      <c r="AG30" s="28"/>
      <c r="AH30" s="18"/>
      <c r="AI30" s="18"/>
      <c r="AJ30" s="18"/>
      <c r="AK30" s="18"/>
      <c r="AL30" s="18"/>
      <c r="AM30" s="18"/>
      <c r="AN30" s="29"/>
    </row>
    <row r="31" spans="1:40" x14ac:dyDescent="0.25">
      <c r="A31" s="164" t="s">
        <v>214</v>
      </c>
      <c r="B31" s="268"/>
      <c r="C31" s="268"/>
      <c r="D31" s="268"/>
      <c r="E31" s="268"/>
      <c r="F31" s="268"/>
      <c r="G31" s="60"/>
      <c r="H31" s="61"/>
      <c r="I31" s="28"/>
      <c r="J31" s="296"/>
      <c r="K31" s="296"/>
      <c r="L31" s="296"/>
      <c r="M31" s="296"/>
      <c r="N31" s="296"/>
      <c r="O31" s="18"/>
      <c r="P31" s="29"/>
      <c r="Q31" s="164" t="s">
        <v>214</v>
      </c>
      <c r="R31" s="268"/>
      <c r="S31" s="268"/>
      <c r="T31" s="268"/>
      <c r="U31" s="268"/>
      <c r="V31" s="268"/>
      <c r="W31" s="60"/>
      <c r="X31" s="61"/>
      <c r="Y31" s="28"/>
      <c r="Z31" s="296"/>
      <c r="AA31" s="296"/>
      <c r="AB31" s="296"/>
      <c r="AC31" s="296"/>
      <c r="AD31" s="296"/>
      <c r="AE31" s="18"/>
      <c r="AF31" s="29"/>
      <c r="AG31" s="28"/>
      <c r="AH31" s="18"/>
      <c r="AI31" s="18"/>
      <c r="AJ31" s="18"/>
      <c r="AK31" s="18"/>
      <c r="AL31" s="18"/>
      <c r="AM31" s="18"/>
      <c r="AN31" s="29"/>
    </row>
    <row r="32" spans="1:40" x14ac:dyDescent="0.25">
      <c r="A32" s="164"/>
      <c r="B32" s="302"/>
      <c r="C32" s="302"/>
      <c r="D32" s="302"/>
      <c r="E32" s="302"/>
      <c r="F32" s="302"/>
      <c r="G32" s="22">
        <f>IF(G27=0,1,G27)*IF(G28=0,1,G28)*IF(G29=0,1,G29)*IF(G30=0,1,G30)*IF(G31=0,1,G31)</f>
        <v>0.90133176799213954</v>
      </c>
      <c r="H32" s="37">
        <f>IF(H27=0,1,H27)*IF(H28=0,1,H28)*IF(H29=0,1,H29)*IF(H30=0,1,H30)*IF(H31=0,1,H31)</f>
        <v>0.94381981971538353</v>
      </c>
      <c r="I32" s="28"/>
      <c r="J32" s="18"/>
      <c r="K32" s="18"/>
      <c r="L32" s="18"/>
      <c r="M32" s="18"/>
      <c r="N32" s="18"/>
      <c r="O32" s="18"/>
      <c r="P32" s="29"/>
      <c r="Q32" s="164"/>
      <c r="R32" s="302"/>
      <c r="S32" s="302"/>
      <c r="T32" s="302"/>
      <c r="U32" s="302"/>
      <c r="V32" s="302"/>
      <c r="W32" s="22">
        <f>IF(W27=0,1,W27)*IF(W28=0,1,W28)*IF(W29=0,1,W29)*IF(W30=0,1,W30)*IF(W31=0,1,W31)</f>
        <v>0.90133176799213954</v>
      </c>
      <c r="X32" s="37">
        <f>IF(X27=0,1,X27)*IF(X28=0,1,X28)*IF(X29=0,1,X29)*IF(X30=0,1,X30)*IF(X31=0,1,X31)</f>
        <v>0.94381981971538353</v>
      </c>
      <c r="Y32" s="28"/>
      <c r="Z32" s="18"/>
      <c r="AA32" s="18"/>
      <c r="AB32" s="18"/>
      <c r="AC32" s="18"/>
      <c r="AD32" s="18"/>
      <c r="AE32" s="18"/>
      <c r="AF32" s="29"/>
      <c r="AG32" s="35"/>
      <c r="AH32" s="273" t="s">
        <v>212</v>
      </c>
      <c r="AI32" s="273"/>
      <c r="AJ32" s="273"/>
      <c r="AK32" s="273"/>
      <c r="AL32" s="273"/>
      <c r="AM32" s="164" t="s">
        <v>20</v>
      </c>
      <c r="AN32" s="36" t="s">
        <v>21</v>
      </c>
    </row>
    <row r="33" spans="1:40" x14ac:dyDescent="0.25">
      <c r="A33" s="164"/>
      <c r="B33" s="273" t="s">
        <v>213</v>
      </c>
      <c r="C33" s="273"/>
      <c r="D33" s="273"/>
      <c r="E33" s="273"/>
      <c r="F33" s="273"/>
      <c r="G33" s="209" t="s">
        <v>20</v>
      </c>
      <c r="H33" s="210" t="s">
        <v>21</v>
      </c>
      <c r="I33" s="28" t="s">
        <v>92</v>
      </c>
      <c r="J33" s="18" t="s">
        <v>93</v>
      </c>
      <c r="K33" s="18"/>
      <c r="L33" s="18"/>
      <c r="M33" s="18"/>
      <c r="N33" s="18"/>
      <c r="O33" s="20">
        <f>(0.5*O24*O27)+(0.5*O25*O30)</f>
        <v>1.4207164336643965</v>
      </c>
      <c r="P33" s="206">
        <f>(0.5*P24*P27)+(0.5*P25*P30)</f>
        <v>1.2960719271227639</v>
      </c>
      <c r="Q33" s="164"/>
      <c r="R33" s="273" t="s">
        <v>213</v>
      </c>
      <c r="S33" s="273"/>
      <c r="T33" s="273"/>
      <c r="U33" s="273"/>
      <c r="V33" s="273"/>
      <c r="W33" s="164" t="s">
        <v>20</v>
      </c>
      <c r="X33" s="36" t="s">
        <v>21</v>
      </c>
      <c r="Y33" s="28" t="s">
        <v>92</v>
      </c>
      <c r="Z33" s="18" t="s">
        <v>93</v>
      </c>
      <c r="AA33" s="18"/>
      <c r="AB33" s="18"/>
      <c r="AC33" s="18"/>
      <c r="AD33" s="18"/>
      <c r="AE33" s="20">
        <f>(0.5*AE24*AE27)+(0.5*AE25*AE30)</f>
        <v>1.2473131244442754</v>
      </c>
      <c r="AF33" s="20">
        <f>(0.5*AF24*AF27)+(0.5*AF25*AF30)</f>
        <v>1.1817238044403071</v>
      </c>
      <c r="AG33" s="168">
        <v>1</v>
      </c>
      <c r="AH33" s="272" t="s">
        <v>199</v>
      </c>
      <c r="AI33" s="272"/>
      <c r="AJ33" s="272"/>
      <c r="AK33" s="272"/>
      <c r="AL33" s="272"/>
      <c r="AM33" s="60">
        <v>1</v>
      </c>
      <c r="AN33" s="61">
        <v>1</v>
      </c>
    </row>
    <row r="34" spans="1:40" x14ac:dyDescent="0.25">
      <c r="A34" s="164">
        <v>4</v>
      </c>
      <c r="B34" s="286" t="s">
        <v>209</v>
      </c>
      <c r="C34" s="288"/>
      <c r="D34" s="80">
        <v>85</v>
      </c>
      <c r="E34" s="76">
        <v>0.5</v>
      </c>
      <c r="F34" s="78">
        <v>50</v>
      </c>
      <c r="G34" s="60">
        <f>(1-E34)*EXP(-0.00302*(D34-2*F34-48))+E34*EXP(-0.00302*(2*F34-48))</f>
        <v>1.0321169573839539</v>
      </c>
      <c r="H34" s="61">
        <f>(1-E34)*EXP(-0.00291*(D34-2*F34-48))+E34*EXP(-0.00291*(2*F34-48))</f>
        <v>1.030391666821088</v>
      </c>
      <c r="I34" s="28"/>
      <c r="J34" s="18"/>
      <c r="K34" s="18"/>
      <c r="L34" s="18"/>
      <c r="M34" s="18"/>
      <c r="N34" s="18"/>
      <c r="O34" s="18"/>
      <c r="P34" s="29"/>
      <c r="Q34" s="164">
        <v>4</v>
      </c>
      <c r="R34" s="286" t="s">
        <v>209</v>
      </c>
      <c r="S34" s="288"/>
      <c r="T34" s="80">
        <v>85</v>
      </c>
      <c r="U34" s="76">
        <v>0.5</v>
      </c>
      <c r="V34" s="78">
        <v>50</v>
      </c>
      <c r="W34" s="60">
        <f>(1-U34)*EXP(-0.00302*(T34-2*V34-48))+U34*EXP(-0.00302*(2*V34-48))</f>
        <v>1.0321169573839539</v>
      </c>
      <c r="X34" s="61">
        <f>(1-U34)*EXP(-0.00291*(T34-2*V34-48))+U34*EXP(-0.00291*(2*V34-48))</f>
        <v>1.030391666821088</v>
      </c>
      <c r="Y34" s="28"/>
      <c r="Z34" s="18"/>
      <c r="AA34" s="18"/>
      <c r="AB34" s="18"/>
      <c r="AC34" s="18"/>
      <c r="AD34" s="18"/>
      <c r="AE34" s="18"/>
      <c r="AF34" s="29"/>
      <c r="AG34" s="168">
        <v>2</v>
      </c>
      <c r="AH34" s="289" t="s">
        <v>200</v>
      </c>
      <c r="AI34" s="290"/>
      <c r="AJ34" s="290"/>
      <c r="AK34" s="291"/>
      <c r="AL34" s="69">
        <v>13</v>
      </c>
      <c r="AM34" s="60">
        <f>EXP(-0.458*(AL34-14))</f>
        <v>1.5809090030614199</v>
      </c>
      <c r="AN34" s="61">
        <v>1</v>
      </c>
    </row>
    <row r="35" spans="1:40" x14ac:dyDescent="0.25">
      <c r="A35" s="164">
        <v>6</v>
      </c>
      <c r="B35" s="286" t="s">
        <v>211</v>
      </c>
      <c r="C35" s="288"/>
      <c r="D35" s="303">
        <v>0.5</v>
      </c>
      <c r="E35" s="304"/>
      <c r="F35" s="305"/>
      <c r="G35" s="60">
        <f>EXP(0.35*D35)</f>
        <v>1.1912462166123581</v>
      </c>
      <c r="H35" s="61">
        <f>EXP(0.283*D35)</f>
        <v>1.1520005042608086</v>
      </c>
      <c r="I35" s="30"/>
      <c r="J35" s="31"/>
      <c r="K35" s="31"/>
      <c r="L35" s="31"/>
      <c r="M35" s="31"/>
      <c r="N35" s="31"/>
      <c r="O35" s="31"/>
      <c r="P35" s="32"/>
      <c r="Q35" s="164">
        <v>6</v>
      </c>
      <c r="R35" s="286" t="s">
        <v>211</v>
      </c>
      <c r="S35" s="288"/>
      <c r="T35" s="303">
        <v>0.5</v>
      </c>
      <c r="U35" s="304"/>
      <c r="V35" s="305"/>
      <c r="W35" s="60">
        <f>EXP(0.35*T35)</f>
        <v>1.1912462166123581</v>
      </c>
      <c r="X35" s="61">
        <f>EXP(0.283*T35)</f>
        <v>1.1520005042608086</v>
      </c>
      <c r="Y35" s="30"/>
      <c r="Z35" s="31"/>
      <c r="AA35" s="31"/>
      <c r="AB35" s="31"/>
      <c r="AC35" s="31"/>
      <c r="AD35" s="31"/>
      <c r="AE35" s="31"/>
      <c r="AF35" s="32"/>
      <c r="AG35" s="168">
        <v>3</v>
      </c>
      <c r="AH35" s="289" t="s">
        <v>201</v>
      </c>
      <c r="AI35" s="290"/>
      <c r="AJ35" s="290"/>
      <c r="AK35" s="291"/>
      <c r="AL35" s="70">
        <v>10</v>
      </c>
      <c r="AM35" s="60">
        <f>EXP(-0.0539*(AL35-8))</f>
        <v>0.89780713990346983</v>
      </c>
      <c r="AN35" s="61">
        <f>EXP(-0.0259*(AM35-8))</f>
        <v>1.2019518716376694</v>
      </c>
    </row>
    <row r="36" spans="1:40" x14ac:dyDescent="0.25">
      <c r="A36" s="164">
        <v>7</v>
      </c>
      <c r="B36" s="268" t="s">
        <v>348</v>
      </c>
      <c r="C36" s="268"/>
      <c r="D36" s="268"/>
      <c r="E36" s="268"/>
      <c r="F36" s="268"/>
      <c r="G36" s="60">
        <f>O33</f>
        <v>1.4207164336643965</v>
      </c>
      <c r="H36" s="60">
        <f>P33</f>
        <v>1.2960719271227639</v>
      </c>
      <c r="Q36" s="164">
        <v>7</v>
      </c>
      <c r="R36" s="268" t="s">
        <v>348</v>
      </c>
      <c r="S36" s="268"/>
      <c r="T36" s="268"/>
      <c r="U36" s="268"/>
      <c r="V36" s="268"/>
      <c r="W36" s="60">
        <f>AE33</f>
        <v>1.2473131244442754</v>
      </c>
      <c r="X36" s="60">
        <f>AF33</f>
        <v>1.1817238044403071</v>
      </c>
      <c r="AG36" s="168">
        <v>4</v>
      </c>
      <c r="AH36" s="289" t="s">
        <v>202</v>
      </c>
      <c r="AI36" s="290"/>
      <c r="AJ36" s="290"/>
      <c r="AK36" s="291"/>
      <c r="AL36" s="70">
        <v>10</v>
      </c>
      <c r="AM36" s="60">
        <f>EXP(-0.0539*(AL36-4))</f>
        <v>0.72368432273635486</v>
      </c>
      <c r="AN36" s="61">
        <f>EXP(-0.0259*(AM36-4))</f>
        <v>1.0885609297837566</v>
      </c>
    </row>
    <row r="37" spans="1:40" x14ac:dyDescent="0.25">
      <c r="A37" s="164" t="s">
        <v>214</v>
      </c>
      <c r="B37" s="295"/>
      <c r="C37" s="300"/>
      <c r="D37" s="300"/>
      <c r="E37" s="300"/>
      <c r="F37" s="301"/>
      <c r="G37" s="60"/>
      <c r="H37" s="61"/>
      <c r="Q37" s="164" t="s">
        <v>214</v>
      </c>
      <c r="R37" s="295"/>
      <c r="S37" s="300"/>
      <c r="T37" s="300"/>
      <c r="U37" s="300"/>
      <c r="V37" s="301"/>
      <c r="W37" s="171"/>
      <c r="X37" s="174"/>
      <c r="AG37" s="168">
        <v>5</v>
      </c>
      <c r="AH37" s="289" t="s">
        <v>203</v>
      </c>
      <c r="AI37" s="290"/>
      <c r="AJ37" s="291"/>
      <c r="AK37" s="72">
        <v>1</v>
      </c>
      <c r="AL37" s="71">
        <v>4</v>
      </c>
      <c r="AM37" s="60">
        <f>(1-AK37)+AK37*EXP(0.21/AL37)</f>
        <v>1.0539025620785374</v>
      </c>
      <c r="AN37" s="61">
        <f>(1-AK37)+AK37*EXP(0.193/AL37)</f>
        <v>1.049432980777617</v>
      </c>
    </row>
    <row r="38" spans="1:40" x14ac:dyDescent="0.25">
      <c r="A38" s="164"/>
      <c r="B38" s="302"/>
      <c r="C38" s="302"/>
      <c r="D38" s="302"/>
      <c r="E38" s="302"/>
      <c r="F38" s="302"/>
      <c r="G38" s="22">
        <f>IF(G37=0,1,G37)*IF(G34=0,1,G34)*IF(G36=0,1,G36)*IF(G35=0,1,G35)</f>
        <v>1.746778556304698</v>
      </c>
      <c r="H38" s="37">
        <f>IF(H37=0,1,H37)*IF(H34=0,1,H34)*IF(H36=0,1,H36)*IF(H35=0,1,H35)</f>
        <v>1.5384525671518703</v>
      </c>
      <c r="Q38" s="164"/>
      <c r="R38" s="302"/>
      <c r="S38" s="302"/>
      <c r="T38" s="302"/>
      <c r="U38" s="302"/>
      <c r="V38" s="302"/>
      <c r="W38" s="22">
        <f>IF(W37=0,1,W37)*IF(W34=0,1,W34)*IF(W36=0,1,W36)*IF(W35=0,1,W35)</f>
        <v>1.5335782476711659</v>
      </c>
      <c r="X38" s="37">
        <f>IF(X37=0,1,X37)*IF(X34=0,1,X34)*IF(X36=0,1,X36)*IF(X35=0,1,X35)</f>
        <v>1.4027200053947793</v>
      </c>
      <c r="AG38" s="168">
        <v>6</v>
      </c>
      <c r="AH38" s="289" t="s">
        <v>204</v>
      </c>
      <c r="AI38" s="290"/>
      <c r="AJ38" s="291"/>
      <c r="AK38" s="72">
        <v>1</v>
      </c>
      <c r="AL38" s="71">
        <v>4</v>
      </c>
      <c r="AM38" s="60">
        <f>(1-AK38)+AK38*EXP(0.21/AL38)</f>
        <v>1.0539025620785374</v>
      </c>
      <c r="AN38" s="61">
        <f>(1-AK38)+AK38*EXP(0.193/AL38)</f>
        <v>1.049432980777617</v>
      </c>
    </row>
    <row r="39" spans="1:40" x14ac:dyDescent="0.25">
      <c r="A39" s="164"/>
      <c r="B39" s="273" t="s">
        <v>215</v>
      </c>
      <c r="C39" s="273"/>
      <c r="D39" s="273"/>
      <c r="E39" s="273"/>
      <c r="F39" s="273"/>
      <c r="G39" s="209" t="s">
        <v>20</v>
      </c>
      <c r="H39" s="210" t="s">
        <v>21</v>
      </c>
      <c r="Q39" s="164"/>
      <c r="R39" s="273" t="s">
        <v>215</v>
      </c>
      <c r="S39" s="273"/>
      <c r="T39" s="273"/>
      <c r="U39" s="273"/>
      <c r="V39" s="273"/>
      <c r="W39" s="164" t="s">
        <v>20</v>
      </c>
      <c r="X39" s="36" t="s">
        <v>21</v>
      </c>
      <c r="AG39" s="168">
        <v>7</v>
      </c>
      <c r="AH39" s="289" t="s">
        <v>205</v>
      </c>
      <c r="AI39" s="290"/>
      <c r="AJ39" s="291"/>
      <c r="AK39" s="73">
        <v>0</v>
      </c>
      <c r="AL39" s="175" t="s">
        <v>206</v>
      </c>
      <c r="AM39" s="60">
        <f>IF(AL39="Not Present",1,(1-AK39)+AK39*EXP(-0.231*IF(AL39="Lane Add",1,-1)))</f>
        <v>1</v>
      </c>
      <c r="AN39" s="61">
        <v>1</v>
      </c>
    </row>
    <row r="40" spans="1:40" x14ac:dyDescent="0.25">
      <c r="A40" s="164"/>
      <c r="B40" s="286" t="s">
        <v>209</v>
      </c>
      <c r="C40" s="288"/>
      <c r="D40" s="80">
        <v>13</v>
      </c>
      <c r="E40" s="76">
        <v>0.5</v>
      </c>
      <c r="F40" s="78">
        <v>13</v>
      </c>
      <c r="G40" s="60">
        <f>(1-E40)*EXP(0.00102*(D40-2*F40-48))+E40*EXP(0.00102*(2*F40-48))</f>
        <v>0.95874301966352415</v>
      </c>
      <c r="H40" s="61">
        <f>(1-E40)*EXP(-0.00289*(D40-2*F40-48))+E40*EXP(-0.00289*(2*F40-48))</f>
        <v>1.1292143249023789</v>
      </c>
      <c r="Q40" s="164"/>
      <c r="R40" s="286" t="s">
        <v>209</v>
      </c>
      <c r="S40" s="288"/>
      <c r="T40" s="80">
        <v>13</v>
      </c>
      <c r="U40" s="76">
        <v>0.5</v>
      </c>
      <c r="V40" s="78">
        <v>13</v>
      </c>
      <c r="W40" s="60">
        <f>(1-U40)*EXP(0.00102*(T40-2*V40-48))+U40*EXP(0.00102*(2*V40-48))</f>
        <v>0.95874301966352415</v>
      </c>
      <c r="X40" s="61">
        <f>(1-U40)*EXP(-0.00289*(T40-2*V40-48))+U40*EXP(-0.00289*(2*V40-48))</f>
        <v>1.1292143249023789</v>
      </c>
      <c r="AG40" s="168" t="s">
        <v>214</v>
      </c>
      <c r="AH40" s="295"/>
      <c r="AI40" s="300"/>
      <c r="AJ40" s="300"/>
      <c r="AK40" s="300"/>
      <c r="AL40" s="301"/>
      <c r="AM40" s="60"/>
      <c r="AN40" s="61"/>
    </row>
    <row r="41" spans="1:40" x14ac:dyDescent="0.25">
      <c r="A41" s="164">
        <v>6</v>
      </c>
      <c r="B41" s="286" t="s">
        <v>211</v>
      </c>
      <c r="C41" s="288"/>
      <c r="D41" s="303">
        <v>0.3</v>
      </c>
      <c r="E41" s="304"/>
      <c r="F41" s="305"/>
      <c r="G41" s="60">
        <f>EXP(-0.0675*D41)</f>
        <v>0.9799536542670847</v>
      </c>
      <c r="H41" s="61">
        <f>EXP(-0.611*D41)</f>
        <v>0.83251836276118962</v>
      </c>
      <c r="Q41" s="164">
        <v>6</v>
      </c>
      <c r="R41" s="286" t="s">
        <v>211</v>
      </c>
      <c r="S41" s="288"/>
      <c r="T41" s="303">
        <v>0.3</v>
      </c>
      <c r="U41" s="304"/>
      <c r="V41" s="305"/>
      <c r="W41" s="60">
        <f>EXP(-0.0675*T41)</f>
        <v>0.9799536542670847</v>
      </c>
      <c r="X41" s="61">
        <f>EXP(-0.611*T41)</f>
        <v>0.83251836276118962</v>
      </c>
      <c r="AG41" s="168"/>
      <c r="AH41" s="302"/>
      <c r="AI41" s="302"/>
      <c r="AJ41" s="302"/>
      <c r="AK41" s="302"/>
      <c r="AL41" s="302"/>
      <c r="AM41" s="22">
        <f>IF(AM33=0,1,AM33)*IF(AM34=0,1,AM34)*IF(AM35=0,1,AM35)*IF(AM36=0,1,AM36)*IF(AM37=0,1,AM37)*IF(AM38=0,1,AM38)</f>
        <v>1.1408801204240269</v>
      </c>
      <c r="AN41" s="37">
        <f>IF(AN33=0,1,AN33)*IF(AN34=0,1,AN34)*IF(AN35=0,1,AN35)*IF(AN36=0,1,AN36)*IF(AN37=0,1,AN37)*IF(AN38=0,1,AN38)</f>
        <v>1.4409510847886911</v>
      </c>
    </row>
    <row r="42" spans="1:40" x14ac:dyDescent="0.25">
      <c r="A42" s="164">
        <v>8</v>
      </c>
      <c r="B42" s="306" t="s">
        <v>216</v>
      </c>
      <c r="C42" s="306"/>
      <c r="D42" s="306"/>
      <c r="E42" s="306"/>
      <c r="F42" s="77">
        <v>8</v>
      </c>
      <c r="G42" s="60">
        <f>EXP(-0.0647*(F42-10))</f>
        <v>1.1381452912427443</v>
      </c>
      <c r="H42" s="61">
        <f>EXP(0*(F42-10))</f>
        <v>1</v>
      </c>
      <c r="Q42" s="164">
        <v>8</v>
      </c>
      <c r="R42" s="306" t="s">
        <v>216</v>
      </c>
      <c r="S42" s="306"/>
      <c r="T42" s="306"/>
      <c r="U42" s="306"/>
      <c r="V42" s="77">
        <v>8</v>
      </c>
      <c r="W42" s="60">
        <f>EXP(-0.0647*(V42-10))</f>
        <v>1.1381452912427443</v>
      </c>
      <c r="X42" s="61">
        <f>EXP(0*(V42-10))</f>
        <v>1</v>
      </c>
      <c r="AG42" s="168"/>
      <c r="AH42" s="273" t="s">
        <v>213</v>
      </c>
      <c r="AI42" s="273"/>
      <c r="AJ42" s="273"/>
      <c r="AK42" s="273"/>
      <c r="AL42" s="273"/>
      <c r="AM42" s="164" t="s">
        <v>20</v>
      </c>
      <c r="AN42" s="36" t="s">
        <v>21</v>
      </c>
    </row>
    <row r="43" spans="1:40" x14ac:dyDescent="0.25">
      <c r="A43" s="164">
        <v>9</v>
      </c>
      <c r="B43" s="286" t="s">
        <v>217</v>
      </c>
      <c r="C43" s="287"/>
      <c r="D43" s="288"/>
      <c r="E43" s="82">
        <v>0</v>
      </c>
      <c r="F43" s="81">
        <v>0</v>
      </c>
      <c r="G43" s="60">
        <f>0.5*((1-E43)+E43*0.811)+0.5*((1-F43)+F43*0.811)</f>
        <v>1</v>
      </c>
      <c r="H43" s="61">
        <v>1</v>
      </c>
      <c r="Q43" s="164">
        <v>9</v>
      </c>
      <c r="R43" s="286" t="s">
        <v>217</v>
      </c>
      <c r="S43" s="287"/>
      <c r="T43" s="288"/>
      <c r="U43" s="82">
        <v>0</v>
      </c>
      <c r="V43" s="81">
        <v>0</v>
      </c>
      <c r="W43" s="60">
        <f>0.5*((1-U43)+U43*0.811)+0.5*((1-V43)+V43*0.811)</f>
        <v>1</v>
      </c>
      <c r="X43" s="61">
        <v>1</v>
      </c>
      <c r="AG43" s="168">
        <v>8</v>
      </c>
      <c r="AH43" s="289" t="s">
        <v>207</v>
      </c>
      <c r="AI43" s="290"/>
      <c r="AJ43" s="290"/>
      <c r="AK43" s="291"/>
      <c r="AL43" s="74">
        <v>0.1</v>
      </c>
      <c r="AM43" s="60">
        <f>(1-AL43)+AL43*EXP(0.31)</f>
        <v>1.0363425114132179</v>
      </c>
      <c r="AN43" s="61">
        <v>1</v>
      </c>
    </row>
    <row r="44" spans="1:40" x14ac:dyDescent="0.25">
      <c r="A44" s="164">
        <v>10</v>
      </c>
      <c r="B44" s="286" t="s">
        <v>218</v>
      </c>
      <c r="C44" s="288"/>
      <c r="D44" s="76">
        <v>0</v>
      </c>
      <c r="E44" s="83">
        <v>40</v>
      </c>
      <c r="F44" s="84">
        <v>20</v>
      </c>
      <c r="G44" s="60">
        <f>(1-D44)*EXP(-0.00451*(E44-F44-20))+D44*EXP(-0.00451*(F44-20))</f>
        <v>1</v>
      </c>
      <c r="H44" s="61">
        <v>1</v>
      </c>
      <c r="Q44" s="164">
        <v>10</v>
      </c>
      <c r="R44" s="286" t="s">
        <v>218</v>
      </c>
      <c r="S44" s="288"/>
      <c r="T44" s="76">
        <v>0</v>
      </c>
      <c r="U44" s="83">
        <v>40</v>
      </c>
      <c r="V44" s="84">
        <v>20</v>
      </c>
      <c r="W44" s="60">
        <f>(1-T44)*EXP(-0.00451*(U44-V44-20))+T44*EXP(-0.00451*(V44-20))</f>
        <v>1</v>
      </c>
      <c r="X44" s="61">
        <v>1</v>
      </c>
      <c r="AG44" s="168" t="s">
        <v>214</v>
      </c>
      <c r="AH44" s="268"/>
      <c r="AI44" s="268"/>
      <c r="AJ44" s="268"/>
      <c r="AK44" s="268"/>
      <c r="AL44" s="268"/>
      <c r="AM44" s="60"/>
      <c r="AN44" s="61"/>
    </row>
    <row r="45" spans="1:40" x14ac:dyDescent="0.25">
      <c r="A45" s="164">
        <v>11</v>
      </c>
      <c r="B45" s="286" t="s">
        <v>219</v>
      </c>
      <c r="C45" s="287"/>
      <c r="D45" s="288"/>
      <c r="E45" s="76">
        <v>1</v>
      </c>
      <c r="F45" s="78">
        <v>50</v>
      </c>
      <c r="G45" s="60">
        <f>(1-E45)+E45*EXP(0.131/F45)</f>
        <v>1.002623435199419</v>
      </c>
      <c r="H45" s="61">
        <f>(1-E45)+E45*EXP(0.169/F45)</f>
        <v>1.0033857186411872</v>
      </c>
      <c r="Q45" s="164">
        <v>11</v>
      </c>
      <c r="R45" s="286" t="s">
        <v>219</v>
      </c>
      <c r="S45" s="287"/>
      <c r="T45" s="288"/>
      <c r="U45" s="76">
        <v>1</v>
      </c>
      <c r="V45" s="78">
        <v>50</v>
      </c>
      <c r="W45" s="60">
        <f>(1-U45)+U45*EXP(0.131/V45)</f>
        <v>1.002623435199419</v>
      </c>
      <c r="X45" s="61">
        <f>(1-U45)+U45*EXP(0.169/V45)</f>
        <v>1.0033857186411872</v>
      </c>
      <c r="AG45" s="28"/>
      <c r="AH45" s="170"/>
      <c r="AI45" s="170"/>
      <c r="AJ45" s="170"/>
      <c r="AK45" s="170"/>
      <c r="AL45" s="18"/>
      <c r="AM45" s="22">
        <f>IF(AM44=0,1,AM44)*IF(AM43=0,1,AM43)</f>
        <v>1.0363425114132179</v>
      </c>
      <c r="AN45" s="37">
        <f>IF(AN44=0,1,AN44)*IF(AN43=0,1,AN43)</f>
        <v>1</v>
      </c>
    </row>
    <row r="46" spans="1:40" x14ac:dyDescent="0.25">
      <c r="A46" s="164" t="s">
        <v>214</v>
      </c>
      <c r="B46" s="268"/>
      <c r="C46" s="268"/>
      <c r="D46" s="268"/>
      <c r="E46" s="268"/>
      <c r="F46" s="268"/>
      <c r="G46" s="60"/>
      <c r="H46" s="61"/>
      <c r="Q46" s="164" t="s">
        <v>214</v>
      </c>
      <c r="R46" s="268"/>
      <c r="S46" s="268"/>
      <c r="T46" s="268"/>
      <c r="U46" s="268"/>
      <c r="V46" s="268"/>
      <c r="W46" s="60"/>
      <c r="X46" s="61"/>
      <c r="AG46" s="28"/>
      <c r="AH46" s="18"/>
      <c r="AI46" s="18"/>
      <c r="AJ46" s="18"/>
      <c r="AK46" s="18"/>
      <c r="AL46" s="23"/>
      <c r="AM46" s="23"/>
      <c r="AN46" s="29"/>
    </row>
    <row r="47" spans="1:40" x14ac:dyDescent="0.25">
      <c r="A47" s="18"/>
      <c r="B47" s="170"/>
      <c r="C47" s="170"/>
      <c r="D47" s="170"/>
      <c r="E47" s="170"/>
      <c r="F47" s="18"/>
      <c r="G47" s="22">
        <f>IF(G43=0,1,G43)*IF(G42=0,1,G42)*IF(G45=0,1,G45)*IF(G44=0,1,G44)*IF(G41=0,1,G41)*IF(G40=0,1,G40)*IF(G46=0,1,G46)</f>
        <v>1.0721197816377981</v>
      </c>
      <c r="H47" s="37">
        <f>IF(H43=0,1,H43)*IF(H42=0,1,H42)*IF(H45=0,1,H45)*IF(H44=0,1,H44)*IF(H41=0,1,H41)*IF(H40=0,1,H40)*IF(H46=0,1,H46)</f>
        <v>0.94327454683519563</v>
      </c>
      <c r="Q47" s="18"/>
      <c r="R47" s="170"/>
      <c r="S47" s="170"/>
      <c r="T47" s="170"/>
      <c r="U47" s="170"/>
      <c r="V47" s="18"/>
      <c r="W47" s="22">
        <f>IF(W43=0,1,W43)*IF(W42=0,1,W42)*IF(W45=0,1,W45)*IF(W44=0,1,W44)*IF(W41=0,1,W41)*IF(W40=0,1,W40)*IF(W46=0,1,W46)</f>
        <v>1.0721197816377981</v>
      </c>
      <c r="X47" s="37">
        <f>IF(X43=0,1,X43)*IF(X42=0,1,X42)*IF(X45=0,1,X45)*IF(X44=0,1,X44)*IF(X41=0,1,X41)*IF(X40=0,1,X40)*IF(X46=0,1,X46)</f>
        <v>0.94327454683519563</v>
      </c>
      <c r="AG47" s="293"/>
      <c r="AH47" s="259"/>
      <c r="AI47" s="259"/>
      <c r="AJ47" s="18"/>
      <c r="AK47" s="18"/>
      <c r="AL47" s="23"/>
      <c r="AM47" s="23"/>
      <c r="AN47" s="29"/>
    </row>
    <row r="48" spans="1:40" x14ac:dyDescent="0.25">
      <c r="A48" s="18"/>
      <c r="B48" s="18"/>
      <c r="C48" s="18"/>
      <c r="D48" s="18"/>
      <c r="E48" s="18"/>
      <c r="F48" s="23"/>
      <c r="G48" s="23"/>
      <c r="H48" s="29"/>
      <c r="Q48" s="18"/>
      <c r="R48" s="18"/>
      <c r="S48" s="18"/>
      <c r="T48" s="18"/>
      <c r="U48" s="18"/>
      <c r="V48" s="23"/>
      <c r="W48" s="23"/>
      <c r="X48" s="29"/>
      <c r="AG48" s="28"/>
      <c r="AH48" s="18"/>
      <c r="AI48" s="18"/>
      <c r="AJ48" s="18"/>
      <c r="AK48" s="18"/>
      <c r="AL48" s="23"/>
      <c r="AM48" s="23"/>
      <c r="AN48" s="29"/>
    </row>
    <row r="49" spans="1:41" ht="16.5" thickBot="1" x14ac:dyDescent="0.3">
      <c r="A49" s="270" t="s">
        <v>121</v>
      </c>
      <c r="B49" s="270"/>
      <c r="C49" s="270"/>
      <c r="D49" s="270"/>
      <c r="E49" s="270"/>
      <c r="F49" s="270"/>
      <c r="G49" s="270"/>
      <c r="H49" s="271"/>
      <c r="Q49" s="270" t="s">
        <v>121</v>
      </c>
      <c r="R49" s="270"/>
      <c r="S49" s="270"/>
      <c r="T49" s="270"/>
      <c r="U49" s="270"/>
      <c r="V49" s="270"/>
      <c r="W49" s="270"/>
      <c r="X49" s="271"/>
      <c r="AG49" s="269" t="s">
        <v>121</v>
      </c>
      <c r="AH49" s="270"/>
      <c r="AI49" s="270"/>
      <c r="AJ49" s="270"/>
      <c r="AK49" s="270"/>
      <c r="AL49" s="270"/>
      <c r="AM49" s="270"/>
      <c r="AN49" s="271"/>
      <c r="AO49" s="169" t="s">
        <v>335</v>
      </c>
    </row>
    <row r="50" spans="1:41" ht="15.75" thickTop="1" x14ac:dyDescent="0.25">
      <c r="A50" s="28"/>
      <c r="B50" s="18"/>
      <c r="C50" s="18"/>
      <c r="D50" s="18"/>
      <c r="E50" s="18"/>
      <c r="F50" s="18"/>
      <c r="G50" s="18"/>
      <c r="H50" s="29"/>
      <c r="Q50" s="28"/>
      <c r="R50" s="18"/>
      <c r="S50" s="18"/>
      <c r="T50" s="18"/>
      <c r="U50" s="18"/>
      <c r="V50" s="18"/>
      <c r="W50" s="18"/>
      <c r="X50" s="29"/>
      <c r="AG50" s="28"/>
      <c r="AH50" s="18"/>
      <c r="AI50" s="18"/>
      <c r="AJ50" s="18"/>
      <c r="AK50" s="18"/>
      <c r="AL50" s="18"/>
      <c r="AM50" s="18"/>
      <c r="AN50" s="29"/>
      <c r="AO50" s="114"/>
    </row>
    <row r="51" spans="1:41" x14ac:dyDescent="0.25">
      <c r="A51" s="264" t="s">
        <v>19</v>
      </c>
      <c r="B51" s="263"/>
      <c r="C51" s="20">
        <f>C52+C53</f>
        <v>26.645081467725497</v>
      </c>
      <c r="D51" s="18"/>
      <c r="E51" s="18"/>
      <c r="F51" s="18"/>
      <c r="G51" s="18"/>
      <c r="H51" s="29"/>
      <c r="Q51" s="264" t="s">
        <v>19</v>
      </c>
      <c r="R51" s="263"/>
      <c r="S51" s="20">
        <f>S52+S53</f>
        <v>24.635470218080538</v>
      </c>
      <c r="T51" s="18"/>
      <c r="U51" s="18"/>
      <c r="V51" s="18"/>
      <c r="W51" s="18"/>
      <c r="X51" s="29"/>
      <c r="AG51" s="264" t="s">
        <v>19</v>
      </c>
      <c r="AH51" s="263"/>
      <c r="AI51" s="20">
        <f>AI52+AI53</f>
        <v>0.37782642020316115</v>
      </c>
      <c r="AJ51" s="18"/>
      <c r="AK51" s="18"/>
      <c r="AL51" s="18"/>
      <c r="AM51" s="18"/>
      <c r="AN51" s="29"/>
      <c r="AO51" s="20">
        <f>(AI51+S51)/C51</f>
        <v>0.93875849727018712</v>
      </c>
    </row>
    <row r="52" spans="1:41" x14ac:dyDescent="0.25">
      <c r="A52" s="264" t="s">
        <v>20</v>
      </c>
      <c r="B52" s="263"/>
      <c r="C52" s="20">
        <f>(C15*G32*G38)+(C18*G32*G47)</f>
        <v>7.7527084601267093</v>
      </c>
      <c r="D52" s="18"/>
      <c r="E52" s="18"/>
      <c r="F52" s="18"/>
      <c r="G52" s="18"/>
      <c r="H52" s="29"/>
      <c r="Q52" s="264" t="s">
        <v>20</v>
      </c>
      <c r="R52" s="263"/>
      <c r="S52" s="20">
        <f>(S15*W32*W38)+(S18*W32*W47)</f>
        <v>7.0316950948630028</v>
      </c>
      <c r="T52" s="18"/>
      <c r="U52" s="18"/>
      <c r="V52" s="18"/>
      <c r="W52" s="18"/>
      <c r="X52" s="29"/>
      <c r="AG52" s="264" t="s">
        <v>20</v>
      </c>
      <c r="AH52" s="263"/>
      <c r="AI52" s="20">
        <f>(AM41*AI24)+(AM41*AM45*AI21)</f>
        <v>0.10033120461603501</v>
      </c>
      <c r="AJ52" s="18"/>
      <c r="AK52" s="18"/>
      <c r="AL52" s="18"/>
      <c r="AM52" s="18"/>
      <c r="AN52" s="29"/>
      <c r="AO52" s="20">
        <f>(AI52+S52)/C52</f>
        <v>0.91993995855255895</v>
      </c>
    </row>
    <row r="53" spans="1:41" x14ac:dyDescent="0.25">
      <c r="A53" s="264" t="s">
        <v>21</v>
      </c>
      <c r="B53" s="263"/>
      <c r="C53" s="20">
        <f>(C16*H32*H38)+(C19*H32*H47)</f>
        <v>18.892373007598788</v>
      </c>
      <c r="D53" s="18"/>
      <c r="E53" s="18"/>
      <c r="F53" s="18"/>
      <c r="G53" s="18"/>
      <c r="H53" s="29"/>
      <c r="Q53" s="264" t="s">
        <v>21</v>
      </c>
      <c r="R53" s="263"/>
      <c r="S53" s="20">
        <f>(S16*X32*X38)+(S19*X32*X47)</f>
        <v>17.603775123217535</v>
      </c>
      <c r="T53" s="18"/>
      <c r="U53" s="18"/>
      <c r="V53" s="18"/>
      <c r="W53" s="18"/>
      <c r="X53" s="29"/>
      <c r="AG53" s="264" t="s">
        <v>21</v>
      </c>
      <c r="AH53" s="267"/>
      <c r="AI53" s="20">
        <f>(AN41*AI25)+(AN41*AN45*AI22)</f>
        <v>0.27749521558712614</v>
      </c>
      <c r="AJ53" s="18"/>
      <c r="AK53" s="18"/>
      <c r="AL53" s="18"/>
      <c r="AM53" s="18"/>
      <c r="AN53" s="29"/>
      <c r="AO53" s="20">
        <f t="shared" ref="AO53" si="0">(AI53+S53)/C53</f>
        <v>0.94648090695713838</v>
      </c>
    </row>
    <row r="54" spans="1:41" x14ac:dyDescent="0.25">
      <c r="A54" s="28"/>
      <c r="B54" s="18"/>
      <c r="C54" s="18"/>
      <c r="D54" s="18"/>
      <c r="E54" s="18"/>
      <c r="F54" s="18"/>
      <c r="G54" s="18"/>
      <c r="H54" s="29"/>
      <c r="Q54" s="28"/>
      <c r="R54" s="18"/>
      <c r="S54" s="18"/>
      <c r="T54" s="18"/>
      <c r="U54" s="18"/>
      <c r="V54" s="18"/>
      <c r="W54" s="18"/>
      <c r="X54" s="29"/>
      <c r="AG54" s="28"/>
      <c r="AH54" s="18"/>
      <c r="AI54" s="18"/>
      <c r="AJ54" s="18"/>
      <c r="AK54" s="18"/>
      <c r="AL54" s="18"/>
      <c r="AM54" s="18"/>
      <c r="AN54" s="29"/>
    </row>
    <row r="55" spans="1:41" x14ac:dyDescent="0.25">
      <c r="A55" s="28"/>
      <c r="B55" s="18"/>
      <c r="C55" s="18"/>
      <c r="D55" s="18"/>
      <c r="E55" s="18"/>
      <c r="F55" s="18"/>
      <c r="G55" s="18"/>
      <c r="H55" s="29"/>
      <c r="Q55" s="28"/>
      <c r="R55" s="18"/>
      <c r="S55" s="18"/>
      <c r="T55" s="18"/>
      <c r="U55" s="18"/>
      <c r="V55" s="18"/>
      <c r="W55" s="18"/>
      <c r="X55" s="29"/>
      <c r="AG55" s="28"/>
      <c r="AH55" s="18"/>
      <c r="AI55" s="18"/>
      <c r="AJ55" s="18"/>
      <c r="AK55" s="18"/>
      <c r="AL55" s="18"/>
      <c r="AM55" s="18"/>
      <c r="AN55" s="29"/>
    </row>
    <row r="56" spans="1:41" x14ac:dyDescent="0.25">
      <c r="A56" s="28"/>
      <c r="B56" s="18"/>
      <c r="C56" s="18"/>
      <c r="D56" s="18"/>
      <c r="E56" s="18"/>
      <c r="F56" s="18"/>
      <c r="G56" s="18"/>
      <c r="H56" s="29"/>
      <c r="Q56" s="28"/>
      <c r="R56" s="18"/>
      <c r="S56" s="18"/>
      <c r="T56" s="18"/>
      <c r="U56" s="18"/>
      <c r="V56" s="18"/>
      <c r="W56" s="18"/>
      <c r="X56" s="29"/>
      <c r="AG56" s="28"/>
      <c r="AH56" s="18"/>
      <c r="AI56" s="18"/>
      <c r="AJ56" s="18"/>
      <c r="AK56" s="18"/>
      <c r="AL56" s="18"/>
      <c r="AM56" s="18"/>
      <c r="AN56" s="29"/>
    </row>
    <row r="57" spans="1:41" x14ac:dyDescent="0.25">
      <c r="A57" s="30"/>
      <c r="B57" s="31"/>
      <c r="C57" s="31"/>
      <c r="D57" s="31"/>
      <c r="E57" s="31"/>
      <c r="F57" s="31"/>
      <c r="G57" s="31"/>
      <c r="H57" s="32"/>
      <c r="Q57" s="30"/>
      <c r="R57" s="31"/>
      <c r="S57" s="31"/>
      <c r="T57" s="31"/>
      <c r="U57" s="31"/>
      <c r="V57" s="31"/>
      <c r="W57" s="31"/>
      <c r="X57" s="32"/>
      <c r="AG57" s="30"/>
      <c r="AH57" s="31"/>
      <c r="AI57" s="31"/>
      <c r="AJ57" s="31"/>
      <c r="AK57" s="31"/>
      <c r="AL57" s="31"/>
      <c r="AM57" s="31"/>
      <c r="AN57" s="32"/>
    </row>
  </sheetData>
  <mergeCells count="145">
    <mergeCell ref="Z27:AD28"/>
    <mergeCell ref="Z30:AD31"/>
    <mergeCell ref="AG49:AN49"/>
    <mergeCell ref="AG51:AH51"/>
    <mergeCell ref="AG52:AH52"/>
    <mergeCell ref="AG53:AH53"/>
    <mergeCell ref="Y1:AF1"/>
    <mergeCell ref="Y2:AF2"/>
    <mergeCell ref="Z3:AD3"/>
    <mergeCell ref="AE3:AF3"/>
    <mergeCell ref="Y11:Z11"/>
    <mergeCell ref="Y12:Z12"/>
    <mergeCell ref="AH40:AL40"/>
    <mergeCell ref="AH41:AL41"/>
    <mergeCell ref="AH42:AL42"/>
    <mergeCell ref="AH43:AK43"/>
    <mergeCell ref="AH44:AL44"/>
    <mergeCell ref="AG47:AI47"/>
    <mergeCell ref="AH34:AK34"/>
    <mergeCell ref="AH35:AK35"/>
    <mergeCell ref="AH36:AK36"/>
    <mergeCell ref="AH37:AJ37"/>
    <mergeCell ref="AH38:AJ38"/>
    <mergeCell ref="AH39:AJ39"/>
    <mergeCell ref="AG25:AH25"/>
    <mergeCell ref="AG27:AH27"/>
    <mergeCell ref="AG28:AH28"/>
    <mergeCell ref="AG29:AH29"/>
    <mergeCell ref="AH32:AL32"/>
    <mergeCell ref="AH33:AL33"/>
    <mergeCell ref="AG11:AH11"/>
    <mergeCell ref="AG20:AH20"/>
    <mergeCell ref="AG21:AH21"/>
    <mergeCell ref="AG22:AH22"/>
    <mergeCell ref="AG23:AH23"/>
    <mergeCell ref="AG24:AH24"/>
    <mergeCell ref="Q53:R53"/>
    <mergeCell ref="AG1:AN1"/>
    <mergeCell ref="AG2:AN2"/>
    <mergeCell ref="AH3:AL3"/>
    <mergeCell ref="AM3:AN3"/>
    <mergeCell ref="AK5:AL5"/>
    <mergeCell ref="AM5:AN5"/>
    <mergeCell ref="AG8:AH8"/>
    <mergeCell ref="AG9:AH9"/>
    <mergeCell ref="AG10:AH10"/>
    <mergeCell ref="R44:S44"/>
    <mergeCell ref="R45:T45"/>
    <mergeCell ref="R46:V46"/>
    <mergeCell ref="Q49:X49"/>
    <mergeCell ref="Q51:R51"/>
    <mergeCell ref="Q52:R52"/>
    <mergeCell ref="R39:V39"/>
    <mergeCell ref="R40:S40"/>
    <mergeCell ref="R41:S41"/>
    <mergeCell ref="T41:V41"/>
    <mergeCell ref="R42:U42"/>
    <mergeCell ref="R43:T43"/>
    <mergeCell ref="R34:S34"/>
    <mergeCell ref="R35:S35"/>
    <mergeCell ref="T35:V35"/>
    <mergeCell ref="R36:V36"/>
    <mergeCell ref="R37:V37"/>
    <mergeCell ref="R38:V38"/>
    <mergeCell ref="R28:U28"/>
    <mergeCell ref="R29:U29"/>
    <mergeCell ref="R30:T30"/>
    <mergeCell ref="R31:V31"/>
    <mergeCell ref="R32:V32"/>
    <mergeCell ref="R33:V33"/>
    <mergeCell ref="J30:N31"/>
    <mergeCell ref="Q1:X1"/>
    <mergeCell ref="Q2:X2"/>
    <mergeCell ref="R3:V3"/>
    <mergeCell ref="W3:X3"/>
    <mergeCell ref="U5:V5"/>
    <mergeCell ref="W5:X5"/>
    <mergeCell ref="Q8:R8"/>
    <mergeCell ref="Q9:R9"/>
    <mergeCell ref="Q10:R10"/>
    <mergeCell ref="Q19:R19"/>
    <mergeCell ref="Q21:R21"/>
    <mergeCell ref="Q22:R22"/>
    <mergeCell ref="Q23:R23"/>
    <mergeCell ref="R26:V26"/>
    <mergeCell ref="R27:V27"/>
    <mergeCell ref="Q11:R11"/>
    <mergeCell ref="Q14:R14"/>
    <mergeCell ref="Q15:R15"/>
    <mergeCell ref="Q16:R16"/>
    <mergeCell ref="Q17:R17"/>
    <mergeCell ref="Q18:R18"/>
    <mergeCell ref="A51:B51"/>
    <mergeCell ref="A52:B52"/>
    <mergeCell ref="A53:B53"/>
    <mergeCell ref="I1:P1"/>
    <mergeCell ref="I2:P2"/>
    <mergeCell ref="J3:N3"/>
    <mergeCell ref="O3:P3"/>
    <mergeCell ref="I11:J11"/>
    <mergeCell ref="I12:J12"/>
    <mergeCell ref="J27:N28"/>
    <mergeCell ref="B42:E42"/>
    <mergeCell ref="B43:D43"/>
    <mergeCell ref="B44:C44"/>
    <mergeCell ref="B45:D45"/>
    <mergeCell ref="B46:F46"/>
    <mergeCell ref="A49:H49"/>
    <mergeCell ref="B36:F36"/>
    <mergeCell ref="B37:F37"/>
    <mergeCell ref="B38:F38"/>
    <mergeCell ref="B39:F39"/>
    <mergeCell ref="B40:C40"/>
    <mergeCell ref="B41:C41"/>
    <mergeCell ref="D41:F41"/>
    <mergeCell ref="B31:F31"/>
    <mergeCell ref="B32:F32"/>
    <mergeCell ref="B33:F33"/>
    <mergeCell ref="B34:C34"/>
    <mergeCell ref="B35:C35"/>
    <mergeCell ref="D35:F35"/>
    <mergeCell ref="A23:B23"/>
    <mergeCell ref="B26:F26"/>
    <mergeCell ref="B27:F27"/>
    <mergeCell ref="B28:E28"/>
    <mergeCell ref="B29:E29"/>
    <mergeCell ref="B30:D30"/>
    <mergeCell ref="A19:B19"/>
    <mergeCell ref="A21:B21"/>
    <mergeCell ref="A22:B22"/>
    <mergeCell ref="A8:B8"/>
    <mergeCell ref="A9:B9"/>
    <mergeCell ref="A10:B10"/>
    <mergeCell ref="A11:B11"/>
    <mergeCell ref="A14:B14"/>
    <mergeCell ref="A15:B15"/>
    <mergeCell ref="A1:H1"/>
    <mergeCell ref="A2:H2"/>
    <mergeCell ref="B3:F3"/>
    <mergeCell ref="G3:H3"/>
    <mergeCell ref="E5:F5"/>
    <mergeCell ref="G5:H5"/>
    <mergeCell ref="A16:B16"/>
    <mergeCell ref="A17:B17"/>
    <mergeCell ref="A18:B18"/>
  </mergeCells>
  <dataValidations count="1">
    <dataValidation type="list" allowBlank="1" showInputMessage="1" showErrorMessage="1" sqref="AL39">
      <formula1>"Lane Add, Lane Drop, Not Present"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Reference!$A$249:$A$252</xm:f>
          </x14:formula1>
          <xm:sqref>G5:H5 W5:X5</xm:sqref>
        </x14:dataValidation>
        <x14:dataValidation type="list" allowBlank="1" showInputMessage="1" showErrorMessage="1">
          <x14:formula1>
            <xm:f>Reference!$A$387:$A$389</xm:f>
          </x14:formula1>
          <xm:sqref>AM5:AN5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"/>
  <sheetViews>
    <sheetView workbookViewId="0">
      <selection activeCell="D15" sqref="D15"/>
    </sheetView>
  </sheetViews>
  <sheetFormatPr defaultRowHeight="15" x14ac:dyDescent="0.25"/>
  <cols>
    <col min="1" max="1" width="19.42578125" style="114" customWidth="1"/>
    <col min="2" max="2" width="10.85546875" style="114" bestFit="1" customWidth="1"/>
    <col min="3" max="7" width="9.140625" style="114"/>
    <col min="8" max="8" width="12" style="114" bestFit="1" customWidth="1"/>
    <col min="9" max="16384" width="9.140625" style="114"/>
  </cols>
  <sheetData>
    <row r="1" spans="1:14" x14ac:dyDescent="0.25">
      <c r="A1" s="326"/>
      <c r="B1" s="326"/>
      <c r="C1" s="309" t="s">
        <v>379</v>
      </c>
      <c r="D1" s="309"/>
      <c r="E1" s="309"/>
      <c r="F1" s="309"/>
      <c r="G1" s="309"/>
      <c r="H1" s="177" t="s">
        <v>380</v>
      </c>
      <c r="I1" s="327" t="s">
        <v>19</v>
      </c>
    </row>
    <row r="2" spans="1:14" ht="89.25" x14ac:dyDescent="0.25">
      <c r="A2" s="326"/>
      <c r="B2" s="326"/>
      <c r="C2" s="241" t="s">
        <v>353</v>
      </c>
      <c r="D2" s="241" t="s">
        <v>354</v>
      </c>
      <c r="E2" s="241" t="s">
        <v>376</v>
      </c>
      <c r="F2" s="241" t="s">
        <v>377</v>
      </c>
      <c r="G2" s="241" t="s">
        <v>378</v>
      </c>
      <c r="H2" s="242" t="s">
        <v>64</v>
      </c>
      <c r="I2" s="327"/>
    </row>
    <row r="3" spans="1:14" x14ac:dyDescent="0.25">
      <c r="A3" s="325" t="s">
        <v>372</v>
      </c>
      <c r="B3" s="145" t="s">
        <v>381</v>
      </c>
      <c r="C3" s="181">
        <f>'EB Method'!M7</f>
        <v>4.6093927675666455</v>
      </c>
      <c r="D3" s="181">
        <f>'EB Method'!M8</f>
        <v>3.4305329501985442</v>
      </c>
      <c r="E3" s="181">
        <f>'EB Method'!M9</f>
        <v>0.93533009544134471</v>
      </c>
      <c r="F3" s="181">
        <f>'EB Method'!M10</f>
        <v>0.24352972192675593</v>
      </c>
      <c r="G3" s="181">
        <f>'EB Method'!M11</f>
        <v>0.26268014069857509</v>
      </c>
      <c r="H3" s="181">
        <f>'EB Method'!M4</f>
        <v>6.4015242908584069</v>
      </c>
      <c r="I3" s="243">
        <f>SUM(C3:H3)</f>
        <v>15.882989966690271</v>
      </c>
    </row>
    <row r="4" spans="1:14" x14ac:dyDescent="0.25">
      <c r="A4" s="325"/>
      <c r="B4" s="145" t="s">
        <v>21</v>
      </c>
      <c r="C4" s="181">
        <f>'EB Method'!N7</f>
        <v>9.9742711356393343</v>
      </c>
      <c r="D4" s="181">
        <f>'EB Method'!N8</f>
        <v>6.6941192934250928</v>
      </c>
      <c r="E4" s="181">
        <f>'EB Method'!N9</f>
        <v>2.8595853013152439</v>
      </c>
      <c r="F4" s="181">
        <f>'EB Method'!N10</f>
        <v>0.42056654089899781</v>
      </c>
      <c r="G4" s="181">
        <f>'EB Method'!N11</f>
        <v>0.49234483053491029</v>
      </c>
      <c r="H4" s="181">
        <f>'EB Method'!N4</f>
        <v>11.266097587877367</v>
      </c>
      <c r="I4" s="243">
        <f>SUM(C4:H4)</f>
        <v>31.706984689690948</v>
      </c>
    </row>
    <row r="5" spans="1:14" x14ac:dyDescent="0.25">
      <c r="A5" s="325"/>
      <c r="B5" s="145" t="s">
        <v>19</v>
      </c>
      <c r="C5" s="208">
        <f>SUM(C3:C4)</f>
        <v>14.583663903205981</v>
      </c>
      <c r="D5" s="208">
        <f>SUM(D3:D4)</f>
        <v>10.124652243623636</v>
      </c>
      <c r="E5" s="208">
        <f>SUM(E3:E4)</f>
        <v>3.7949153967565885</v>
      </c>
      <c r="F5" s="208">
        <f>SUM(F3:F4)</f>
        <v>0.66409626282575374</v>
      </c>
      <c r="G5" s="208">
        <f>SUM(G3:G4)</f>
        <v>0.75502497123348533</v>
      </c>
      <c r="H5" s="208">
        <f t="shared" ref="H5" si="0">SUM(H3:H4)</f>
        <v>17.667621878735773</v>
      </c>
      <c r="I5" s="243">
        <f>SUM(C5:H5)</f>
        <v>47.589974656381216</v>
      </c>
    </row>
    <row r="6" spans="1:14" x14ac:dyDescent="0.25">
      <c r="A6" s="244"/>
      <c r="C6" s="163"/>
      <c r="D6" s="163"/>
      <c r="E6" s="163"/>
      <c r="F6" s="163"/>
      <c r="G6" s="163"/>
      <c r="H6" s="163"/>
    </row>
    <row r="7" spans="1:14" x14ac:dyDescent="0.25">
      <c r="A7" s="325" t="s">
        <v>382</v>
      </c>
      <c r="B7" s="145" t="s">
        <v>381</v>
      </c>
      <c r="C7" s="5">
        <v>0.59199999999999997</v>
      </c>
      <c r="D7" s="5">
        <v>0.59199999999999997</v>
      </c>
      <c r="E7" s="5">
        <v>0.59199999999999997</v>
      </c>
      <c r="F7" s="190">
        <f>0.592*'NB Terminal Reconfiguration CMF'!Q51</f>
        <v>0.77823096835144501</v>
      </c>
      <c r="G7" s="5">
        <v>0.59199999999999997</v>
      </c>
      <c r="H7" s="190">
        <f>'NB Mainline Reconfiguration CMF'!AO52</f>
        <v>0.91993995855255895</v>
      </c>
      <c r="I7" s="245"/>
      <c r="N7" s="247"/>
    </row>
    <row r="8" spans="1:14" x14ac:dyDescent="0.25">
      <c r="A8" s="325"/>
      <c r="B8" s="145" t="s">
        <v>21</v>
      </c>
      <c r="C8" s="5">
        <v>0.59199999999999997</v>
      </c>
      <c r="D8" s="5">
        <v>0.59199999999999997</v>
      </c>
      <c r="E8" s="5">
        <v>0.59199999999999997</v>
      </c>
      <c r="F8" s="190">
        <f>0.592*'NB Terminal Reconfiguration CMF'!Q51</f>
        <v>0.77823096835144501</v>
      </c>
      <c r="G8" s="5">
        <v>0.59199999999999997</v>
      </c>
      <c r="H8" s="190">
        <f>'NB Mainline Reconfiguration CMF'!AO53</f>
        <v>0.94648090695713838</v>
      </c>
      <c r="I8" s="245"/>
    </row>
    <row r="9" spans="1:14" x14ac:dyDescent="0.25">
      <c r="A9" s="244"/>
      <c r="C9" s="163"/>
      <c r="D9" s="163"/>
      <c r="E9" s="163"/>
      <c r="F9" s="163"/>
      <c r="G9" s="163"/>
      <c r="H9" s="163"/>
    </row>
    <row r="10" spans="1:14" x14ac:dyDescent="0.25">
      <c r="A10" s="325" t="s">
        <v>383</v>
      </c>
      <c r="B10" s="145" t="s">
        <v>381</v>
      </c>
      <c r="C10" s="181">
        <f t="shared" ref="C10:H11" si="1">IF(C7=0,C3,C7*C3)</f>
        <v>2.7287605183994539</v>
      </c>
      <c r="D10" s="181">
        <f t="shared" si="1"/>
        <v>2.0308755065175381</v>
      </c>
      <c r="E10" s="181">
        <f t="shared" si="1"/>
        <v>0.55371541650127609</v>
      </c>
      <c r="F10" s="181">
        <f t="shared" si="1"/>
        <v>0.18952237131741739</v>
      </c>
      <c r="G10" s="181">
        <f t="shared" si="1"/>
        <v>0.15550664329355646</v>
      </c>
      <c r="H10" s="181">
        <f t="shared" si="1"/>
        <v>5.8890179908054821</v>
      </c>
      <c r="I10" s="243">
        <f>SUM(C10:H10)</f>
        <v>11.547398446834723</v>
      </c>
      <c r="K10" s="246"/>
    </row>
    <row r="11" spans="1:14" x14ac:dyDescent="0.25">
      <c r="A11" s="325"/>
      <c r="B11" s="145" t="s">
        <v>21</v>
      </c>
      <c r="C11" s="181">
        <f t="shared" si="1"/>
        <v>5.9047685122984852</v>
      </c>
      <c r="D11" s="181">
        <f t="shared" si="1"/>
        <v>3.9629186217076549</v>
      </c>
      <c r="E11" s="181">
        <f t="shared" si="1"/>
        <v>1.6928744983786244</v>
      </c>
      <c r="F11" s="181">
        <f t="shared" si="1"/>
        <v>0.32729790638004469</v>
      </c>
      <c r="G11" s="181">
        <f t="shared" si="1"/>
        <v>0.2914681396766669</v>
      </c>
      <c r="H11" s="181">
        <f t="shared" si="1"/>
        <v>10.663146262841799</v>
      </c>
      <c r="I11" s="243">
        <f>SUM(C11:H11)</f>
        <v>22.842473941283274</v>
      </c>
      <c r="K11" s="246"/>
    </row>
    <row r="12" spans="1:14" x14ac:dyDescent="0.25">
      <c r="A12" s="325"/>
      <c r="B12" s="145" t="s">
        <v>19</v>
      </c>
      <c r="C12" s="208">
        <f>SUM(C10:C11)</f>
        <v>8.6335290306979395</v>
      </c>
      <c r="D12" s="208">
        <f>SUM(D10:D11)</f>
        <v>5.9937941282251934</v>
      </c>
      <c r="E12" s="208">
        <f>SUM(E10:E11)</f>
        <v>2.2465899148799005</v>
      </c>
      <c r="F12" s="208">
        <f>SUM(F10:F11)</f>
        <v>0.51682027769746208</v>
      </c>
      <c r="G12" s="208">
        <f>SUM(G10:G11)</f>
        <v>0.44697478297022336</v>
      </c>
      <c r="H12" s="208">
        <f t="shared" ref="H12" si="2">SUM(H10:H11)</f>
        <v>16.55216425364728</v>
      </c>
      <c r="I12" s="243">
        <f>SUM(C12:H12)</f>
        <v>34.389872388118</v>
      </c>
      <c r="K12" s="246"/>
    </row>
  </sheetData>
  <mergeCells count="6">
    <mergeCell ref="A10:A12"/>
    <mergeCell ref="A1:B2"/>
    <mergeCell ref="C1:G1"/>
    <mergeCell ref="I1:I2"/>
    <mergeCell ref="A3:A5"/>
    <mergeCell ref="A7:A8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C25" sqref="C25"/>
    </sheetView>
  </sheetViews>
  <sheetFormatPr defaultRowHeight="15" x14ac:dyDescent="0.25"/>
  <cols>
    <col min="1" max="1" width="35.140625" bestFit="1" customWidth="1"/>
    <col min="2" max="2" width="15.85546875" customWidth="1"/>
    <col min="3" max="3" width="14.28515625" bestFit="1" customWidth="1"/>
    <col min="4" max="4" width="12.5703125" bestFit="1" customWidth="1"/>
  </cols>
  <sheetData>
    <row r="1" spans="1:12" x14ac:dyDescent="0.25">
      <c r="A1" s="328"/>
      <c r="B1" s="329"/>
      <c r="C1" s="248" t="s">
        <v>20</v>
      </c>
      <c r="D1" s="248" t="s">
        <v>21</v>
      </c>
    </row>
    <row r="2" spans="1:12" x14ac:dyDescent="0.25">
      <c r="A2" s="309" t="s">
        <v>395</v>
      </c>
      <c r="B2" s="309"/>
      <c r="C2" s="255">
        <f>CMFs!I3-CMFs!I10</f>
        <v>4.3355915198555479</v>
      </c>
      <c r="D2" s="255">
        <f>CMFs!I4-CMFs!I11</f>
        <v>8.8645107484076746</v>
      </c>
    </row>
    <row r="3" spans="1:12" x14ac:dyDescent="0.25">
      <c r="A3" s="309" t="s">
        <v>396</v>
      </c>
      <c r="B3" s="309"/>
      <c r="C3" s="256">
        <v>450000</v>
      </c>
      <c r="D3" s="256">
        <v>30000</v>
      </c>
    </row>
    <row r="4" spans="1:12" x14ac:dyDescent="0.25">
      <c r="A4" s="309" t="s">
        <v>397</v>
      </c>
      <c r="B4" s="309"/>
      <c r="C4" s="256">
        <f>C2*C3</f>
        <v>1951016.1839349966</v>
      </c>
      <c r="D4" s="256">
        <f>D2*D3</f>
        <v>265935.32245223026</v>
      </c>
    </row>
    <row r="5" spans="1:12" x14ac:dyDescent="0.25">
      <c r="A5" s="249"/>
      <c r="B5" s="249"/>
      <c r="C5" s="249"/>
      <c r="D5" s="249"/>
    </row>
    <row r="6" spans="1:12" x14ac:dyDescent="0.25">
      <c r="A6" s="249"/>
      <c r="B6" s="249"/>
      <c r="C6" s="249"/>
      <c r="D6" s="249"/>
    </row>
    <row r="9" spans="1:12" x14ac:dyDescent="0.25">
      <c r="A9" s="254"/>
      <c r="B9" s="254" t="s">
        <v>398</v>
      </c>
      <c r="C9" s="254" t="s">
        <v>399</v>
      </c>
      <c r="D9" s="254" t="s">
        <v>400</v>
      </c>
      <c r="E9" s="254"/>
      <c r="F9" s="254"/>
      <c r="G9" s="254"/>
      <c r="H9" s="254"/>
      <c r="I9" s="254"/>
      <c r="J9" s="254"/>
      <c r="K9" s="254"/>
      <c r="L9" s="254"/>
    </row>
    <row r="10" spans="1:12" x14ac:dyDescent="0.25">
      <c r="A10" s="254" t="s">
        <v>401</v>
      </c>
      <c r="B10" s="330">
        <v>10100000</v>
      </c>
      <c r="C10" s="330">
        <v>4008900</v>
      </c>
      <c r="D10" s="331">
        <f>B10/C10</f>
        <v>2.5193943475766418</v>
      </c>
      <c r="E10" s="254"/>
      <c r="F10" s="254"/>
      <c r="G10" s="254"/>
      <c r="H10" s="254"/>
      <c r="I10" s="254"/>
      <c r="J10" s="254"/>
      <c r="K10" s="254"/>
      <c r="L10" s="332"/>
    </row>
    <row r="11" spans="1:12" x14ac:dyDescent="0.25">
      <c r="A11" s="254" t="s">
        <v>402</v>
      </c>
      <c r="B11" s="330">
        <v>818636</v>
      </c>
      <c r="C11" s="330">
        <v>216000</v>
      </c>
      <c r="D11" s="331">
        <f t="shared" ref="D11:D12" si="0">B11/C11</f>
        <v>3.7899814814814814</v>
      </c>
      <c r="E11" s="254"/>
      <c r="F11" s="254"/>
      <c r="G11" s="254"/>
      <c r="H11" s="254"/>
      <c r="I11" s="254"/>
      <c r="J11" s="254"/>
      <c r="K11" s="254"/>
      <c r="L11" s="332"/>
    </row>
    <row r="12" spans="1:12" x14ac:dyDescent="0.25">
      <c r="A12" s="254" t="s">
        <v>403</v>
      </c>
      <c r="B12" s="330">
        <v>163254</v>
      </c>
      <c r="C12" s="330">
        <v>79000</v>
      </c>
      <c r="D12" s="331">
        <f t="shared" si="0"/>
        <v>2.0665063291139241</v>
      </c>
      <c r="E12" s="254"/>
      <c r="F12" s="254"/>
      <c r="G12" s="254"/>
      <c r="H12" s="254"/>
      <c r="I12" s="254"/>
      <c r="J12" s="254"/>
      <c r="K12" s="254"/>
      <c r="L12" s="332"/>
    </row>
    <row r="13" spans="1:12" x14ac:dyDescent="0.25">
      <c r="A13" s="254" t="s">
        <v>404</v>
      </c>
      <c r="B13" s="333">
        <f>MROUND(D13*158200,50000)</f>
        <v>450000</v>
      </c>
      <c r="C13" s="334">
        <v>158200</v>
      </c>
      <c r="D13" s="331">
        <f>AVERAGE(D10:D12)</f>
        <v>2.7919607193906821</v>
      </c>
      <c r="E13" s="254" t="s">
        <v>405</v>
      </c>
      <c r="F13" s="254"/>
      <c r="G13" s="254"/>
      <c r="H13" s="254"/>
      <c r="I13" s="254"/>
      <c r="J13" s="254"/>
      <c r="K13" s="254"/>
      <c r="L13" s="254"/>
    </row>
    <row r="14" spans="1:12" x14ac:dyDescent="0.25">
      <c r="A14" s="254"/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</row>
    <row r="15" spans="1:12" x14ac:dyDescent="0.25">
      <c r="A15" s="254"/>
      <c r="B15" s="254" t="s">
        <v>398</v>
      </c>
      <c r="C15" s="254" t="s">
        <v>406</v>
      </c>
      <c r="D15" s="254"/>
      <c r="E15" s="254"/>
      <c r="F15" s="254"/>
      <c r="G15" s="254"/>
      <c r="H15" s="254"/>
      <c r="I15" s="254"/>
      <c r="J15" s="254"/>
      <c r="K15" s="254"/>
      <c r="L15" s="254"/>
    </row>
    <row r="16" spans="1:12" x14ac:dyDescent="0.25">
      <c r="A16" s="254" t="s">
        <v>407</v>
      </c>
      <c r="B16" s="335">
        <v>99645</v>
      </c>
      <c r="C16" s="254">
        <v>0.219</v>
      </c>
      <c r="D16" s="331"/>
      <c r="E16" s="254"/>
      <c r="F16" s="254"/>
      <c r="G16" s="254"/>
      <c r="H16" s="254"/>
      <c r="I16" s="254"/>
      <c r="J16" s="254"/>
      <c r="K16" s="254"/>
      <c r="L16" s="254"/>
    </row>
    <row r="17" spans="1:12" x14ac:dyDescent="0.25">
      <c r="A17" s="254" t="s">
        <v>21</v>
      </c>
      <c r="B17" s="335">
        <v>6500</v>
      </c>
      <c r="C17" s="254">
        <v>0.59599999999999997</v>
      </c>
      <c r="D17" s="331"/>
      <c r="E17" s="254"/>
      <c r="F17" s="254"/>
      <c r="G17" s="254"/>
      <c r="H17" s="254"/>
      <c r="I17" s="254"/>
      <c r="J17" s="254"/>
      <c r="K17" s="254"/>
      <c r="L17" s="254"/>
    </row>
    <row r="18" spans="1:12" x14ac:dyDescent="0.25">
      <c r="A18" s="254" t="s">
        <v>408</v>
      </c>
      <c r="B18" s="336">
        <f>MROUND((B16*C16+B17*C17)/C18,10000)</f>
        <v>30000</v>
      </c>
      <c r="C18" s="254">
        <f>SUM(C16:C17)</f>
        <v>0.81499999999999995</v>
      </c>
      <c r="D18" s="331"/>
      <c r="E18" s="254"/>
      <c r="F18" s="254"/>
      <c r="G18" s="254"/>
      <c r="H18" s="254"/>
      <c r="I18" s="254"/>
      <c r="J18" s="254"/>
      <c r="K18" s="254"/>
      <c r="L18" s="254"/>
    </row>
    <row r="19" spans="1:12" x14ac:dyDescent="0.25">
      <c r="A19" s="254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</row>
  </sheetData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Reference</vt:lpstr>
      <vt:lpstr>Templates</vt:lpstr>
      <vt:lpstr>SPFs</vt:lpstr>
      <vt:lpstr>EB Method</vt:lpstr>
      <vt:lpstr>NB Terminal Reconfiguration CMF</vt:lpstr>
      <vt:lpstr>NB Mainline Reconfiguration CMF</vt:lpstr>
      <vt:lpstr>CMFs</vt:lpstr>
      <vt:lpstr>Benefit Cost</vt:lpstr>
      <vt:lpstr>_2__3_Leg_Signalized</vt:lpstr>
    </vt:vector>
  </TitlesOfParts>
  <Company>Hanson Professional Services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 Wagner</dc:creator>
  <cp:lastModifiedBy>Bikram Wadhawan</cp:lastModifiedBy>
  <dcterms:created xsi:type="dcterms:W3CDTF">2014-12-11T18:51:45Z</dcterms:created>
  <dcterms:modified xsi:type="dcterms:W3CDTF">2018-03-21T13:29:28Z</dcterms:modified>
</cp:coreProperties>
</file>