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howInkAnnotation="0" codeName="ThisWorkbook"/>
  <mc:AlternateContent xmlns:mc="http://schemas.openxmlformats.org/markup-compatibility/2006">
    <mc:Choice Requires="x15">
      <x15ac:absPath xmlns:x15ac="http://schemas.microsoft.com/office/spreadsheetml/2010/11/ac" url="C:\FDOT Structures\Programs\MastArmEvaluationV1.0\"/>
    </mc:Choice>
  </mc:AlternateContent>
  <xr:revisionPtr revIDLastSave="0" documentId="13_ncr:1_{3B82A767-0F98-4605-82CC-015EE4741484}" xr6:coauthVersionLast="47" xr6:coauthVersionMax="47" xr10:uidLastSave="{00000000-0000-0000-0000-000000000000}"/>
  <bookViews>
    <workbookView xWindow="44040" yWindow="480" windowWidth="29040" windowHeight="17640" tabRatio="773" firstSheet="2" activeTab="2" xr2:uid="{00000000-000D-0000-FFFF-FFFF00000000}"/>
  </bookViews>
  <sheets>
    <sheet name="Directions" sheetId="5" r:id="rId1"/>
    <sheet name="WindSpeedMap" sheetId="10" r:id="rId2"/>
    <sheet name="ArmEvaluation" sheetId="1" r:id="rId3"/>
    <sheet name="RatingSummarySheet" sheetId="7" r:id="rId4"/>
    <sheet name="Dimensions" sheetId="2" r:id="rId5"/>
    <sheet name="GraphValues" sheetId="3" r:id="rId6"/>
    <sheet name="CFI&amp;Designation" sheetId="4" r:id="rId7"/>
    <sheet name="Changes" sheetId="9" r:id="rId8"/>
  </sheets>
  <definedNames>
    <definedName name="Choices">Dimensions!#REF!</definedName>
    <definedName name="_xlnm.Print_Area" localSheetId="2">ArmEvaluation!$A$1:$O$42</definedName>
    <definedName name="_xlnm.Print_Area" localSheetId="7">Changes!$A$1:$N$30</definedName>
    <definedName name="_xlnm.Print_Area" localSheetId="0">Directions!$A$1:$G$27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 i="4" l="1"/>
  <c r="K90" i="4" s="1"/>
  <c r="K91" i="4" s="1"/>
  <c r="K92" i="4" s="1"/>
  <c r="K93" i="4" s="1"/>
  <c r="K94" i="4" s="1"/>
  <c r="K95" i="4" s="1"/>
  <c r="K96" i="4" s="1"/>
  <c r="K97" i="4" s="1"/>
  <c r="K98" i="4" s="1"/>
  <c r="K99" i="4" s="1"/>
  <c r="K100" i="4" s="1"/>
  <c r="K101" i="4" s="1"/>
  <c r="K102" i="4" s="1"/>
  <c r="K103" i="4" s="1"/>
  <c r="K88" i="4"/>
  <c r="K79" i="4"/>
  <c r="I130" i="4" s="1"/>
  <c r="K55" i="4" s="1"/>
  <c r="D21" i="2"/>
  <c r="C22" i="2"/>
  <c r="D14" i="2"/>
  <c r="C15" i="2"/>
  <c r="C8" i="2"/>
  <c r="D7" i="2"/>
  <c r="D24" i="2"/>
  <c r="D20" i="2"/>
  <c r="D18" i="2"/>
  <c r="D13" i="2"/>
  <c r="C24" i="2"/>
  <c r="C20" i="2"/>
  <c r="C18" i="2"/>
  <c r="C13" i="2"/>
  <c r="D6" i="2"/>
  <c r="C6" i="2"/>
  <c r="D11" i="2"/>
  <c r="C11" i="2"/>
  <c r="D4" i="2"/>
  <c r="C4" i="2"/>
  <c r="M70" i="4"/>
  <c r="I134" i="4" l="1"/>
  <c r="K59" i="4" s="1"/>
  <c r="I105" i="4"/>
  <c r="K30" i="4" s="1"/>
  <c r="I89" i="4"/>
  <c r="K14" i="4" s="1"/>
  <c r="I103" i="4"/>
  <c r="K28" i="4" s="1"/>
  <c r="I115" i="4"/>
  <c r="K40" i="4" s="1"/>
  <c r="I101" i="4"/>
  <c r="K26" i="4" s="1"/>
  <c r="I117" i="4"/>
  <c r="K42" i="4" s="1"/>
  <c r="I90" i="4"/>
  <c r="K15" i="4" s="1"/>
  <c r="I102" i="4"/>
  <c r="K27" i="4" s="1"/>
  <c r="I133" i="4"/>
  <c r="K58" i="4" s="1"/>
  <c r="I119" i="4"/>
  <c r="K44" i="4" s="1"/>
  <c r="I120" i="4"/>
  <c r="K45" i="4" s="1"/>
  <c r="I87" i="4"/>
  <c r="K12" i="4" s="1"/>
  <c r="I131" i="4"/>
  <c r="K56" i="4" s="1"/>
  <c r="I88" i="4"/>
  <c r="K13" i="4" s="1"/>
  <c r="I132" i="4"/>
  <c r="K57" i="4" s="1"/>
  <c r="I121" i="4"/>
  <c r="K46" i="4" s="1"/>
  <c r="I122" i="4"/>
  <c r="K47" i="4" s="1"/>
  <c r="I107" i="4"/>
  <c r="K32" i="4" s="1"/>
  <c r="I109" i="4"/>
  <c r="K34" i="4" s="1"/>
  <c r="I82" i="4"/>
  <c r="K7" i="4" s="1"/>
  <c r="I108" i="4"/>
  <c r="K33" i="4" s="1"/>
  <c r="I83" i="4"/>
  <c r="K8" i="4" s="1"/>
  <c r="I97" i="4"/>
  <c r="K22" i="4" s="1"/>
  <c r="I111" i="4"/>
  <c r="K36" i="4" s="1"/>
  <c r="I125" i="4"/>
  <c r="K50" i="4" s="1"/>
  <c r="I91" i="4"/>
  <c r="K16" i="4" s="1"/>
  <c r="I135" i="4"/>
  <c r="K60" i="4" s="1"/>
  <c r="I123" i="4"/>
  <c r="K48" i="4" s="1"/>
  <c r="I124" i="4"/>
  <c r="K49" i="4" s="1"/>
  <c r="I84" i="4"/>
  <c r="K9" i="4" s="1"/>
  <c r="I98" i="4"/>
  <c r="K23" i="4" s="1"/>
  <c r="I112" i="4"/>
  <c r="K37" i="4" s="1"/>
  <c r="I126" i="4"/>
  <c r="K51" i="4" s="1"/>
  <c r="I95" i="4"/>
  <c r="K20" i="4" s="1"/>
  <c r="I96" i="4"/>
  <c r="K21" i="4" s="1"/>
  <c r="I85" i="4"/>
  <c r="K10" i="4" s="1"/>
  <c r="I99" i="4"/>
  <c r="K24" i="4" s="1"/>
  <c r="I113" i="4"/>
  <c r="K38" i="4" s="1"/>
  <c r="I127" i="4"/>
  <c r="K52" i="4" s="1"/>
  <c r="I93" i="4"/>
  <c r="K18" i="4" s="1"/>
  <c r="I81" i="4"/>
  <c r="K6" i="4" s="1"/>
  <c r="I110" i="4"/>
  <c r="K35" i="4" s="1"/>
  <c r="I86" i="4"/>
  <c r="K11" i="4" s="1"/>
  <c r="I100" i="4"/>
  <c r="K25" i="4" s="1"/>
  <c r="I114" i="4"/>
  <c r="K39" i="4" s="1"/>
  <c r="I129" i="4"/>
  <c r="K54" i="4" s="1"/>
  <c r="I92" i="4"/>
  <c r="K17" i="4" s="1"/>
  <c r="I104" i="4"/>
  <c r="K29" i="4" s="1"/>
  <c r="I116" i="4"/>
  <c r="K41" i="4" s="1"/>
  <c r="I128" i="4"/>
  <c r="K53" i="4" s="1"/>
  <c r="I94" i="4"/>
  <c r="K19" i="4" s="1"/>
  <c r="I106" i="4"/>
  <c r="K31" i="4" s="1"/>
  <c r="I118" i="4"/>
  <c r="K43" i="4" s="1"/>
  <c r="B68" i="4"/>
  <c r="B1" i="4"/>
  <c r="A1" i="4"/>
  <c r="K4" i="4"/>
  <c r="B67" i="4" s="1"/>
  <c r="J53" i="4"/>
  <c r="J51" i="4"/>
  <c r="J46" i="4"/>
  <c r="J44" i="4"/>
  <c r="J38" i="4"/>
  <c r="J36" i="4"/>
  <c r="J30" i="4"/>
  <c r="J21" i="4"/>
  <c r="J19" i="4"/>
  <c r="L27" i="1"/>
  <c r="H28" i="4" l="1"/>
  <c r="G28" i="4"/>
  <c r="F28" i="4"/>
  <c r="E28" i="4"/>
  <c r="D28" i="4"/>
  <c r="L26" i="1"/>
  <c r="O12" i="3" l="1"/>
  <c r="O13" i="3" s="1"/>
  <c r="E2" i="1"/>
  <c r="L29" i="1"/>
  <c r="A6" i="4"/>
  <c r="F36" i="4"/>
  <c r="F26" i="4"/>
  <c r="F19" i="4"/>
  <c r="S4" i="7"/>
  <c r="V4" i="7"/>
  <c r="F1" i="4"/>
  <c r="D39" i="2"/>
  <c r="D1" i="4" s="1"/>
  <c r="M3" i="2"/>
  <c r="O3" i="2" s="1"/>
  <c r="Q3" i="2" s="1"/>
  <c r="N3" i="2"/>
  <c r="P3" i="2" s="1"/>
  <c r="R7" i="2" s="1"/>
  <c r="C3" i="2"/>
  <c r="D3" i="2"/>
  <c r="F3" i="2" s="1"/>
  <c r="C5" i="2"/>
  <c r="E5" i="2" s="1"/>
  <c r="F6" i="2"/>
  <c r="M8" i="2"/>
  <c r="O8" i="2" s="1"/>
  <c r="N8" i="2"/>
  <c r="P8" i="2" s="1"/>
  <c r="C14" i="2"/>
  <c r="E14" i="2" s="1"/>
  <c r="F11" i="2"/>
  <c r="C12" i="2"/>
  <c r="E12" i="2" s="1"/>
  <c r="D12" i="2"/>
  <c r="F12" i="2" s="1"/>
  <c r="M13" i="2"/>
  <c r="N13" i="2"/>
  <c r="P13" i="2" s="1"/>
  <c r="L53" i="4"/>
  <c r="H53" i="4"/>
  <c r="G53" i="4"/>
  <c r="F53" i="4"/>
  <c r="E53" i="4"/>
  <c r="D53" i="4"/>
  <c r="L51" i="4"/>
  <c r="H51" i="4"/>
  <c r="G51" i="4"/>
  <c r="F51" i="4"/>
  <c r="E51" i="4"/>
  <c r="D51" i="4"/>
  <c r="L46" i="4"/>
  <c r="G46" i="4"/>
  <c r="F46" i="4"/>
  <c r="E46" i="4"/>
  <c r="D46" i="4"/>
  <c r="L44" i="4"/>
  <c r="H44" i="4"/>
  <c r="G44" i="4"/>
  <c r="F44" i="4"/>
  <c r="E44" i="4"/>
  <c r="D44" i="4"/>
  <c r="L38" i="4"/>
  <c r="H38" i="4"/>
  <c r="G38" i="4"/>
  <c r="F38" i="4"/>
  <c r="E38" i="4"/>
  <c r="D38" i="4"/>
  <c r="L36" i="4"/>
  <c r="H36" i="4"/>
  <c r="G36" i="4"/>
  <c r="E36" i="4"/>
  <c r="D36" i="4"/>
  <c r="L30" i="4"/>
  <c r="H30" i="4"/>
  <c r="G30" i="4"/>
  <c r="F30" i="4"/>
  <c r="E30" i="4"/>
  <c r="D30" i="4"/>
  <c r="L26" i="4"/>
  <c r="H26" i="4"/>
  <c r="G26" i="4"/>
  <c r="E26" i="4"/>
  <c r="D26" i="4"/>
  <c r="L21" i="4"/>
  <c r="H21" i="4"/>
  <c r="G21" i="4"/>
  <c r="F21" i="4"/>
  <c r="E21" i="4"/>
  <c r="D21" i="4"/>
  <c r="L19" i="4"/>
  <c r="H19" i="4"/>
  <c r="G19" i="4"/>
  <c r="E19" i="4"/>
  <c r="D19" i="4"/>
  <c r="A7" i="4"/>
  <c r="A8" i="4" s="1"/>
  <c r="A9" i="4" s="1"/>
  <c r="A10" i="4" s="1"/>
  <c r="A11" i="4" s="1"/>
  <c r="A12" i="4" s="1"/>
  <c r="A13" i="4" s="1"/>
  <c r="A14" i="4" s="1"/>
  <c r="A15" i="4" s="1"/>
  <c r="A16" i="4" s="1"/>
  <c r="A17" i="4" s="1"/>
  <c r="A18" i="4" s="1"/>
  <c r="A19" i="4" s="1"/>
  <c r="A20" i="4" s="1"/>
  <c r="A21" i="4" s="1"/>
  <c r="A22" i="4" s="1"/>
  <c r="A23" i="4" s="1"/>
  <c r="A24" i="4" s="1"/>
  <c r="A25" i="4" s="1"/>
  <c r="A26" i="4" s="1"/>
  <c r="D4" i="7"/>
  <c r="A27" i="4" l="1"/>
  <c r="A28" i="4" s="1"/>
  <c r="A29" i="4" s="1"/>
  <c r="A30" i="4" s="1"/>
  <c r="A31" i="4" s="1"/>
  <c r="A32" i="4" s="1"/>
  <c r="L67" i="4" s="1"/>
  <c r="L68" i="4"/>
  <c r="D10" i="2"/>
  <c r="F10" i="2" s="1"/>
  <c r="C7" i="2"/>
  <c r="E7" i="2" s="1"/>
  <c r="E11" i="2"/>
  <c r="E8" i="2"/>
  <c r="F7" i="2"/>
  <c r="E6" i="2"/>
  <c r="F14" i="2"/>
  <c r="S13" i="2"/>
  <c r="T13" i="2" s="1"/>
  <c r="D66" i="4" s="1"/>
  <c r="S3" i="2"/>
  <c r="T3" i="2" s="1"/>
  <c r="B66" i="4" s="1"/>
  <c r="R9" i="2"/>
  <c r="R8" i="2"/>
  <c r="R12" i="2"/>
  <c r="R11" i="2"/>
  <c r="R10" i="2"/>
  <c r="I3" i="2"/>
  <c r="E3" i="2"/>
  <c r="D15" i="2"/>
  <c r="F15" i="2" s="1"/>
  <c r="F13" i="2"/>
  <c r="F4" i="2"/>
  <c r="E4" i="2"/>
  <c r="O13" i="2"/>
  <c r="R3" i="2"/>
  <c r="H10" i="2"/>
  <c r="R14" i="2"/>
  <c r="R13" i="2"/>
  <c r="R15" i="2"/>
  <c r="R16" i="2"/>
  <c r="Q9" i="2"/>
  <c r="Q10" i="2"/>
  <c r="Q8" i="2"/>
  <c r="Q11" i="2"/>
  <c r="Q12" i="2"/>
  <c r="E15" i="2"/>
  <c r="S8" i="2"/>
  <c r="T8" i="2" s="1"/>
  <c r="C66" i="4" s="1"/>
  <c r="Q7" i="2"/>
  <c r="R6" i="2"/>
  <c r="E13" i="2"/>
  <c r="Q6" i="2"/>
  <c r="R5" i="2"/>
  <c r="R4" i="2"/>
  <c r="C10" i="2"/>
  <c r="D5" i="2"/>
  <c r="F5" i="2" s="1"/>
  <c r="H3" i="2" s="1"/>
  <c r="Q5" i="2"/>
  <c r="Q4" i="2"/>
  <c r="D8" i="2"/>
  <c r="F8" i="2" s="1"/>
  <c r="E25" i="1" l="1"/>
  <c r="C72" i="4" s="1"/>
  <c r="E26" i="1"/>
  <c r="R4" i="7" s="1"/>
  <c r="E24" i="1"/>
  <c r="E28" i="1"/>
  <c r="U4" i="7" s="1"/>
  <c r="E27" i="1"/>
  <c r="T4" i="7" s="1"/>
  <c r="H1" i="4"/>
  <c r="A33" i="4"/>
  <c r="D10" i="3"/>
  <c r="C10" i="3"/>
  <c r="E10" i="3"/>
  <c r="H10" i="3"/>
  <c r="G3" i="2"/>
  <c r="Q16" i="2"/>
  <c r="Q13" i="2"/>
  <c r="Q14" i="2"/>
  <c r="Q15" i="2"/>
  <c r="H6" i="2"/>
  <c r="H4" i="2"/>
  <c r="H7" i="2"/>
  <c r="H8" i="2"/>
  <c r="H5" i="2"/>
  <c r="I10" i="2"/>
  <c r="E10" i="2"/>
  <c r="H12" i="2"/>
  <c r="H14" i="2"/>
  <c r="H13" i="2"/>
  <c r="H11" i="2"/>
  <c r="H15" i="2"/>
  <c r="P4" i="7"/>
  <c r="O4" i="7"/>
  <c r="N4" i="7"/>
  <c r="M4" i="7"/>
  <c r="L4" i="7"/>
  <c r="K4" i="7"/>
  <c r="J4" i="7"/>
  <c r="I4" i="7"/>
  <c r="H4" i="7"/>
  <c r="G4" i="7"/>
  <c r="J25" i="1" l="1"/>
  <c r="J26" i="1"/>
  <c r="C71" i="4"/>
  <c r="K82" i="4"/>
  <c r="K83" i="4"/>
  <c r="K84" i="4"/>
  <c r="E29" i="1"/>
  <c r="W4" i="7" s="1"/>
  <c r="A34" i="4"/>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E35" i="2"/>
  <c r="C11" i="3"/>
  <c r="C12" i="3"/>
  <c r="C14" i="3"/>
  <c r="C13" i="3"/>
  <c r="D11" i="3"/>
  <c r="D12" i="3"/>
  <c r="D14" i="3"/>
  <c r="D13" i="3"/>
  <c r="E11" i="3"/>
  <c r="E14" i="3"/>
  <c r="E12" i="3"/>
  <c r="E13" i="3"/>
  <c r="H11" i="3"/>
  <c r="H14" i="3"/>
  <c r="H12" i="3"/>
  <c r="H13" i="3"/>
  <c r="G4" i="2"/>
  <c r="G6" i="2"/>
  <c r="G8" i="2"/>
  <c r="G7" i="2"/>
  <c r="G10" i="2"/>
  <c r="C4" i="7"/>
  <c r="L101" i="4" l="1"/>
  <c r="L89" i="4"/>
  <c r="L100" i="4"/>
  <c r="L88" i="4"/>
  <c r="L95" i="4"/>
  <c r="L94" i="4"/>
  <c r="L92" i="4"/>
  <c r="L91" i="4"/>
  <c r="L102" i="4"/>
  <c r="L99" i="4"/>
  <c r="L87" i="4"/>
  <c r="L97" i="4"/>
  <c r="L96" i="4"/>
  <c r="L98" i="4"/>
  <c r="L93" i="4"/>
  <c r="L103" i="4"/>
  <c r="L90" i="4"/>
  <c r="N3" i="3"/>
  <c r="D38" i="2"/>
  <c r="C3" i="3"/>
  <c r="D3" i="3"/>
  <c r="H3" i="3"/>
  <c r="E3" i="3"/>
  <c r="G5" i="2"/>
  <c r="G14" i="2"/>
  <c r="G13" i="2"/>
  <c r="G11" i="2"/>
  <c r="G15" i="2"/>
  <c r="G12" i="2"/>
  <c r="N18" i="2"/>
  <c r="M18" i="2"/>
  <c r="N23" i="2"/>
  <c r="M23" i="2"/>
  <c r="N28" i="2"/>
  <c r="M28" i="2"/>
  <c r="N33" i="2"/>
  <c r="M33" i="2"/>
  <c r="N38" i="2"/>
  <c r="M38" i="2"/>
  <c r="N43" i="2"/>
  <c r="M43" i="2"/>
  <c r="N48" i="2"/>
  <c r="M48" i="2"/>
  <c r="N7" i="3" l="1"/>
  <c r="N6" i="3"/>
  <c r="C4" i="3"/>
  <c r="C5" i="3" s="1"/>
  <c r="D4" i="3"/>
  <c r="D5" i="3" s="1"/>
  <c r="D7" i="3"/>
  <c r="D6" i="3"/>
  <c r="C7" i="3"/>
  <c r="C6" i="3"/>
  <c r="E7" i="3"/>
  <c r="E6" i="3"/>
  <c r="H7" i="3"/>
  <c r="H6" i="3"/>
  <c r="H4" i="3"/>
  <c r="H5" i="3" s="1"/>
  <c r="E4" i="3"/>
  <c r="E5" i="3" s="1"/>
  <c r="F35" i="2"/>
  <c r="C18" i="3" l="1"/>
  <c r="D18" i="3"/>
  <c r="H18" i="3"/>
  <c r="E18" i="3"/>
  <c r="O3" i="3"/>
  <c r="O4" i="3"/>
  <c r="P18" i="2"/>
  <c r="C25" i="2"/>
  <c r="E25" i="2" s="1"/>
  <c r="O5" i="3" l="1"/>
  <c r="N11" i="3"/>
  <c r="N12" i="3"/>
  <c r="O7" i="3"/>
  <c r="O6" i="3"/>
  <c r="F18" i="2"/>
  <c r="F21" i="2"/>
  <c r="E18" i="2"/>
  <c r="C21" i="2"/>
  <c r="E21" i="2" s="1"/>
  <c r="E20" i="2"/>
  <c r="E22" i="2"/>
  <c r="F20" i="2"/>
  <c r="D22" i="2"/>
  <c r="F22" i="2" s="1"/>
  <c r="D19" i="2"/>
  <c r="F19" i="2" s="1"/>
  <c r="D17" i="2"/>
  <c r="F17" i="2" s="1"/>
  <c r="C17" i="2"/>
  <c r="F24" i="2"/>
  <c r="D25" i="2"/>
  <c r="F25" i="2" s="1"/>
  <c r="C19" i="2"/>
  <c r="E19" i="2" s="1"/>
  <c r="E24" i="2"/>
  <c r="S28" i="2"/>
  <c r="T28" i="2" s="1"/>
  <c r="G66" i="4" s="1"/>
  <c r="S48" i="2"/>
  <c r="S43" i="2"/>
  <c r="S33" i="2"/>
  <c r="S38" i="2"/>
  <c r="R21" i="2"/>
  <c r="R20" i="2"/>
  <c r="R19" i="2"/>
  <c r="R18" i="2"/>
  <c r="R22" i="2"/>
  <c r="O18" i="2"/>
  <c r="S18" i="2"/>
  <c r="T18" i="2" s="1"/>
  <c r="E66" i="4" s="1"/>
  <c r="S23" i="2"/>
  <c r="T23" i="2" s="1"/>
  <c r="F66" i="4" s="1"/>
  <c r="P33" i="2"/>
  <c r="O33" i="2"/>
  <c r="P48" i="2"/>
  <c r="O48" i="2"/>
  <c r="P43" i="2"/>
  <c r="O43" i="2"/>
  <c r="P38" i="2"/>
  <c r="O38" i="2"/>
  <c r="O28" i="2"/>
  <c r="P28" i="2"/>
  <c r="P23" i="2"/>
  <c r="O23" i="2"/>
  <c r="N13" i="3" l="1"/>
  <c r="I17" i="2"/>
  <c r="H17" i="2"/>
  <c r="I24" i="2"/>
  <c r="T48" i="2"/>
  <c r="K66" i="4" s="1"/>
  <c r="T43" i="2"/>
  <c r="J66" i="4" s="1"/>
  <c r="E17" i="2"/>
  <c r="G17" i="2" s="1"/>
  <c r="H28" i="2"/>
  <c r="H32" i="2"/>
  <c r="H24" i="2"/>
  <c r="H29" i="2"/>
  <c r="H25" i="2"/>
  <c r="H26" i="2"/>
  <c r="H30" i="2"/>
  <c r="H31" i="2"/>
  <c r="H27" i="2"/>
  <c r="G32" i="2"/>
  <c r="G28" i="2"/>
  <c r="G31" i="2"/>
  <c r="G27" i="2"/>
  <c r="G25" i="2"/>
  <c r="G30" i="2"/>
  <c r="G26" i="2"/>
  <c r="G29" i="2"/>
  <c r="G24" i="2"/>
  <c r="T38" i="2"/>
  <c r="I66" i="4" s="1"/>
  <c r="T33" i="2"/>
  <c r="H66" i="4" s="1"/>
  <c r="R50" i="2"/>
  <c r="R49" i="2"/>
  <c r="R48" i="2"/>
  <c r="L10" i="3" s="1"/>
  <c r="R52" i="2"/>
  <c r="R51" i="2"/>
  <c r="R47" i="2"/>
  <c r="R46" i="2"/>
  <c r="R45" i="2"/>
  <c r="R44" i="2"/>
  <c r="R43" i="2"/>
  <c r="R40" i="2"/>
  <c r="R39" i="2"/>
  <c r="R38" i="2"/>
  <c r="R42" i="2"/>
  <c r="R41" i="2"/>
  <c r="R33" i="2"/>
  <c r="I10" i="3" s="1"/>
  <c r="R37" i="2"/>
  <c r="R36" i="2"/>
  <c r="R35" i="2"/>
  <c r="R34" i="2"/>
  <c r="R32" i="2"/>
  <c r="R31" i="2"/>
  <c r="R30" i="2"/>
  <c r="R29" i="2"/>
  <c r="R28" i="2"/>
  <c r="R17" i="2"/>
  <c r="Q48" i="2"/>
  <c r="L3" i="3" s="1"/>
  <c r="Q52" i="2"/>
  <c r="Q51" i="2"/>
  <c r="Q50" i="2"/>
  <c r="Q49" i="2"/>
  <c r="L4" i="3" s="1"/>
  <c r="L5" i="3" s="1"/>
  <c r="Q47" i="2"/>
  <c r="Q46" i="2"/>
  <c r="Q45" i="2"/>
  <c r="Q44" i="2"/>
  <c r="Q43" i="2"/>
  <c r="Q42" i="2"/>
  <c r="Q41" i="2"/>
  <c r="Q40" i="2"/>
  <c r="Q39" i="2"/>
  <c r="Q38" i="2"/>
  <c r="Q35" i="2"/>
  <c r="Q34" i="2"/>
  <c r="Q33" i="2"/>
  <c r="I3" i="3" s="1"/>
  <c r="Q37" i="2"/>
  <c r="Q36" i="2"/>
  <c r="Q32" i="2"/>
  <c r="Q31" i="2"/>
  <c r="Q30" i="2"/>
  <c r="Q29" i="2"/>
  <c r="Q28" i="2"/>
  <c r="Q20" i="2"/>
  <c r="Q19" i="2"/>
  <c r="Q18" i="2"/>
  <c r="Q22" i="2"/>
  <c r="Q21" i="2"/>
  <c r="Q17" i="2"/>
  <c r="R26" i="2"/>
  <c r="R25" i="2"/>
  <c r="R24" i="2"/>
  <c r="R27" i="2"/>
  <c r="R23" i="2"/>
  <c r="Q26" i="2"/>
  <c r="Q23" i="2"/>
  <c r="Q25" i="2"/>
  <c r="Q27" i="2"/>
  <c r="Q24" i="2"/>
  <c r="L18" i="3" l="1"/>
  <c r="K3" i="3"/>
  <c r="G3" i="3"/>
  <c r="K10" i="3"/>
  <c r="K11" i="3" s="1"/>
  <c r="G10" i="3"/>
  <c r="J3" i="3"/>
  <c r="F3" i="3"/>
  <c r="J10" i="3"/>
  <c r="J11" i="3" s="1"/>
  <c r="F10" i="3"/>
  <c r="L14" i="3"/>
  <c r="L12" i="3"/>
  <c r="L13" i="3"/>
  <c r="L11" i="3"/>
  <c r="L7" i="3"/>
  <c r="L6" i="3"/>
  <c r="I7" i="3"/>
  <c r="I6" i="3"/>
  <c r="I11" i="3"/>
  <c r="I13" i="3"/>
  <c r="I12" i="3"/>
  <c r="I14" i="3"/>
  <c r="L66" i="4"/>
  <c r="H22" i="2"/>
  <c r="H18" i="2"/>
  <c r="H21" i="2"/>
  <c r="H20" i="2"/>
  <c r="H19" i="2"/>
  <c r="G19" i="2"/>
  <c r="G22" i="2"/>
  <c r="G18" i="2"/>
  <c r="G21" i="2"/>
  <c r="G20" i="2"/>
  <c r="M10" i="1"/>
  <c r="N10" i="1"/>
  <c r="K10" i="1"/>
  <c r="H65" i="4" s="1"/>
  <c r="L10" i="1"/>
  <c r="H10" i="1"/>
  <c r="E65" i="4" s="1"/>
  <c r="G10" i="1"/>
  <c r="D65" i="4" s="1"/>
  <c r="F10" i="1"/>
  <c r="C65" i="4" s="1"/>
  <c r="E10" i="1"/>
  <c r="B65" i="4" s="1"/>
  <c r="J10" i="1"/>
  <c r="G65" i="4" s="1"/>
  <c r="I10" i="1"/>
  <c r="F65" i="4" s="1"/>
  <c r="J7" i="3" l="1"/>
  <c r="K6" i="3"/>
  <c r="K12" i="3"/>
  <c r="K14" i="3"/>
  <c r="K13" i="3"/>
  <c r="K7" i="3"/>
  <c r="G11" i="3"/>
  <c r="G12" i="3"/>
  <c r="G14" i="3"/>
  <c r="G13" i="3"/>
  <c r="K4" i="3"/>
  <c r="K5" i="3" s="1"/>
  <c r="G4" i="3"/>
  <c r="G5" i="3" s="1"/>
  <c r="G6" i="3"/>
  <c r="G7" i="3"/>
  <c r="J14" i="3"/>
  <c r="J12" i="3"/>
  <c r="J13" i="3"/>
  <c r="J4" i="3"/>
  <c r="J5" i="3" s="1"/>
  <c r="F4" i="3"/>
  <c r="F5" i="3" s="1"/>
  <c r="J6" i="3"/>
  <c r="F11" i="3"/>
  <c r="F13" i="3"/>
  <c r="F12" i="3"/>
  <c r="F14" i="3"/>
  <c r="F7" i="3"/>
  <c r="F6" i="3"/>
  <c r="I4" i="3"/>
  <c r="I18" i="3" s="1"/>
  <c r="K65" i="4"/>
  <c r="N11" i="1" s="1"/>
  <c r="I65" i="4"/>
  <c r="J65" i="4"/>
  <c r="M11" i="1" s="1"/>
  <c r="J27" i="1"/>
  <c r="G11" i="1"/>
  <c r="F11" i="1"/>
  <c r="I11" i="1"/>
  <c r="E11" i="1"/>
  <c r="K11" i="1"/>
  <c r="H11" i="1"/>
  <c r="K18" i="3" l="1"/>
  <c r="G18" i="3"/>
  <c r="F18" i="3"/>
  <c r="J18" i="3"/>
  <c r="I5" i="3"/>
  <c r="L65" i="4"/>
  <c r="M69" i="4" s="1"/>
  <c r="L11" i="1"/>
  <c r="J11" i="1"/>
  <c r="J28" i="1" l="1"/>
  <c r="Q4" i="7" l="1"/>
  <c r="F4" i="7" l="1"/>
  <c r="J29" i="1" l="1"/>
  <c r="N27" i="1" l="1"/>
  <c r="Y4" i="7" s="1"/>
  <c r="X4" i="7"/>
  <c r="C74" i="4"/>
</calcChain>
</file>

<file path=xl/sharedStrings.xml><?xml version="1.0" encoding="utf-8"?>
<sst xmlns="http://schemas.openxmlformats.org/spreadsheetml/2006/main" count="424" uniqueCount="289">
  <si>
    <t>Signal\Sign #2</t>
  </si>
  <si>
    <t>Signal\Sign #3</t>
  </si>
  <si>
    <t>Signal\Sign #4</t>
  </si>
  <si>
    <t>Signal\Sign #5</t>
  </si>
  <si>
    <t>Signal\Sign #6</t>
  </si>
  <si>
    <t>Signal\Sign #8</t>
  </si>
  <si>
    <t>X Arm</t>
  </si>
  <si>
    <t>Y Arm</t>
  </si>
  <si>
    <t>Width</t>
  </si>
  <si>
    <t>Height</t>
  </si>
  <si>
    <t>Width Center</t>
  </si>
  <si>
    <t>Height Center</t>
  </si>
  <si>
    <t>Graph X</t>
  </si>
  <si>
    <t>Graph Y</t>
  </si>
  <si>
    <t>Sign Width (in.)</t>
  </si>
  <si>
    <t>Sign Height (in.)</t>
  </si>
  <si>
    <t>Signal\Sign #10</t>
  </si>
  <si>
    <t>Slope</t>
  </si>
  <si>
    <t>Tip Center</t>
  </si>
  <si>
    <t>Area (SF)</t>
  </si>
  <si>
    <t>Area</t>
  </si>
  <si>
    <t>Wind Speed</t>
  </si>
  <si>
    <t>Signal Orientation</t>
  </si>
  <si>
    <t>1=Vertical, 2=Horizontal</t>
  </si>
  <si>
    <t>Arm Length</t>
  </si>
  <si>
    <t>3 Head</t>
  </si>
  <si>
    <t>Horizontal w/ Back Plate</t>
  </si>
  <si>
    <t>4 Head</t>
  </si>
  <si>
    <t>5 Head</t>
  </si>
  <si>
    <t>Doghouse</t>
  </si>
  <si>
    <t>Signal\Sign #7</t>
  </si>
  <si>
    <t>X Pole</t>
  </si>
  <si>
    <t>Y Pole</t>
  </si>
  <si>
    <t>Signal\Sign #1</t>
  </si>
  <si>
    <t>Signal\Sign #9</t>
  </si>
  <si>
    <t>Sign/Sig. Wind Pressure (psf)</t>
  </si>
  <si>
    <t>Weight</t>
  </si>
  <si>
    <t>Total</t>
  </si>
  <si>
    <t xml:space="preserve">Assumptions: </t>
  </si>
  <si>
    <t>Luminaire</t>
  </si>
  <si>
    <t>1=No, 2=Yes</t>
  </si>
  <si>
    <t>Value</t>
  </si>
  <si>
    <t>Notes:</t>
  </si>
  <si>
    <t>Directions</t>
  </si>
  <si>
    <t>Tip Dia</t>
  </si>
  <si>
    <t>Values for Arm Graph</t>
  </si>
  <si>
    <t>Arm 1</t>
  </si>
  <si>
    <t>ARM 1</t>
  </si>
  <si>
    <t>ID No.</t>
  </si>
  <si>
    <t>Total Arm Length</t>
  </si>
  <si>
    <t>Station</t>
  </si>
  <si>
    <t xml:space="preserve">Signal/ Sign 10 </t>
  </si>
  <si>
    <t xml:space="preserve">Signal/ Sign 9 </t>
  </si>
  <si>
    <t>Signal/ Sign 8</t>
  </si>
  <si>
    <t>Signal/ Sign 7</t>
  </si>
  <si>
    <t>Signal/ Sign 6</t>
  </si>
  <si>
    <t xml:space="preserve">Signal/ Sign 5 </t>
  </si>
  <si>
    <t xml:space="preserve">Signal/ Sign 4 </t>
  </si>
  <si>
    <t>Signal/ Sign 3</t>
  </si>
  <si>
    <t>Signal/ Sign 2</t>
  </si>
  <si>
    <t>Signal/ Sign 1</t>
  </si>
  <si>
    <t>Mast Arm Assembly General Information</t>
  </si>
  <si>
    <t>Signal/Sign 1</t>
  </si>
  <si>
    <t>Signal/Sign 2</t>
  </si>
  <si>
    <t>Signal/Sign 3</t>
  </si>
  <si>
    <t>Signal/Sign 4</t>
  </si>
  <si>
    <t>Signal/Sign 5</t>
  </si>
  <si>
    <t>Signal/Sign 6</t>
  </si>
  <si>
    <t>Signal/Sign 7</t>
  </si>
  <si>
    <t>Signal/Sign 8</t>
  </si>
  <si>
    <t>Signal/Sign 9</t>
  </si>
  <si>
    <t>Signal/Sign 10</t>
  </si>
  <si>
    <t>Signal 
Vert/Horiz</t>
  </si>
  <si>
    <t>Luminaire
Yes/No</t>
  </si>
  <si>
    <t>Signal/Sign 10 Global X</t>
  </si>
  <si>
    <t>Signal/Sign 9 Global X</t>
  </si>
  <si>
    <t>Signal/Sign 8 Global X</t>
  </si>
  <si>
    <t>Signal/Sign 7 Global X</t>
  </si>
  <si>
    <t>Signal/Sign 6 Global X</t>
  </si>
  <si>
    <t>Signal/Sign 5 Global X</t>
  </si>
  <si>
    <t>Signal/Sign 4 Global X</t>
  </si>
  <si>
    <t>Signal/Sign 3 Global X</t>
  </si>
  <si>
    <t>Signal/Sign 2 Global X</t>
  </si>
  <si>
    <t>Signal/Sign 1 Global X</t>
  </si>
  <si>
    <t>Signal/Sign 10 Global Y</t>
  </si>
  <si>
    <t>Signal/Sign 9 Global Y</t>
  </si>
  <si>
    <t>Signal/Sign 8 Global Y</t>
  </si>
  <si>
    <t>Signal/Sign 7 Global Y</t>
  </si>
  <si>
    <t>Signal/Sign 6 Global Y</t>
  </si>
  <si>
    <t>Signal/Sign 5 Global Y</t>
  </si>
  <si>
    <t>Signal/Sign 4 Global Y</t>
  </si>
  <si>
    <t>Signal/Sign 3 Global Y</t>
  </si>
  <si>
    <t>Signal/Sign 2 Global Y</t>
  </si>
  <si>
    <t>Signal/Sign 1 Global Y</t>
  </si>
  <si>
    <t>Signal/Sign Location (Distance from CL of Pole) and Size (# Heads or Sign Width x Height)</t>
  </si>
  <si>
    <t>Standard Mast Arm 
Assembly Designation</t>
  </si>
  <si>
    <t>Mast Arm Assembly Information</t>
  </si>
  <si>
    <t>Changes</t>
  </si>
  <si>
    <t>Dist to Pole (ft.)</t>
  </si>
  <si>
    <t>Back Plate Size</t>
  </si>
  <si>
    <t>Vertical 6" Back Plate</t>
  </si>
  <si>
    <t>Vertical no Back Plate</t>
  </si>
  <si>
    <t>Horizontal 6" Back Plate</t>
  </si>
  <si>
    <t>Horizontal no Back Plate</t>
  </si>
  <si>
    <t>Vertical 2.5" Back Plate</t>
  </si>
  <si>
    <t>Horizontal 2.5" Back Plate</t>
  </si>
  <si>
    <t>1=6", 2=0", 3=2.5" Flexible"</t>
  </si>
  <si>
    <t>Backplates</t>
  </si>
  <si>
    <t>A60</t>
  </si>
  <si>
    <t>Arm Length (ft)</t>
  </si>
  <si>
    <t>Arm Loads</t>
  </si>
  <si>
    <t>Standard Years</t>
  </si>
  <si>
    <t>Standard Arm Designation</t>
  </si>
  <si>
    <t>Arm Length
(ft)</t>
  </si>
  <si>
    <t>Arm Base Diameter (in)</t>
  </si>
  <si>
    <t>Average Diameter (in)</t>
  </si>
  <si>
    <t>Arm Wall Thickness (in)</t>
  </si>
  <si>
    <t>Standard Required Information on Plate ID</t>
  </si>
  <si>
    <t>2017/18 to Current</t>
  </si>
  <si>
    <t>A30</t>
  </si>
  <si>
    <r>
      <rPr>
        <b/>
        <u/>
        <sz val="11"/>
        <color theme="1"/>
        <rFont val="Calibri"/>
        <family val="2"/>
        <scheme val="minor"/>
      </rPr>
      <t xml:space="preserve">2012/13 to Current
</t>
    </r>
    <r>
      <rPr>
        <sz val="11"/>
        <color theme="1"/>
        <rFont val="Calibri"/>
        <family val="2"/>
        <scheme val="minor"/>
      </rPr>
      <t xml:space="preserve">Aluminum Identification Tag Not to Exceed 2" x 4".  Secure to Pole by 0.12S" Stainless Steel rivets or screws. Fabricators to provide details for approval. Identification Tag located on inside of pole visible from handhole, or on outside of pole inside terminal compartment. Tag to be stamped with the following Information:     
</t>
    </r>
  </si>
  <si>
    <t>A30H</t>
  </si>
  <si>
    <t>A40</t>
  </si>
  <si>
    <t>A40H</t>
  </si>
  <si>
    <t>A50</t>
  </si>
  <si>
    <t>A50H</t>
  </si>
  <si>
    <r>
      <rPr>
        <b/>
        <sz val="11"/>
        <color theme="1"/>
        <rFont val="Calibri"/>
        <family val="2"/>
        <scheme val="minor"/>
      </rPr>
      <t xml:space="preserve"> Standard Design: </t>
    </r>
    <r>
      <rPr>
        <sz val="11"/>
        <color theme="1"/>
        <rFont val="Calibri"/>
        <family val="2"/>
        <scheme val="minor"/>
      </rPr>
      <t xml:space="preserve">
     Financial Project ID
     Pole Type
     Arm Type
     Manufacturer's Name
     Pole Base (Fy of Steel)
     Arm (Fy of Steel)</t>
    </r>
  </si>
  <si>
    <t>A60H</t>
  </si>
  <si>
    <t>A70</t>
  </si>
  <si>
    <t>A70H</t>
  </si>
  <si>
    <t>A78</t>
  </si>
  <si>
    <t>A78H</t>
  </si>
  <si>
    <t>2008 to 2016/17</t>
  </si>
  <si>
    <t>D5</t>
  </si>
  <si>
    <t>D6</t>
  </si>
  <si>
    <t>D7</t>
  </si>
  <si>
    <r>
      <rPr>
        <b/>
        <u/>
        <sz val="11"/>
        <color theme="1"/>
        <rFont val="Calibri"/>
        <family val="2"/>
        <scheme val="minor"/>
      </rPr>
      <t xml:space="preserve">2002/2008
</t>
    </r>
    <r>
      <rPr>
        <sz val="11"/>
        <color theme="1"/>
        <rFont val="Calibri"/>
        <family val="2"/>
        <scheme val="minor"/>
      </rPr>
      <t xml:space="preserve">Aluminum Identification Tag Not to Exceed 2" x 4".  Secure to Pole by 0.12S" Stainless Steel rivets or screws. Fabricators to provide details for approval. Identification Tag located on inside of pole visible from handhole, or on outside of pole inside terminal compartment. Tag to be stamped with the following Information:     
</t>
    </r>
  </si>
  <si>
    <t>E5</t>
  </si>
  <si>
    <t>E6</t>
  </si>
  <si>
    <t>F5</t>
  </si>
  <si>
    <t>F6</t>
  </si>
  <si>
    <t>2004 to 2006
Index 17743</t>
  </si>
  <si>
    <t>B5</t>
  </si>
  <si>
    <t>B6</t>
  </si>
  <si>
    <t>B7</t>
  </si>
  <si>
    <t>C5</t>
  </si>
  <si>
    <t>C6</t>
  </si>
  <si>
    <t>C7</t>
  </si>
  <si>
    <t>2002
Index 17742</t>
  </si>
  <si>
    <t>A1</t>
  </si>
  <si>
    <t>A2</t>
  </si>
  <si>
    <t>A3</t>
  </si>
  <si>
    <t>A4</t>
  </si>
  <si>
    <t>D1</t>
  </si>
  <si>
    <t>D2</t>
  </si>
  <si>
    <t>D3</t>
  </si>
  <si>
    <t>D4</t>
  </si>
  <si>
    <t>E3</t>
  </si>
  <si>
    <t>E4</t>
  </si>
  <si>
    <t>F1</t>
  </si>
  <si>
    <t>F2</t>
  </si>
  <si>
    <t>F3</t>
  </si>
  <si>
    <t>F4</t>
  </si>
  <si>
    <t xml:space="preserve">B1 </t>
  </si>
  <si>
    <t>B2</t>
  </si>
  <si>
    <t>B3</t>
  </si>
  <si>
    <t>B4</t>
  </si>
  <si>
    <t>C2</t>
  </si>
  <si>
    <t>C4</t>
  </si>
  <si>
    <t>C3</t>
  </si>
  <si>
    <t>C1</t>
  </si>
  <si>
    <r>
      <rPr>
        <b/>
        <sz val="11"/>
        <color theme="1"/>
        <rFont val="Calibri"/>
        <family val="2"/>
        <scheme val="minor"/>
      </rPr>
      <t xml:space="preserve"> Standard Design: </t>
    </r>
    <r>
      <rPr>
        <sz val="11"/>
        <color theme="1"/>
        <rFont val="Calibri"/>
        <family val="2"/>
        <scheme val="minor"/>
      </rPr>
      <t xml:space="preserve">
     Financial Project ID
     Pole Type
     Arm Type
     Manufacturer's Name
     Certification No.</t>
    </r>
  </si>
  <si>
    <t>FDOT Arm ID Designation</t>
  </si>
  <si>
    <t>Arm Base Wall Thickness (in)</t>
  </si>
  <si>
    <t>v1.0</t>
  </si>
  <si>
    <t>Program Release</t>
  </si>
  <si>
    <t>2017-Pres.</t>
  </si>
  <si>
    <t>2008-2017</t>
  </si>
  <si>
    <t>2004-2008</t>
  </si>
  <si>
    <t>2002-2004</t>
  </si>
  <si>
    <t xml:space="preserve">Standard Index Years </t>
  </si>
  <si>
    <t>Standard Index Years</t>
  </si>
  <si>
    <t>Arm Axial and Shear force ratios are no more than 5% of the CFI.</t>
  </si>
  <si>
    <t>The Mast Arm Assembly ID Tag is found inside the pole handhole or outside on the terminal compartment.</t>
  </si>
  <si>
    <t>Arm Demand/Capacity Ratio</t>
  </si>
  <si>
    <t>Wind 
Speed
(mph)</t>
  </si>
  <si>
    <t>Fy
(ksi)</t>
  </si>
  <si>
    <t>Mr
(kip*ft)</t>
  </si>
  <si>
    <t>Mu
(kip*ft)</t>
  </si>
  <si>
    <t>Arm 
Base
Dia. 
(in.)</t>
  </si>
  <si>
    <t>Arm 
Base
Wall
thk.. 
(in.)</t>
  </si>
  <si>
    <t xml:space="preserve">Map from FDOT Structures Manual - Volume 3: FDOT Modifications to LRFD LTS, Figure 18.1-1. </t>
  </si>
  <si>
    <t>Mast Arm Assembly Designation, Dimensions
&amp; Demand/Capacity Ratio</t>
  </si>
  <si>
    <t>Signal Configuration</t>
  </si>
  <si>
    <t>Sign/Signal 10</t>
  </si>
  <si>
    <t>Sign/Signal 9</t>
  </si>
  <si>
    <t>Sign/Signal 8</t>
  </si>
  <si>
    <t>Sign/Signal 7</t>
  </si>
  <si>
    <t>Sign/Signal 6</t>
  </si>
  <si>
    <t>Sign/Signal 5</t>
  </si>
  <si>
    <t>Sign/Signal 4</t>
  </si>
  <si>
    <t>Sign/Signal 3</t>
  </si>
  <si>
    <t>Sign/Signal 2</t>
  </si>
  <si>
    <t>Sign/Signal 1</t>
  </si>
  <si>
    <r>
      <rPr>
        <b/>
        <sz val="11"/>
        <color theme="1"/>
        <rFont val="Calibri"/>
        <family val="2"/>
        <scheme val="minor"/>
      </rPr>
      <t>2010-2012</t>
    </r>
    <r>
      <rPr>
        <sz val="11"/>
        <color theme="1"/>
        <rFont val="Calibri"/>
        <family val="2"/>
        <scheme val="minor"/>
      </rPr>
      <t xml:space="preserve">
Same as 2002 with the addition of QPL Number under Standard Design</t>
    </r>
  </si>
  <si>
    <t xml:space="preserve">
Same as 2002 with the addition of QPL Number under Standard Design</t>
  </si>
  <si>
    <t xml:space="preserve">Aluminum Identification Tag Not to Exceed 2" x 4".  Secure to Pole by 0.12S" Stainless Steel rivets or screws. Fabricators to provide details for approval. Identification Tag located on inside of pole visible from handhole, or on outside of pole inside terminal compartment. Tag to be stamped with the following Information:     
</t>
  </si>
  <si>
    <t>Standards 2010 - 2012</t>
  </si>
  <si>
    <t>Standard 2002 - 2010</t>
  </si>
  <si>
    <t>Standards 2012/13 - Current</t>
  </si>
  <si>
    <r>
      <rPr>
        <b/>
        <sz val="11"/>
        <color theme="1"/>
        <rFont val="Calibri"/>
        <family val="2"/>
        <scheme val="minor"/>
      </rPr>
      <t xml:space="preserve">Special Design: </t>
    </r>
    <r>
      <rPr>
        <sz val="11"/>
        <color theme="1"/>
        <rFont val="Calibri"/>
        <family val="2"/>
        <scheme val="minor"/>
      </rPr>
      <t xml:space="preserve">
    Financial Project ID, 
    Pole Base Diameter (in.)
    Pole Wall Thickness (in.)
    Arm Diameter at Pole (in.)
    Arm Wall Thickness (in)
    Manufacturer's Name</t>
    </r>
  </si>
  <si>
    <r>
      <rPr>
        <b/>
        <sz val="11"/>
        <color theme="1"/>
        <rFont val="Calibri"/>
        <family val="2"/>
        <scheme val="minor"/>
      </rPr>
      <t xml:space="preserve">Special Design: </t>
    </r>
    <r>
      <rPr>
        <sz val="11"/>
        <color theme="1"/>
        <rFont val="Calibri"/>
        <family val="2"/>
        <scheme val="minor"/>
      </rPr>
      <t xml:space="preserve">
    Financial Project ID, 
    Manufacturer's Name
    Pole Base (Fy of Steel)
    Arm (Fy of Steel)
    Pole Wall Thickness (in.)
    Arm Wall Thickness (in)</t>
    </r>
  </si>
  <si>
    <r>
      <rPr>
        <b/>
        <sz val="11"/>
        <color theme="1"/>
        <rFont val="Calibri"/>
        <family val="2"/>
        <scheme val="minor"/>
      </rPr>
      <t xml:space="preserve">Special Design: </t>
    </r>
    <r>
      <rPr>
        <sz val="11"/>
        <color theme="1"/>
        <rFont val="Calibri"/>
        <family val="2"/>
        <scheme val="minor"/>
      </rPr>
      <t xml:space="preserve">
     Financial Project ID, 
     Pole Base Diameter (in.)
     Pole Wall Thickness (in.)
     Arm Diameter at Pole (in.)
     Arm Wall Thickness (in)
     Manufacturer's Name</t>
    </r>
  </si>
  <si>
    <r>
      <rPr>
        <b/>
        <sz val="11"/>
        <color theme="1"/>
        <rFont val="Calibri"/>
        <family val="2"/>
        <scheme val="minor"/>
      </rPr>
      <t xml:space="preserve">Special Design: </t>
    </r>
    <r>
      <rPr>
        <sz val="11"/>
        <color theme="1"/>
        <rFont val="Calibri"/>
        <family val="2"/>
        <scheme val="minor"/>
      </rPr>
      <t xml:space="preserve">
     Financial Project ID, 
     Manufacturer's Name
     Pole Base (Fy of Steel)
     Arm (Fy of Steel)
     Pole Wall Thickness (in.)
     Arm Wall Thickness (in)</t>
    </r>
  </si>
  <si>
    <t>None</t>
  </si>
  <si>
    <t>n/a</t>
  </si>
  <si>
    <r>
      <t>M</t>
    </r>
    <r>
      <rPr>
        <vertAlign val="subscript"/>
        <sz val="11"/>
        <color theme="1"/>
        <rFont val="Calibri"/>
        <family val="2"/>
        <scheme val="minor"/>
      </rPr>
      <t>extreme</t>
    </r>
    <r>
      <rPr>
        <sz val="11"/>
        <color theme="1"/>
        <rFont val="Calibri"/>
        <family val="2"/>
        <scheme val="minor"/>
      </rPr>
      <t xml:space="preserve"> : Factored Moment (kip*ft) </t>
    </r>
    <r>
      <rPr>
        <vertAlign val="subscript"/>
        <sz val="11"/>
        <color theme="1"/>
        <rFont val="Calibri"/>
        <family val="2"/>
        <scheme val="minor"/>
      </rPr>
      <t xml:space="preserve"> </t>
    </r>
  </si>
  <si>
    <r>
      <t>M</t>
    </r>
    <r>
      <rPr>
        <vertAlign val="subscript"/>
        <sz val="11"/>
        <color theme="1"/>
        <rFont val="Calibri"/>
        <family val="2"/>
        <scheme val="minor"/>
      </rPr>
      <t>wl</t>
    </r>
    <r>
      <rPr>
        <sz val="11"/>
        <color theme="1"/>
        <rFont val="Calibri"/>
        <family val="2"/>
        <scheme val="minor"/>
      </rPr>
      <t xml:space="preserve"> from Signs/Signals  (kip*ft) </t>
    </r>
  </si>
  <si>
    <r>
      <t>M</t>
    </r>
    <r>
      <rPr>
        <vertAlign val="subscript"/>
        <sz val="11"/>
        <color theme="1"/>
        <rFont val="Calibri"/>
        <family val="2"/>
        <scheme val="minor"/>
      </rPr>
      <t>wl</t>
    </r>
    <r>
      <rPr>
        <sz val="11"/>
        <color theme="1"/>
        <rFont val="Calibri"/>
        <family val="2"/>
        <scheme val="minor"/>
      </rPr>
      <t xml:space="preserve"> from Arm Tube (kip*ft) </t>
    </r>
  </si>
  <si>
    <r>
      <t>1.1*M</t>
    </r>
    <r>
      <rPr>
        <vertAlign val="subscript"/>
        <sz val="11"/>
        <color theme="1"/>
        <rFont val="Calibri"/>
        <family val="2"/>
        <scheme val="minor"/>
      </rPr>
      <t>dl</t>
    </r>
    <r>
      <rPr>
        <sz val="11"/>
        <color theme="1"/>
        <rFont val="Calibri"/>
        <family val="2"/>
        <scheme val="minor"/>
      </rPr>
      <t xml:space="preserve"> from Arm Tube (kip*ft) </t>
    </r>
  </si>
  <si>
    <t>CFI Ratio = Combined Force Interaction Ratio.</t>
  </si>
  <si>
    <t>Signal and Sign Locations and Sizes</t>
  </si>
  <si>
    <t>Index</t>
  </si>
  <si>
    <t xml:space="preserve"> </t>
  </si>
  <si>
    <t>Mast Arm Analysis</t>
  </si>
  <si>
    <t xml:space="preserve">FDOT Maximum Demand/Capacity Ratio for Existing Mast Arms = 1.10 </t>
  </si>
  <si>
    <t>11/1/2022</t>
  </si>
  <si>
    <t>Run the FDOT Mast Arm Mathcad Program for more thorough and accurate results.</t>
  </si>
  <si>
    <t>Wind Speed (mph)</t>
  </si>
  <si>
    <t>Arm CFI is the controlling component of the entire Mast Arm Assembly including the foundation.</t>
  </si>
  <si>
    <t>The analysis assumes the arm base controls the entire design of the Mast Arm Assembly including the foundation.</t>
  </si>
  <si>
    <r>
      <t xml:space="preserve">1. In the </t>
    </r>
    <r>
      <rPr>
        <b/>
        <i/>
        <sz val="12"/>
        <rFont val="Times New Roman"/>
        <family val="1"/>
      </rPr>
      <t>ArmEvaluation</t>
    </r>
    <r>
      <rPr>
        <sz val="12"/>
        <rFont val="Times New Roman"/>
        <family val="1"/>
      </rPr>
      <t xml:space="preserve"> tab, enter the following data shown in white cells:</t>
    </r>
  </si>
  <si>
    <r>
      <t>1.1*M</t>
    </r>
    <r>
      <rPr>
        <vertAlign val="subscript"/>
        <sz val="11"/>
        <color theme="1"/>
        <rFont val="Calibri"/>
        <family val="2"/>
        <scheme val="minor"/>
      </rPr>
      <t xml:space="preserve">dl </t>
    </r>
    <r>
      <rPr>
        <sz val="11"/>
        <color theme="1"/>
        <rFont val="Calibri"/>
        <family val="2"/>
        <scheme val="minor"/>
      </rPr>
      <t>from</t>
    </r>
    <r>
      <rPr>
        <vertAlign val="subscript"/>
        <sz val="11"/>
        <color theme="1"/>
        <rFont val="Calibri"/>
        <family val="2"/>
        <scheme val="minor"/>
      </rPr>
      <t xml:space="preserve"> </t>
    </r>
    <r>
      <rPr>
        <sz val="11"/>
        <color theme="1"/>
        <rFont val="Calibri"/>
        <family val="2"/>
        <scheme val="minor"/>
      </rPr>
      <t xml:space="preserve">Signs/Signals (kip*ft) </t>
    </r>
  </si>
  <si>
    <t>Sign/Signal Centers</t>
  </si>
  <si>
    <r>
      <t>M</t>
    </r>
    <r>
      <rPr>
        <vertAlign val="subscript"/>
        <sz val="10"/>
        <color theme="1"/>
        <rFont val="Calibri"/>
        <family val="2"/>
        <scheme val="minor"/>
      </rPr>
      <t>wl</t>
    </r>
    <r>
      <rPr>
        <sz val="10"/>
        <color theme="1"/>
        <rFont val="Calibri"/>
        <family val="2"/>
        <scheme val="minor"/>
      </rPr>
      <t>. (kip*ft)</t>
    </r>
  </si>
  <si>
    <t>Extreme Event Arm Moment (kip*ft) =</t>
  </si>
  <si>
    <t>Note: Poles tube are typically designed to have a smaller CFI than Arm tubes</t>
  </si>
  <si>
    <t>E7-'08</t>
  </si>
  <si>
    <t>E7-'10</t>
  </si>
  <si>
    <t>E1-'08</t>
  </si>
  <si>
    <t>E2-'08</t>
  </si>
  <si>
    <t>2010-2017</t>
  </si>
  <si>
    <t>E1-'10</t>
  </si>
  <si>
    <t>E2-'10</t>
  </si>
  <si>
    <t>F7-'08</t>
  </si>
  <si>
    <t>F7-'10</t>
  </si>
  <si>
    <t>Tube DL Moment 
(kip-ft)</t>
  </si>
  <si>
    <t>120 mph Tube WL Moment 
(kip-ft)</t>
  </si>
  <si>
    <t>170 mph Tube WL Moment 
(kip-ft)</t>
  </si>
  <si>
    <r>
      <t>F</t>
    </r>
    <r>
      <rPr>
        <b/>
        <vertAlign val="subscript"/>
        <sz val="11"/>
        <color theme="1"/>
        <rFont val="Calibri"/>
        <family val="2"/>
        <scheme val="minor"/>
      </rPr>
      <t>y</t>
    </r>
    <r>
      <rPr>
        <b/>
        <sz val="11"/>
        <color theme="1"/>
        <rFont val="Calibri"/>
        <family val="2"/>
        <scheme val="minor"/>
      </rPr>
      <t xml:space="preserve"> 
(ksi)</t>
    </r>
  </si>
  <si>
    <r>
      <t>Sign/Sig 
M</t>
    </r>
    <r>
      <rPr>
        <vertAlign val="subscript"/>
        <sz val="11"/>
        <color theme="1"/>
        <rFont val="Calibri"/>
        <family val="2"/>
        <scheme val="minor"/>
      </rPr>
      <t>wl</t>
    </r>
    <r>
      <rPr>
        <sz val="11"/>
        <color theme="1"/>
        <rFont val="Calibri"/>
        <family val="2"/>
        <scheme val="minor"/>
      </rPr>
      <t xml:space="preserve"> 
(kip*ft)</t>
    </r>
  </si>
  <si>
    <r>
      <t>Sign/Sig 
1.1*M</t>
    </r>
    <r>
      <rPr>
        <vertAlign val="subscript"/>
        <sz val="11"/>
        <color theme="1"/>
        <rFont val="Calibri"/>
        <family val="2"/>
        <scheme val="minor"/>
      </rPr>
      <t>dl</t>
    </r>
    <r>
      <rPr>
        <sz val="11"/>
        <color theme="1"/>
        <rFont val="Calibri"/>
        <family val="2"/>
        <scheme val="minor"/>
      </rPr>
      <t xml:space="preserve">
(kip*ft)</t>
    </r>
  </si>
  <si>
    <r>
      <t>Tube
M</t>
    </r>
    <r>
      <rPr>
        <vertAlign val="subscript"/>
        <sz val="11"/>
        <color theme="1"/>
        <rFont val="Calibri"/>
        <family val="2"/>
        <scheme val="minor"/>
      </rPr>
      <t>wl</t>
    </r>
    <r>
      <rPr>
        <sz val="11"/>
        <color theme="1"/>
        <rFont val="Calibri"/>
        <family val="2"/>
        <scheme val="minor"/>
      </rPr>
      <t xml:space="preserve"> 
(kip*ft)</t>
    </r>
  </si>
  <si>
    <r>
      <t>Tube
1.1*M</t>
    </r>
    <r>
      <rPr>
        <vertAlign val="subscript"/>
        <sz val="11"/>
        <color theme="1"/>
        <rFont val="Calibri"/>
        <family val="2"/>
        <scheme val="minor"/>
      </rPr>
      <t>dl</t>
    </r>
    <r>
      <rPr>
        <sz val="11"/>
        <color theme="1"/>
        <rFont val="Calibri"/>
        <family val="2"/>
        <scheme val="minor"/>
      </rPr>
      <t xml:space="preserve">
(kip*ft)</t>
    </r>
  </si>
  <si>
    <t>Arm Loads: Extreme Event Dead Load Moment, Wind Load Moment at Base Connection</t>
  </si>
  <si>
    <t>Estimated Arm D/C</t>
  </si>
  <si>
    <t>Max. Allowable CFI</t>
  </si>
  <si>
    <t>Arm Assembly ID</t>
  </si>
  <si>
    <r>
      <t>Nominal  Moment M</t>
    </r>
    <r>
      <rPr>
        <b/>
        <vertAlign val="subscript"/>
        <sz val="11"/>
        <color theme="1"/>
        <rFont val="Calibri"/>
        <family val="2"/>
        <scheme val="minor"/>
      </rPr>
      <t>r</t>
    </r>
    <r>
      <rPr>
        <b/>
        <sz val="11"/>
        <color theme="1"/>
        <rFont val="Calibri"/>
        <family val="2"/>
        <scheme val="minor"/>
      </rPr>
      <t xml:space="preserve"> 
(kip-ft)</t>
    </r>
  </si>
  <si>
    <r>
      <t>Factor for M</t>
    </r>
    <r>
      <rPr>
        <vertAlign val="subscript"/>
        <sz val="11"/>
        <color theme="1"/>
        <rFont val="Calibri"/>
        <family val="2"/>
        <scheme val="minor"/>
      </rPr>
      <t>r</t>
    </r>
    <r>
      <rPr>
        <sz val="11"/>
        <color theme="1"/>
        <rFont val="Calibri"/>
        <family val="2"/>
        <scheme val="minor"/>
      </rPr>
      <t xml:space="preserve">  if 
F</t>
    </r>
    <r>
      <rPr>
        <vertAlign val="subscript"/>
        <sz val="11"/>
        <color theme="1"/>
        <rFont val="Calibri"/>
        <family val="2"/>
        <scheme val="minor"/>
      </rPr>
      <t>y</t>
    </r>
    <r>
      <rPr>
        <sz val="11"/>
        <color theme="1"/>
        <rFont val="Calibri"/>
        <family val="2"/>
        <scheme val="minor"/>
      </rPr>
      <t xml:space="preserve"> &gt; 50 ksi</t>
    </r>
  </si>
  <si>
    <t>The arm height is 24.5 feet above natural ground (Kz = 0.94)</t>
  </si>
  <si>
    <t>When analyzing existing Mast Arms, a foundation evaluation is not required unless the engineer has reason to believe an analysis is necessary.</t>
  </si>
  <si>
    <t>Resistance Moment (kip*ft) =</t>
  </si>
  <si>
    <t xml:space="preserve">Signal\Sign
Number </t>
  </si>
  <si>
    <t>On FDOT Standards 2017 and later, the tube steel yield strength (Fy) is found on the ID Tag, otherwise assume 50 ksi.</t>
  </si>
  <si>
    <r>
      <t>F</t>
    </r>
    <r>
      <rPr>
        <vertAlign val="subscript"/>
        <sz val="11"/>
        <color theme="1"/>
        <rFont val="Calibri"/>
        <family val="2"/>
        <scheme val="minor"/>
      </rPr>
      <t>y</t>
    </r>
    <r>
      <rPr>
        <sz val="11"/>
        <color theme="1"/>
        <rFont val="Calibri"/>
        <family val="2"/>
        <scheme val="minor"/>
      </rPr>
      <t xml:space="preserve"> (ksi)
(see IDTag)</t>
    </r>
  </si>
  <si>
    <t>FDOT Standard Mast Arm Identification Tag Information</t>
  </si>
  <si>
    <r>
      <t xml:space="preserve">a.  </t>
    </r>
    <r>
      <rPr>
        <b/>
        <sz val="12"/>
        <color theme="1"/>
        <rFont val="Times New Roman"/>
        <family val="1"/>
      </rPr>
      <t>Wind Speed</t>
    </r>
    <r>
      <rPr>
        <sz val="12"/>
        <color theme="1"/>
        <rFont val="Times New Roman"/>
        <family val="1"/>
      </rPr>
      <t xml:space="preserve">; interpolate wind speed using the Map given on the </t>
    </r>
    <r>
      <rPr>
        <i/>
        <sz val="12"/>
        <color theme="1"/>
        <rFont val="Times New Roman"/>
        <family val="1"/>
      </rPr>
      <t>WindSpeedMap</t>
    </r>
    <r>
      <rPr>
        <sz val="12"/>
        <color theme="1"/>
        <rFont val="Times New Roman"/>
        <family val="1"/>
      </rPr>
      <t xml:space="preserve"> tab.</t>
    </r>
  </si>
  <si>
    <r>
      <t xml:space="preserve">b.  </t>
    </r>
    <r>
      <rPr>
        <b/>
        <sz val="12"/>
        <color theme="1"/>
        <rFont val="Times New Roman"/>
        <family val="1"/>
      </rPr>
      <t>Signal Orientation</t>
    </r>
    <r>
      <rPr>
        <sz val="12"/>
        <color theme="1"/>
        <rFont val="Times New Roman"/>
        <family val="1"/>
      </rPr>
      <t>: this selection only modifies the drawing.</t>
    </r>
  </si>
  <si>
    <r>
      <t xml:space="preserve">c.  </t>
    </r>
    <r>
      <rPr>
        <b/>
        <sz val="12"/>
        <color theme="1"/>
        <rFont val="Times New Roman"/>
        <family val="1"/>
      </rPr>
      <t>Arm ID</t>
    </r>
    <r>
      <rPr>
        <sz val="12"/>
        <color theme="1"/>
        <rFont val="Times New Roman"/>
        <family val="1"/>
      </rPr>
      <t>: see "FDOT Mast Arm Identification Tag Information" below, for non-standard mast arms choose "None".</t>
    </r>
  </si>
  <si>
    <r>
      <t xml:space="preserve">d.  </t>
    </r>
    <r>
      <rPr>
        <b/>
        <sz val="12"/>
        <color theme="1"/>
        <rFont val="Times New Roman"/>
        <family val="1"/>
      </rPr>
      <t>Back Plate Width</t>
    </r>
    <r>
      <rPr>
        <sz val="12"/>
        <color theme="1"/>
        <rFont val="Times New Roman"/>
        <family val="1"/>
      </rPr>
      <t>: for flexible backplates choose"2.5 in.".</t>
    </r>
  </si>
  <si>
    <r>
      <t xml:space="preserve">g.  </t>
    </r>
    <r>
      <rPr>
        <b/>
        <sz val="12"/>
        <color theme="1"/>
        <rFont val="Times New Roman"/>
        <family val="1"/>
      </rPr>
      <t>Dist. To Pole</t>
    </r>
    <r>
      <rPr>
        <sz val="12"/>
        <color theme="1"/>
        <rFont val="Times New Roman"/>
        <family val="1"/>
      </rPr>
      <t>: enter the distances from the centerline of each signal or sign to the face of the pole.</t>
    </r>
  </si>
  <si>
    <r>
      <t xml:space="preserve">h.  </t>
    </r>
    <r>
      <rPr>
        <b/>
        <sz val="12"/>
        <color theme="1"/>
        <rFont val="Times New Roman"/>
        <family val="1"/>
      </rPr>
      <t>Sign Width and Sign Height</t>
    </r>
    <r>
      <rPr>
        <sz val="12"/>
        <color theme="1"/>
        <rFont val="Times New Roman"/>
        <family val="1"/>
      </rPr>
      <t>: for signs, enter the width and height.</t>
    </r>
  </si>
  <si>
    <r>
      <t xml:space="preserve">e.  </t>
    </r>
    <r>
      <rPr>
        <b/>
        <sz val="12"/>
        <color theme="1"/>
        <rFont val="Times New Roman"/>
        <family val="1"/>
      </rPr>
      <t>F</t>
    </r>
    <r>
      <rPr>
        <b/>
        <vertAlign val="subscript"/>
        <sz val="12"/>
        <color theme="1"/>
        <rFont val="Times New Roman"/>
        <family val="1"/>
      </rPr>
      <t>Y</t>
    </r>
    <r>
      <rPr>
        <sz val="12"/>
        <color theme="1"/>
        <rFont val="Times New Roman"/>
        <family val="1"/>
      </rPr>
      <t>: steel yield strength of the arm tube, if unknown assume 50 ksi.</t>
    </r>
  </si>
  <si>
    <r>
      <t xml:space="preserve">f.  </t>
    </r>
    <r>
      <rPr>
        <b/>
        <sz val="12"/>
        <color theme="1"/>
        <rFont val="Times New Roman"/>
        <family val="1"/>
      </rPr>
      <t>Attachment Type</t>
    </r>
    <r>
      <rPr>
        <sz val="12"/>
        <color theme="1"/>
        <rFont val="Times New Roman"/>
        <family val="1"/>
      </rPr>
      <t>: working from right to left, check the appropriate radio button for each of the 10 possible attachment types.</t>
    </r>
  </si>
  <si>
    <t>For Mast Arms without plans (Arm ID = None), (Proposed Signal &amp; Sign Resultant Moment / Existing Signal &amp; Sign Resultant Moment) &lt;= 1.10.</t>
  </si>
  <si>
    <t>All FDOT Standard Mast Arm Assemblies since 2002 have required a Mast Arm ID Tag, see Directions tab.</t>
  </si>
  <si>
    <r>
      <t xml:space="preserve">Arm Resistance </t>
    </r>
    <r>
      <rPr>
        <sz val="10"/>
        <color theme="1"/>
        <rFont val="Calibri"/>
        <family val="2"/>
        <scheme val="minor"/>
      </rPr>
      <t>(M</t>
    </r>
    <r>
      <rPr>
        <vertAlign val="subscript"/>
        <sz val="10"/>
        <color theme="1"/>
        <rFont val="Calibri"/>
        <family val="2"/>
        <scheme val="minor"/>
      </rPr>
      <t>r</t>
    </r>
    <r>
      <rPr>
        <sz val="10"/>
        <color theme="1"/>
        <rFont val="Calibri"/>
        <family val="2"/>
        <scheme val="minor"/>
      </rPr>
      <t>=</t>
    </r>
    <r>
      <rPr>
        <sz val="10"/>
        <color theme="1"/>
        <rFont val="Calibri"/>
        <family val="2"/>
      </rPr>
      <t>φM</t>
    </r>
    <r>
      <rPr>
        <vertAlign val="subscript"/>
        <sz val="10"/>
        <color theme="1"/>
        <rFont val="Calibri"/>
        <family val="2"/>
      </rPr>
      <t>n</t>
    </r>
    <r>
      <rPr>
        <sz val="10"/>
        <color theme="1"/>
        <rFont val="Calibri"/>
        <family val="2"/>
      </rPr>
      <t>)</t>
    </r>
    <r>
      <rPr>
        <sz val="11"/>
        <color theme="1"/>
        <rFont val="Calibri"/>
        <family val="2"/>
      </rPr>
      <t xml:space="preserve"> (kip*ft)</t>
    </r>
  </si>
  <si>
    <t>C</t>
  </si>
  <si>
    <t>B</t>
  </si>
  <si>
    <t>A</t>
  </si>
  <si>
    <t>Values from Mathcad</t>
  </si>
  <si>
    <t>Equations for Tube WL Moment</t>
  </si>
  <si>
    <t>Coefficients for Ax^B+C</t>
  </si>
  <si>
    <t>Wind Speed =</t>
  </si>
  <si>
    <r>
      <t>Tube M</t>
    </r>
    <r>
      <rPr>
        <vertAlign val="subscript"/>
        <sz val="11"/>
        <color theme="1"/>
        <rFont val="Calibri"/>
        <family val="2"/>
        <scheme val="minor"/>
      </rPr>
      <t>wl</t>
    </r>
  </si>
  <si>
    <t>x</t>
  </si>
  <si>
    <t>y</t>
  </si>
  <si>
    <t>A,B and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</si>
</sst>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6" x14ac:knownFonts="1">
    <font>
      <sz val="11"/>
      <color theme="1"/>
      <name val="Calibri"/>
      <family val="2"/>
      <scheme val="minor"/>
    </font>
    <font>
      <b/>
      <sz val="11"/>
      <color theme="1"/>
      <name val="Calibri"/>
      <family val="2"/>
      <scheme val="minor"/>
    </font>
    <font>
      <vertAlign val="subscript"/>
      <sz val="11"/>
      <color theme="1"/>
      <name val="Calibri"/>
      <family val="2"/>
      <scheme val="minor"/>
    </font>
    <font>
      <sz val="8"/>
      <color rgb="FF000000"/>
      <name val="Segoe UI"/>
      <family val="2"/>
    </font>
    <font>
      <b/>
      <sz val="16"/>
      <color theme="1"/>
      <name val="Calibri"/>
      <family val="2"/>
      <scheme val="minor"/>
    </font>
    <font>
      <b/>
      <sz val="14"/>
      <color theme="1"/>
      <name val="Calibri"/>
      <family val="2"/>
      <scheme val="minor"/>
    </font>
    <font>
      <b/>
      <sz val="12"/>
      <color theme="1"/>
      <name val="Times New Roman"/>
      <family val="1"/>
    </font>
    <font>
      <sz val="11"/>
      <color rgb="FFFF0000"/>
      <name val="Calibri"/>
      <family val="2"/>
      <scheme val="minor"/>
    </font>
    <font>
      <sz val="11"/>
      <color theme="1"/>
      <name val="Calibri"/>
      <family val="2"/>
    </font>
    <font>
      <i/>
      <sz val="9"/>
      <color theme="1"/>
      <name val="Calibri"/>
      <family val="2"/>
      <scheme val="minor"/>
    </font>
    <font>
      <i/>
      <sz val="11"/>
      <color theme="1"/>
      <name val="Calibri"/>
      <family val="2"/>
      <scheme val="minor"/>
    </font>
    <font>
      <i/>
      <sz val="9"/>
      <color rgb="FFFF0000"/>
      <name val="Times New Roman"/>
      <family val="1"/>
    </font>
    <font>
      <i/>
      <sz val="11"/>
      <color rgb="FFFF0000"/>
      <name val="Times New Roman"/>
      <family val="1"/>
    </font>
    <font>
      <b/>
      <i/>
      <sz val="11"/>
      <color rgb="FFFF0000"/>
      <name val="Times New Roman"/>
      <family val="1"/>
    </font>
    <font>
      <sz val="11"/>
      <color theme="1"/>
      <name val="Times New Roman"/>
      <family val="1"/>
    </font>
    <font>
      <b/>
      <sz val="14"/>
      <name val="Times New Roman"/>
      <family val="1"/>
    </font>
    <font>
      <sz val="12"/>
      <name val="Times New Roman"/>
      <family val="1"/>
    </font>
    <font>
      <i/>
      <sz val="12"/>
      <color rgb="FFFF0000"/>
      <name val="Times New Roman"/>
      <family val="1"/>
    </font>
    <font>
      <sz val="12"/>
      <color theme="1"/>
      <name val="Times New Roman"/>
      <family val="1"/>
    </font>
    <font>
      <b/>
      <i/>
      <sz val="12"/>
      <name val="Times New Roman"/>
      <family val="1"/>
    </font>
    <font>
      <b/>
      <u/>
      <sz val="20"/>
      <color theme="1"/>
      <name val="Times New Roman"/>
      <family val="1"/>
    </font>
    <font>
      <sz val="12"/>
      <color theme="1"/>
      <name val="Calibri"/>
      <family val="2"/>
      <scheme val="minor"/>
    </font>
    <font>
      <sz val="12"/>
      <color theme="1"/>
      <name val="FDOT"/>
    </font>
    <font>
      <b/>
      <sz val="11"/>
      <name val="Calibri"/>
      <family val="2"/>
      <scheme val="minor"/>
    </font>
    <font>
      <sz val="11"/>
      <color theme="0" tint="-0.14999847407452621"/>
      <name val="Calibri"/>
      <family val="2"/>
      <scheme val="minor"/>
    </font>
    <font>
      <b/>
      <u/>
      <sz val="11"/>
      <color theme="1"/>
      <name val="Calibri"/>
      <family val="2"/>
      <scheme val="minor"/>
    </font>
    <font>
      <b/>
      <sz val="12"/>
      <name val="Times New Roman"/>
      <family val="1"/>
    </font>
    <font>
      <i/>
      <sz val="12"/>
      <color theme="1"/>
      <name val="Times New Roman"/>
      <family val="1"/>
    </font>
    <font>
      <b/>
      <i/>
      <sz val="10"/>
      <color theme="4" tint="-0.499984740745262"/>
      <name val="Calibri"/>
      <family val="2"/>
      <scheme val="minor"/>
    </font>
    <font>
      <sz val="10"/>
      <color theme="1"/>
      <name val="Calibri"/>
      <family val="2"/>
      <scheme val="minor"/>
    </font>
    <font>
      <vertAlign val="subscript"/>
      <sz val="10"/>
      <color theme="1"/>
      <name val="Calibri"/>
      <family val="2"/>
      <scheme val="minor"/>
    </font>
    <font>
      <b/>
      <sz val="11"/>
      <color theme="1"/>
      <name val="Calibri"/>
      <family val="2"/>
    </font>
    <font>
      <b/>
      <vertAlign val="subscript"/>
      <sz val="11"/>
      <color theme="1"/>
      <name val="Calibri"/>
      <family val="2"/>
      <scheme val="minor"/>
    </font>
    <font>
      <b/>
      <vertAlign val="subscript"/>
      <sz val="12"/>
      <color theme="1"/>
      <name val="Times New Roman"/>
      <family val="1"/>
    </font>
    <font>
      <sz val="10"/>
      <color theme="1"/>
      <name val="Calibri"/>
      <family val="2"/>
    </font>
    <font>
      <vertAlign val="subscript"/>
      <sz val="10"/>
      <color theme="1"/>
      <name val="Calibri"/>
      <family val="2"/>
    </font>
  </fonts>
  <fills count="2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FF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C00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rgb="FF7030A0"/>
        <bgColor indexed="64"/>
      </patternFill>
    </fill>
    <fill>
      <patternFill patternType="solid">
        <fgColor theme="9" tint="0.59996337778862885"/>
        <bgColor indexed="64"/>
      </patternFill>
    </fill>
    <fill>
      <patternFill patternType="solid">
        <fgColor theme="9"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theme="0"/>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ck">
        <color auto="1"/>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ck">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74">
    <xf numFmtId="0" fontId="0" fillId="0" borderId="0" xfId="0"/>
    <xf numFmtId="2" fontId="0" fillId="0" borderId="0" xfId="0" applyNumberFormat="1" applyAlignment="1">
      <alignment horizontal="center"/>
    </xf>
    <xf numFmtId="0" fontId="1" fillId="0" borderId="0" xfId="0" applyFont="1" applyAlignment="1">
      <alignment horizontal="center"/>
    </xf>
    <xf numFmtId="0" fontId="0" fillId="0" borderId="0" xfId="0"/>
    <xf numFmtId="0" fontId="0" fillId="0" borderId="0" xfId="0" applyAlignment="1">
      <alignment horizontal="center" vertical="center"/>
    </xf>
    <xf numFmtId="2" fontId="0" fillId="0" borderId="0" xfId="0" applyNumberFormat="1" applyAlignment="1">
      <alignment vertical="center"/>
    </xf>
    <xf numFmtId="0" fontId="0" fillId="0" borderId="0" xfId="0" applyAlignment="1">
      <alignment vertical="center"/>
    </xf>
    <xf numFmtId="1" fontId="0" fillId="0" borderId="0" xfId="0" applyNumberFormat="1" applyBorder="1" applyAlignment="1">
      <alignment horizontal="center" vertical="center"/>
    </xf>
    <xf numFmtId="0" fontId="0" fillId="4" borderId="0" xfId="0" applyFill="1" applyBorder="1" applyProtection="1">
      <protection locked="0"/>
    </xf>
    <xf numFmtId="0" fontId="0" fillId="0" borderId="0" xfId="0" applyProtection="1">
      <protection locked="0"/>
    </xf>
    <xf numFmtId="0" fontId="0" fillId="0" borderId="0" xfId="0" applyBorder="1" applyProtection="1">
      <protection locked="0"/>
    </xf>
    <xf numFmtId="0" fontId="0" fillId="0" borderId="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4" borderId="13" xfId="0" applyFill="1" applyBorder="1" applyProtection="1">
      <protection locked="0"/>
    </xf>
    <xf numFmtId="0" fontId="0" fillId="4" borderId="19" xfId="0" applyFill="1" applyBorder="1" applyProtection="1">
      <protection locked="0"/>
    </xf>
    <xf numFmtId="0" fontId="4" fillId="4" borderId="19" xfId="0" applyFont="1" applyFill="1" applyBorder="1" applyAlignment="1" applyProtection="1">
      <alignment vertical="center" wrapText="1"/>
      <protection locked="0"/>
    </xf>
    <xf numFmtId="0" fontId="0" fillId="4" borderId="14" xfId="0" applyFill="1" applyBorder="1" applyProtection="1">
      <protection locked="0"/>
    </xf>
    <xf numFmtId="0" fontId="0" fillId="4" borderId="34" xfId="0" applyFill="1" applyBorder="1" applyProtection="1">
      <protection locked="0"/>
    </xf>
    <xf numFmtId="0" fontId="0" fillId="4" borderId="35" xfId="0" applyFill="1" applyBorder="1" applyAlignment="1" applyProtection="1">
      <alignment vertical="center"/>
      <protection locked="0"/>
    </xf>
    <xf numFmtId="0" fontId="0" fillId="4" borderId="35" xfId="0" applyFill="1" applyBorder="1" applyProtection="1">
      <protection locked="0"/>
    </xf>
    <xf numFmtId="0" fontId="0" fillId="0" borderId="34" xfId="0" applyBorder="1" applyProtection="1">
      <protection locked="0"/>
    </xf>
    <xf numFmtId="0" fontId="0" fillId="4" borderId="27" xfId="0" applyFill="1" applyBorder="1" applyProtection="1">
      <protection locked="0"/>
    </xf>
    <xf numFmtId="0" fontId="0" fillId="4" borderId="36" xfId="0" applyFill="1" applyBorder="1" applyProtection="1">
      <protection locked="0"/>
    </xf>
    <xf numFmtId="0" fontId="0" fillId="3" borderId="13" xfId="0" applyFill="1" applyBorder="1"/>
    <xf numFmtId="0" fontId="0" fillId="3" borderId="19" xfId="0" applyFill="1" applyBorder="1"/>
    <xf numFmtId="0" fontId="0" fillId="3" borderId="34" xfId="0" applyFill="1" applyBorder="1"/>
    <xf numFmtId="1" fontId="0" fillId="0" borderId="35" xfId="0" applyNumberFormat="1" applyBorder="1" applyAlignment="1">
      <alignment horizontal="center" vertical="center"/>
    </xf>
    <xf numFmtId="0" fontId="0" fillId="3" borderId="27" xfId="0" applyFill="1" applyBorder="1"/>
    <xf numFmtId="2" fontId="0" fillId="0" borderId="20" xfId="0" applyNumberFormat="1" applyBorder="1"/>
    <xf numFmtId="2" fontId="0" fillId="0" borderId="28" xfId="0" applyNumberFormat="1" applyBorder="1"/>
    <xf numFmtId="0" fontId="0" fillId="0" borderId="27" xfId="0" applyBorder="1"/>
    <xf numFmtId="0" fontId="0" fillId="0" borderId="34" xfId="0" applyBorder="1"/>
    <xf numFmtId="0" fontId="0" fillId="0" borderId="0" xfId="0" applyBorder="1" applyAlignment="1">
      <alignment horizontal="center" vertical="center"/>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left" vertical="center"/>
    </xf>
    <xf numFmtId="0" fontId="0" fillId="3" borderId="0" xfId="0" applyFill="1" applyBorder="1" applyAlignment="1">
      <alignment horizontal="center" vertical="center"/>
    </xf>
    <xf numFmtId="0" fontId="0" fillId="0" borderId="3" xfId="0" applyBorder="1" applyAlignment="1">
      <alignment horizontal="center" vertical="center"/>
    </xf>
    <xf numFmtId="0" fontId="0" fillId="3" borderId="19" xfId="0" applyFill="1" applyBorder="1" applyAlignment="1">
      <alignment horizontal="center" vertical="center"/>
    </xf>
    <xf numFmtId="0" fontId="0" fillId="3" borderId="14" xfId="0" applyFill="1" applyBorder="1" applyAlignment="1">
      <alignment horizontal="center" vertical="center"/>
    </xf>
    <xf numFmtId="2" fontId="0" fillId="0" borderId="0" xfId="0" applyNumberFormat="1" applyBorder="1" applyAlignment="1">
      <alignment horizontal="center" vertical="center"/>
    </xf>
    <xf numFmtId="2" fontId="0" fillId="0" borderId="35" xfId="0" applyNumberFormat="1" applyBorder="1" applyAlignment="1">
      <alignment horizontal="center" vertical="center"/>
    </xf>
    <xf numFmtId="2" fontId="0" fillId="0" borderId="20" xfId="0" applyNumberFormat="1" applyBorder="1" applyAlignment="1">
      <alignment horizontal="center" vertical="center"/>
    </xf>
    <xf numFmtId="2" fontId="0" fillId="0" borderId="28" xfId="0" applyNumberFormat="1" applyBorder="1" applyAlignment="1">
      <alignment horizontal="center" vertical="center"/>
    </xf>
    <xf numFmtId="0" fontId="0" fillId="0" borderId="20" xfId="0" applyBorder="1" applyAlignment="1">
      <alignment horizontal="left"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20" xfId="0" applyBorder="1" applyAlignment="1" applyProtection="1">
      <alignment horizontal="center" vertical="center"/>
      <protection locked="0"/>
    </xf>
    <xf numFmtId="2" fontId="0" fillId="0" borderId="20" xfId="0" applyNumberFormat="1" applyBorder="1" applyAlignment="1">
      <alignment horizontal="center"/>
    </xf>
    <xf numFmtId="0" fontId="0" fillId="0" borderId="0" xfId="0" applyBorder="1" applyAlignment="1">
      <alignment vertical="center" wrapText="1"/>
    </xf>
    <xf numFmtId="0" fontId="0" fillId="0" borderId="0" xfId="0" applyBorder="1" applyAlignment="1">
      <alignment vertical="center"/>
    </xf>
    <xf numFmtId="0" fontId="21" fillId="0" borderId="0" xfId="0" applyFont="1"/>
    <xf numFmtId="0" fontId="21" fillId="0" borderId="0" xfId="0" applyFont="1" applyAlignment="1">
      <alignment horizontal="center" vertical="center"/>
    </xf>
    <xf numFmtId="49" fontId="22" fillId="0" borderId="3"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0" fontId="22" fillId="0" borderId="30" xfId="0" applyFont="1" applyBorder="1" applyAlignment="1">
      <alignment horizontal="center" vertical="center" textRotation="90" wrapText="1"/>
    </xf>
    <xf numFmtId="0" fontId="22" fillId="0" borderId="8" xfId="0" applyNumberFormat="1" applyFont="1" applyBorder="1" applyAlignment="1">
      <alignment horizontal="center" vertical="center"/>
    </xf>
    <xf numFmtId="0" fontId="0" fillId="0" borderId="12" xfId="0" applyBorder="1" applyProtection="1">
      <protection locked="0"/>
    </xf>
    <xf numFmtId="0" fontId="11" fillId="4" borderId="12" xfId="0" applyFont="1" applyFill="1" applyBorder="1" applyAlignment="1" applyProtection="1">
      <protection locked="0"/>
    </xf>
    <xf numFmtId="0" fontId="0" fillId="4" borderId="12" xfId="0" applyFill="1" applyBorder="1" applyProtection="1">
      <protection locked="0"/>
    </xf>
    <xf numFmtId="0" fontId="12" fillId="4" borderId="12" xfId="0" applyFont="1" applyFill="1" applyBorder="1" applyAlignment="1" applyProtection="1">
      <protection locked="0"/>
    </xf>
    <xf numFmtId="49" fontId="20" fillId="3" borderId="13" xfId="0" applyNumberFormat="1" applyFont="1" applyFill="1" applyBorder="1" applyAlignment="1" applyProtection="1">
      <alignment horizontal="left" vertical="center" indent="1"/>
    </xf>
    <xf numFmtId="49" fontId="11" fillId="3" borderId="19" xfId="0" applyNumberFormat="1" applyFont="1" applyFill="1" applyBorder="1" applyAlignment="1" applyProtection="1">
      <alignment horizontal="left" vertical="center" indent="1"/>
    </xf>
    <xf numFmtId="49" fontId="11" fillId="3" borderId="14" xfId="0" applyNumberFormat="1" applyFont="1" applyFill="1" applyBorder="1" applyAlignment="1" applyProtection="1">
      <alignment horizontal="left" vertical="center" indent="1"/>
    </xf>
    <xf numFmtId="49" fontId="11" fillId="3" borderId="34" xfId="0" applyNumberFormat="1" applyFont="1" applyFill="1" applyBorder="1" applyAlignment="1" applyProtection="1">
      <alignment horizontal="left" vertical="center" indent="1"/>
    </xf>
    <xf numFmtId="49" fontId="11" fillId="3" borderId="0" xfId="0" applyNumberFormat="1" applyFont="1" applyFill="1" applyBorder="1" applyAlignment="1" applyProtection="1">
      <alignment horizontal="left" vertical="center" indent="1"/>
    </xf>
    <xf numFmtId="49" fontId="11" fillId="3" borderId="35" xfId="0" applyNumberFormat="1" applyFont="1" applyFill="1" applyBorder="1" applyAlignment="1" applyProtection="1">
      <alignment horizontal="left" vertical="center" indent="1"/>
    </xf>
    <xf numFmtId="49" fontId="15" fillId="3" borderId="34" xfId="0" applyNumberFormat="1" applyFont="1" applyFill="1" applyBorder="1" applyAlignment="1" applyProtection="1">
      <alignment horizontal="left" vertical="center" indent="1"/>
    </xf>
    <xf numFmtId="49" fontId="13" fillId="3" borderId="0" xfId="0" applyNumberFormat="1" applyFont="1" applyFill="1" applyBorder="1" applyAlignment="1" applyProtection="1">
      <alignment horizontal="left" vertical="center" indent="1"/>
    </xf>
    <xf numFmtId="49" fontId="16" fillId="3" borderId="34" xfId="0" applyNumberFormat="1" applyFont="1" applyFill="1" applyBorder="1" applyAlignment="1" applyProtection="1">
      <alignment horizontal="left" vertical="center" indent="1"/>
    </xf>
    <xf numFmtId="49" fontId="17" fillId="3" borderId="0" xfId="0" applyNumberFormat="1" applyFont="1" applyFill="1" applyBorder="1" applyAlignment="1" applyProtection="1">
      <alignment horizontal="left" vertical="center" indent="1"/>
    </xf>
    <xf numFmtId="49" fontId="0" fillId="3" borderId="0" xfId="0" applyNumberFormat="1" applyFill="1" applyBorder="1" applyAlignment="1" applyProtection="1">
      <alignment horizontal="left" vertical="center" indent="1"/>
    </xf>
    <xf numFmtId="49" fontId="18" fillId="3" borderId="0" xfId="0" applyNumberFormat="1" applyFont="1" applyFill="1" applyBorder="1" applyAlignment="1" applyProtection="1">
      <alignment horizontal="left" vertical="center" indent="1"/>
    </xf>
    <xf numFmtId="49" fontId="17" fillId="3" borderId="34" xfId="0" applyNumberFormat="1" applyFont="1" applyFill="1" applyBorder="1" applyAlignment="1" applyProtection="1">
      <alignment horizontal="left" vertical="center" indent="1"/>
    </xf>
    <xf numFmtId="49" fontId="14" fillId="3" borderId="34" xfId="0" applyNumberFormat="1" applyFont="1" applyFill="1" applyBorder="1" applyAlignment="1" applyProtection="1">
      <alignment horizontal="left" vertical="center" indent="1"/>
    </xf>
    <xf numFmtId="49" fontId="18" fillId="3" borderId="34" xfId="0" applyNumberFormat="1" applyFont="1" applyFill="1" applyBorder="1" applyAlignment="1" applyProtection="1">
      <alignment horizontal="left" vertical="center" indent="1"/>
    </xf>
    <xf numFmtId="49" fontId="12" fillId="3" borderId="0" xfId="0" applyNumberFormat="1" applyFont="1" applyFill="1" applyBorder="1" applyAlignment="1" applyProtection="1">
      <alignment horizontal="left" vertical="center" indent="1"/>
    </xf>
    <xf numFmtId="49" fontId="0" fillId="3" borderId="0" xfId="0" applyNumberFormat="1" applyFill="1" applyAlignment="1" applyProtection="1">
      <alignment horizontal="left" vertical="center" indent="1"/>
    </xf>
    <xf numFmtId="49" fontId="11" fillId="3" borderId="27" xfId="0" applyNumberFormat="1" applyFont="1" applyFill="1" applyBorder="1" applyAlignment="1" applyProtection="1">
      <alignment horizontal="left" vertical="center" indent="1"/>
    </xf>
    <xf numFmtId="49" fontId="11" fillId="3" borderId="20" xfId="0" applyNumberFormat="1" applyFont="1" applyFill="1" applyBorder="1" applyAlignment="1" applyProtection="1">
      <alignment horizontal="left" vertical="center" indent="1"/>
    </xf>
    <xf numFmtId="49" fontId="0" fillId="3" borderId="28" xfId="0" applyNumberFormat="1" applyFill="1" applyBorder="1" applyAlignment="1" applyProtection="1">
      <alignment horizontal="left" vertical="center" indent="1"/>
    </xf>
    <xf numFmtId="49" fontId="1" fillId="3" borderId="0" xfId="0" applyNumberFormat="1" applyFont="1" applyFill="1" applyBorder="1" applyAlignment="1" applyProtection="1">
      <alignment horizontal="left" vertical="center" indent="1"/>
    </xf>
    <xf numFmtId="0" fontId="0" fillId="0" borderId="0" xfId="0" applyProtection="1"/>
    <xf numFmtId="0" fontId="0" fillId="4" borderId="0" xfId="0" applyFill="1" applyBorder="1" applyProtection="1"/>
    <xf numFmtId="0" fontId="0" fillId="4" borderId="20" xfId="0" applyFill="1" applyBorder="1" applyProtection="1"/>
    <xf numFmtId="0" fontId="0" fillId="0" borderId="20" xfId="0" applyBorder="1" applyProtection="1"/>
    <xf numFmtId="0" fontId="1" fillId="5" borderId="17" xfId="0" applyFont="1" applyFill="1" applyBorder="1" applyAlignment="1" applyProtection="1">
      <alignment horizontal="center" vertical="center" wrapText="1"/>
    </xf>
    <xf numFmtId="164" fontId="0" fillId="0" borderId="18" xfId="0" applyNumberFormat="1" applyBorder="1" applyAlignment="1" applyProtection="1">
      <alignment horizontal="center" vertical="center"/>
    </xf>
    <xf numFmtId="0" fontId="1" fillId="3" borderId="17" xfId="0" applyFont="1" applyFill="1" applyBorder="1" applyAlignment="1" applyProtection="1">
      <alignment horizontal="center" vertical="center" wrapText="1"/>
    </xf>
    <xf numFmtId="0" fontId="0" fillId="0" borderId="18" xfId="0" applyBorder="1" applyAlignment="1" applyProtection="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wrapText="1"/>
    </xf>
    <xf numFmtId="1" fontId="0" fillId="0" borderId="0" xfId="0" applyNumberFormat="1" applyBorder="1" applyAlignment="1" applyProtection="1">
      <alignment horizontal="center" vertical="center"/>
    </xf>
    <xf numFmtId="0" fontId="1" fillId="0" borderId="30" xfId="0" applyFont="1" applyFill="1" applyBorder="1" applyAlignment="1" applyProtection="1">
      <alignment horizontal="center" wrapText="1"/>
    </xf>
    <xf numFmtId="0" fontId="1" fillId="0" borderId="31" xfId="0" applyFont="1" applyFill="1" applyBorder="1" applyAlignment="1" applyProtection="1">
      <alignment horizontal="center" wrapText="1"/>
    </xf>
    <xf numFmtId="0" fontId="1" fillId="5" borderId="32" xfId="0" applyFont="1" applyFill="1" applyBorder="1" applyAlignment="1" applyProtection="1">
      <alignment horizontal="center" vertical="center"/>
    </xf>
    <xf numFmtId="164" fontId="0" fillId="0" borderId="3" xfId="0" applyNumberFormat="1" applyBorder="1" applyAlignment="1" applyProtection="1">
      <alignment horizontal="center" vertical="center"/>
    </xf>
    <xf numFmtId="164" fontId="0" fillId="0" borderId="33" xfId="0" applyNumberFormat="1" applyBorder="1" applyAlignment="1" applyProtection="1">
      <alignment horizontal="center" vertical="center"/>
    </xf>
    <xf numFmtId="164" fontId="0" fillId="0" borderId="1" xfId="0" applyNumberFormat="1" applyBorder="1" applyAlignment="1" applyProtection="1">
      <alignment horizontal="center" vertical="center"/>
    </xf>
    <xf numFmtId="0" fontId="10" fillId="0" borderId="0" xfId="0" applyFont="1" applyAlignment="1" applyProtection="1">
      <alignment horizontal="center" vertical="center" wrapText="1"/>
    </xf>
    <xf numFmtId="164" fontId="0" fillId="0" borderId="33" xfId="0" applyNumberFormat="1" applyFill="1" applyBorder="1" applyAlignment="1" applyProtection="1">
      <alignment horizontal="center" vertical="center"/>
    </xf>
    <xf numFmtId="0" fontId="0" fillId="0" borderId="0" xfId="0" applyFill="1" applyBorder="1" applyProtection="1"/>
    <xf numFmtId="0" fontId="10" fillId="0" borderId="0" xfId="0" applyFont="1" applyFill="1" applyBorder="1" applyAlignment="1" applyProtection="1">
      <alignment horizontal="right" vertical="center"/>
    </xf>
    <xf numFmtId="0" fontId="10" fillId="0" borderId="0" xfId="0" applyFont="1" applyFill="1" applyBorder="1" applyAlignment="1" applyProtection="1">
      <alignment horizontal="left" vertical="center"/>
    </xf>
    <xf numFmtId="1" fontId="0" fillId="0" borderId="0" xfId="0" applyNumberFormat="1" applyProtection="1"/>
    <xf numFmtId="164" fontId="0" fillId="5" borderId="23" xfId="0" applyNumberFormat="1" applyFill="1" applyBorder="1" applyAlignment="1" applyProtection="1">
      <alignment horizontal="center"/>
    </xf>
    <xf numFmtId="164" fontId="0" fillId="5" borderId="25" xfId="0" applyNumberFormat="1" applyFill="1" applyBorder="1" applyAlignment="1" applyProtection="1">
      <alignment horizontal="center"/>
    </xf>
    <xf numFmtId="1" fontId="0" fillId="5" borderId="26" xfId="0" applyNumberFormat="1" applyFill="1" applyBorder="1" applyAlignment="1" applyProtection="1">
      <alignment horizontal="center" vertical="center"/>
    </xf>
    <xf numFmtId="1" fontId="0" fillId="5" borderId="50" xfId="0" applyNumberFormat="1" applyFill="1" applyBorder="1" applyAlignment="1" applyProtection="1">
      <alignment horizontal="center" vertical="center"/>
    </xf>
    <xf numFmtId="1" fontId="24" fillId="5" borderId="22" xfId="0" applyNumberFormat="1" applyFont="1" applyFill="1" applyBorder="1" applyAlignment="1" applyProtection="1">
      <alignment horizontal="center" vertical="center"/>
      <protection locked="0"/>
    </xf>
    <xf numFmtId="1" fontId="24" fillId="5" borderId="24" xfId="0" applyNumberFormat="1" applyFont="1" applyFill="1" applyBorder="1" applyAlignment="1" applyProtection="1">
      <alignment horizontal="center" vertical="center"/>
      <protection locked="0"/>
    </xf>
    <xf numFmtId="0" fontId="0" fillId="9" borderId="34" xfId="0" applyFill="1" applyBorder="1" applyProtection="1">
      <protection locked="0"/>
    </xf>
    <xf numFmtId="0" fontId="0" fillId="9" borderId="0" xfId="0" applyFill="1" applyBorder="1" applyProtection="1">
      <protection locked="0"/>
    </xf>
    <xf numFmtId="0" fontId="0" fillId="9" borderId="35" xfId="0" applyFill="1" applyBorder="1" applyProtection="1">
      <protection locked="0"/>
    </xf>
    <xf numFmtId="0" fontId="0" fillId="9" borderId="34" xfId="0" applyFill="1" applyBorder="1" applyAlignment="1" applyProtection="1">
      <alignment horizontal="left" indent="2"/>
      <protection locked="0"/>
    </xf>
    <xf numFmtId="0" fontId="0" fillId="9" borderId="27" xfId="0" applyFill="1" applyBorder="1" applyAlignment="1" applyProtection="1">
      <alignment horizontal="left" indent="2"/>
      <protection locked="0"/>
    </xf>
    <xf numFmtId="0" fontId="0" fillId="9" borderId="20" xfId="0" applyFill="1" applyBorder="1" applyProtection="1">
      <protection locked="0"/>
    </xf>
    <xf numFmtId="0" fontId="0" fillId="9" borderId="28" xfId="0" applyFill="1" applyBorder="1" applyProtection="1">
      <protection locked="0"/>
    </xf>
    <xf numFmtId="0" fontId="0" fillId="9" borderId="14" xfId="0" applyFill="1" applyBorder="1" applyProtection="1">
      <protection locked="0"/>
    </xf>
    <xf numFmtId="0" fontId="10" fillId="0" borderId="19" xfId="0" applyFont="1" applyFill="1" applyBorder="1" applyAlignment="1" applyProtection="1">
      <alignment horizontal="right" vertical="center"/>
    </xf>
    <xf numFmtId="0" fontId="0" fillId="0" borderId="2" xfId="0" applyBorder="1" applyAlignment="1">
      <alignment horizontal="center" vertical="center"/>
    </xf>
    <xf numFmtId="0" fontId="22" fillId="0" borderId="30" xfId="0" applyFont="1" applyBorder="1" applyAlignment="1">
      <alignment horizontal="center" vertical="center" wrapText="1"/>
    </xf>
    <xf numFmtId="0" fontId="22" fillId="0" borderId="43" xfId="0" applyFont="1" applyBorder="1" applyAlignment="1">
      <alignment horizontal="center" vertical="center" textRotation="90" wrapText="1"/>
    </xf>
    <xf numFmtId="0" fontId="22" fillId="0" borderId="31" xfId="0" applyFont="1" applyBorder="1" applyAlignment="1">
      <alignment horizontal="center" vertical="center" wrapText="1"/>
    </xf>
    <xf numFmtId="0" fontId="22" fillId="0" borderId="3" xfId="0" applyNumberFormat="1" applyFont="1" applyBorder="1" applyAlignment="1">
      <alignment horizontal="center" vertical="center"/>
    </xf>
    <xf numFmtId="0" fontId="22" fillId="0" borderId="7" xfId="0" applyNumberFormat="1" applyFont="1" applyBorder="1" applyAlignment="1"/>
    <xf numFmtId="0" fontId="22" fillId="0" borderId="8" xfId="0" applyNumberFormat="1" applyFont="1" applyBorder="1" applyAlignment="1"/>
    <xf numFmtId="0" fontId="22" fillId="0" borderId="8" xfId="0" applyFont="1" applyBorder="1" applyAlignment="1">
      <alignment vertical="center"/>
    </xf>
    <xf numFmtId="0" fontId="22" fillId="0" borderId="9" xfId="0" applyFont="1" applyBorder="1" applyAlignment="1">
      <alignment vertical="center"/>
    </xf>
    <xf numFmtId="0" fontId="0" fillId="7" borderId="32" xfId="0" applyFill="1" applyBorder="1" applyAlignment="1" applyProtection="1">
      <alignment horizontal="center" vertical="center"/>
    </xf>
    <xf numFmtId="0" fontId="1" fillId="3" borderId="33" xfId="0" applyFont="1" applyFill="1" applyBorder="1" applyAlignment="1" applyProtection="1">
      <alignment horizontal="center" vertical="center"/>
    </xf>
    <xf numFmtId="1" fontId="0" fillId="9" borderId="4" xfId="0" applyNumberFormat="1" applyFill="1" applyBorder="1" applyAlignment="1" applyProtection="1">
      <alignment horizontal="center" vertical="center"/>
    </xf>
    <xf numFmtId="1" fontId="0" fillId="9" borderId="9" xfId="0" applyNumberFormat="1" applyFill="1" applyBorder="1" applyAlignment="1" applyProtection="1">
      <alignment horizontal="center" vertical="center"/>
    </xf>
    <xf numFmtId="1" fontId="0" fillId="0" borderId="3" xfId="0" applyNumberFormat="1" applyBorder="1" applyAlignment="1">
      <alignment horizontal="center" vertical="center"/>
    </xf>
    <xf numFmtId="1" fontId="0" fillId="0" borderId="1" xfId="0" applyNumberFormat="1" applyBorder="1" applyAlignment="1">
      <alignment horizontal="center" vertical="center"/>
    </xf>
    <xf numFmtId="1" fontId="0" fillId="0" borderId="8" xfId="0" applyNumberFormat="1"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1" fontId="0" fillId="0" borderId="9" xfId="0" applyNumberFormat="1" applyBorder="1" applyAlignment="1">
      <alignment horizontal="center" vertical="center"/>
    </xf>
    <xf numFmtId="1" fontId="0" fillId="0" borderId="4" xfId="0" applyNumberFormat="1" applyBorder="1" applyAlignment="1">
      <alignment horizontal="center" vertical="center"/>
    </xf>
    <xf numFmtId="1" fontId="0" fillId="0" borderId="6" xfId="0" applyNumberFormat="1" applyBorder="1" applyAlignment="1">
      <alignment horizontal="center" vertical="center"/>
    </xf>
    <xf numFmtId="1" fontId="0" fillId="0" borderId="22" xfId="0" applyNumberFormat="1" applyBorder="1" applyAlignment="1">
      <alignment horizontal="center" vertical="center"/>
    </xf>
    <xf numFmtId="1" fontId="0" fillId="0" borderId="51" xfId="0" applyNumberFormat="1" applyBorder="1" applyAlignment="1">
      <alignment horizontal="center" vertical="center"/>
    </xf>
    <xf numFmtId="1" fontId="0" fillId="9" borderId="6" xfId="0" applyNumberFormat="1" applyFill="1" applyBorder="1" applyAlignment="1" applyProtection="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2" fontId="0" fillId="0" borderId="18" xfId="0" applyNumberFormat="1" applyBorder="1" applyAlignment="1" applyProtection="1">
      <alignment horizontal="center" vertical="center"/>
    </xf>
    <xf numFmtId="0" fontId="0" fillId="3" borderId="17" xfId="0" applyFill="1" applyBorder="1" applyAlignment="1" applyProtection="1">
      <alignment horizontal="center" vertical="center" wrapText="1"/>
    </xf>
    <xf numFmtId="0" fontId="9" fillId="4" borderId="20" xfId="0" applyFont="1" applyFill="1" applyBorder="1" applyAlignment="1" applyProtection="1">
      <alignment vertical="top" wrapText="1"/>
    </xf>
    <xf numFmtId="0" fontId="1" fillId="3" borderId="14" xfId="0" applyFont="1" applyFill="1" applyBorder="1" applyAlignment="1" applyProtection="1">
      <alignment horizontal="center" vertical="center"/>
    </xf>
    <xf numFmtId="164" fontId="0" fillId="0" borderId="3" xfId="0" applyNumberFormat="1" applyBorder="1" applyAlignment="1">
      <alignment horizontal="center" vertical="center"/>
    </xf>
    <xf numFmtId="0" fontId="0" fillId="0" borderId="0" xfId="0" applyBorder="1" applyAlignment="1">
      <alignment vertical="top" wrapText="1"/>
    </xf>
    <xf numFmtId="0" fontId="0" fillId="0" borderId="0" xfId="0" applyBorder="1" applyAlignment="1">
      <alignment horizontal="left" vertical="top" wrapText="1"/>
    </xf>
    <xf numFmtId="0" fontId="22" fillId="0" borderId="29"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3" xfId="0" quotePrefix="1" applyNumberFormat="1" applyFont="1" applyBorder="1" applyAlignment="1">
      <alignment horizontal="center" vertical="center" wrapText="1"/>
    </xf>
    <xf numFmtId="0" fontId="22" fillId="0" borderId="8" xfId="0" quotePrefix="1" applyNumberFormat="1" applyFont="1" applyBorder="1" applyAlignment="1">
      <alignment vertical="center" wrapText="1"/>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3" xfId="0" applyFont="1" applyBorder="1" applyAlignment="1">
      <alignment vertical="center"/>
    </xf>
    <xf numFmtId="1" fontId="22" fillId="0" borderId="21" xfId="0" applyNumberFormat="1" applyFont="1" applyBorder="1" applyAlignment="1">
      <alignment horizontal="center" vertical="center"/>
    </xf>
    <xf numFmtId="2" fontId="22" fillId="0" borderId="4" xfId="0" applyNumberFormat="1" applyFont="1" applyBorder="1" applyAlignment="1">
      <alignment horizontal="center" vertical="center"/>
    </xf>
    <xf numFmtId="49" fontId="22" fillId="0" borderId="2" xfId="0" applyNumberFormat="1" applyFont="1" applyBorder="1" applyAlignment="1">
      <alignment horizontal="center" vertical="center"/>
    </xf>
    <xf numFmtId="2" fontId="0" fillId="0" borderId="19" xfId="0" applyNumberFormat="1" applyBorder="1" applyAlignment="1">
      <alignment horizontal="center" vertical="center"/>
    </xf>
    <xf numFmtId="1" fontId="0" fillId="0" borderId="14" xfId="0" applyNumberFormat="1" applyBorder="1" applyAlignment="1">
      <alignment horizontal="center" vertical="center"/>
    </xf>
    <xf numFmtId="0" fontId="0" fillId="3" borderId="10"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1" xfId="0" applyFill="1" applyBorder="1" applyAlignment="1">
      <alignment horizontal="center" vertical="center" wrapText="1"/>
    </xf>
    <xf numFmtId="0" fontId="0" fillId="0" borderId="0" xfId="0" applyAlignment="1">
      <alignment wrapText="1"/>
    </xf>
    <xf numFmtId="0" fontId="1" fillId="3" borderId="13" xfId="0" applyFont="1" applyFill="1" applyBorder="1" applyAlignment="1">
      <alignment horizontal="center" wrapText="1"/>
    </xf>
    <xf numFmtId="0" fontId="1" fillId="3" borderId="19" xfId="0" applyFont="1" applyFill="1" applyBorder="1" applyAlignment="1">
      <alignment horizontal="center" wrapText="1"/>
    </xf>
    <xf numFmtId="0" fontId="0" fillId="0" borderId="19" xfId="0" applyBorder="1" applyAlignment="1">
      <alignment vertical="center"/>
    </xf>
    <xf numFmtId="0" fontId="1" fillId="3" borderId="14" xfId="0" applyFont="1" applyFill="1" applyBorder="1" applyAlignment="1">
      <alignment horizontal="center"/>
    </xf>
    <xf numFmtId="0" fontId="1" fillId="3" borderId="10" xfId="0" applyFont="1" applyFill="1" applyBorder="1" applyAlignment="1">
      <alignment horizontal="center" wrapText="1"/>
    </xf>
    <xf numFmtId="0" fontId="1" fillId="3" borderId="12" xfId="0" applyFont="1" applyFill="1" applyBorder="1" applyAlignment="1">
      <alignment horizontal="center" wrapText="1"/>
    </xf>
    <xf numFmtId="0" fontId="1" fillId="3" borderId="11" xfId="0" applyFont="1" applyFill="1" applyBorder="1" applyAlignment="1">
      <alignment horizontal="center"/>
    </xf>
    <xf numFmtId="0" fontId="1" fillId="3" borderId="13" xfId="0" applyFont="1" applyFill="1" applyBorder="1" applyAlignment="1">
      <alignment horizontal="center"/>
    </xf>
    <xf numFmtId="0" fontId="1" fillId="3" borderId="10" xfId="0" applyFont="1" applyFill="1" applyBorder="1" applyAlignment="1">
      <alignment horizontal="center"/>
    </xf>
    <xf numFmtId="2" fontId="0" fillId="0" borderId="34" xfId="0" applyNumberFormat="1" applyBorder="1" applyAlignment="1">
      <alignment horizontal="center" vertical="center"/>
    </xf>
    <xf numFmtId="2" fontId="0" fillId="0" borderId="27" xfId="0" applyNumberFormat="1" applyBorder="1" applyAlignment="1">
      <alignment horizontal="center" vertical="center"/>
    </xf>
    <xf numFmtId="2" fontId="0" fillId="0" borderId="0" xfId="0" applyNumberFormat="1" applyAlignment="1">
      <alignment horizontal="center" vertical="center"/>
    </xf>
    <xf numFmtId="2" fontId="0" fillId="0" borderId="13" xfId="0" applyNumberFormat="1" applyBorder="1" applyAlignment="1">
      <alignment horizontal="center" vertical="center"/>
    </xf>
    <xf numFmtId="0" fontId="0" fillId="0" borderId="14" xfId="0" applyBorder="1" applyAlignment="1">
      <alignment horizontal="center" vertical="center"/>
    </xf>
    <xf numFmtId="0" fontId="1" fillId="3" borderId="14" xfId="0" applyFont="1" applyFill="1" applyBorder="1" applyAlignment="1">
      <alignment horizontal="center" wrapText="1"/>
    </xf>
    <xf numFmtId="0" fontId="1" fillId="3" borderId="11" xfId="0" applyFont="1" applyFill="1" applyBorder="1" applyAlignment="1">
      <alignment horizontal="center" wrapText="1"/>
    </xf>
    <xf numFmtId="2" fontId="0" fillId="0" borderId="14" xfId="0" applyNumberFormat="1" applyBorder="1" applyAlignment="1">
      <alignment horizontal="center" vertical="center"/>
    </xf>
    <xf numFmtId="165" fontId="0" fillId="9" borderId="6" xfId="0" applyNumberFormat="1" applyFill="1" applyBorder="1" applyAlignment="1" applyProtection="1">
      <alignment horizontal="center" vertical="center"/>
    </xf>
    <xf numFmtId="0" fontId="0" fillId="3" borderId="7" xfId="0" applyFill="1" applyBorder="1" applyAlignment="1">
      <alignment vertical="top" wrapText="1"/>
    </xf>
    <xf numFmtId="0" fontId="0" fillId="3" borderId="9" xfId="0" applyFill="1" applyBorder="1" applyAlignment="1">
      <alignment vertical="top" wrapText="1"/>
    </xf>
    <xf numFmtId="0" fontId="0" fillId="3" borderId="12" xfId="0" applyFill="1" applyBorder="1" applyAlignment="1">
      <alignment vertical="top" wrapText="1"/>
    </xf>
    <xf numFmtId="0" fontId="0" fillId="3" borderId="17" xfId="0" applyFill="1" applyBorder="1" applyAlignment="1">
      <alignment vertical="top" wrapText="1"/>
    </xf>
    <xf numFmtId="0" fontId="0" fillId="3" borderId="18" xfId="0" applyFill="1" applyBorder="1" applyAlignment="1">
      <alignment vertical="top" wrapText="1"/>
    </xf>
    <xf numFmtId="49" fontId="26" fillId="3" borderId="13" xfId="0" applyNumberFormat="1" applyFont="1" applyFill="1" applyBorder="1" applyAlignment="1" applyProtection="1">
      <alignment horizontal="center" vertical="center"/>
    </xf>
    <xf numFmtId="0" fontId="0" fillId="3" borderId="0" xfId="0" applyFill="1" applyBorder="1" applyProtection="1">
      <protection locked="0"/>
    </xf>
    <xf numFmtId="49" fontId="11" fillId="3" borderId="28" xfId="0" applyNumberFormat="1" applyFont="1" applyFill="1" applyBorder="1" applyAlignment="1" applyProtection="1">
      <alignment horizontal="left" vertical="center" indent="1"/>
    </xf>
    <xf numFmtId="1" fontId="0" fillId="0" borderId="21" xfId="0" applyNumberFormat="1" applyBorder="1" applyAlignment="1">
      <alignment horizontal="center" vertical="center"/>
    </xf>
    <xf numFmtId="164" fontId="0" fillId="0" borderId="8" xfId="0" applyNumberFormat="1" applyBorder="1" applyAlignment="1">
      <alignment horizontal="center" vertical="center"/>
    </xf>
    <xf numFmtId="0" fontId="0" fillId="0" borderId="35" xfId="0" applyBorder="1" applyProtection="1">
      <protection locked="0"/>
    </xf>
    <xf numFmtId="1" fontId="24" fillId="5" borderId="57" xfId="0" applyNumberFormat="1" applyFont="1" applyFill="1" applyBorder="1" applyAlignment="1" applyProtection="1">
      <alignment horizontal="center" vertical="center"/>
      <protection locked="0"/>
    </xf>
    <xf numFmtId="1" fontId="24" fillId="5" borderId="58" xfId="0" applyNumberFormat="1" applyFont="1"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10" borderId="45"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0" fillId="12" borderId="45" xfId="0" applyFill="1" applyBorder="1" applyAlignment="1" applyProtection="1">
      <alignment horizontal="center" vertical="center"/>
      <protection locked="0"/>
    </xf>
    <xf numFmtId="0" fontId="0" fillId="13" borderId="45" xfId="0" applyFill="1" applyBorder="1" applyAlignment="1" applyProtection="1">
      <alignment horizontal="center" vertical="center"/>
      <protection locked="0"/>
    </xf>
    <xf numFmtId="0" fontId="0" fillId="14" borderId="45" xfId="0" applyFill="1" applyBorder="1" applyAlignment="1" applyProtection="1">
      <alignment horizontal="center" vertical="center"/>
      <protection locked="0"/>
    </xf>
    <xf numFmtId="0" fontId="0" fillId="15" borderId="45" xfId="0" applyFill="1" applyBorder="1" applyAlignment="1" applyProtection="1">
      <alignment horizontal="center" vertical="center"/>
      <protection locked="0"/>
    </xf>
    <xf numFmtId="0" fontId="0" fillId="16" borderId="45" xfId="0" applyFill="1" applyBorder="1" applyAlignment="1" applyProtection="1">
      <alignment horizontal="center" vertical="center"/>
      <protection locked="0"/>
    </xf>
    <xf numFmtId="0" fontId="0" fillId="17" borderId="49" xfId="0" applyFill="1" applyBorder="1" applyAlignment="1" applyProtection="1">
      <alignment horizontal="center" vertical="center"/>
      <protection locked="0"/>
    </xf>
    <xf numFmtId="2" fontId="0" fillId="0" borderId="0" xfId="0" applyNumberFormat="1" applyProtection="1">
      <protection locked="0"/>
    </xf>
    <xf numFmtId="0" fontId="0" fillId="0" borderId="0" xfId="0" applyNumberFormat="1" applyProtection="1">
      <protection locked="0"/>
    </xf>
    <xf numFmtId="0" fontId="0" fillId="0" borderId="7" xfId="0" applyBorder="1"/>
    <xf numFmtId="0" fontId="0" fillId="0" borderId="8" xfId="0" applyBorder="1"/>
    <xf numFmtId="0" fontId="0" fillId="0" borderId="9" xfId="0" applyBorder="1"/>
    <xf numFmtId="0" fontId="0" fillId="0" borderId="0" xfId="0" applyBorder="1" applyAlignment="1">
      <alignment horizontal="left" vertical="top" wrapText="1"/>
    </xf>
    <xf numFmtId="0" fontId="1" fillId="9" borderId="11" xfId="0" applyFont="1" applyFill="1" applyBorder="1" applyAlignment="1">
      <alignment horizontal="center" vertical="center" wrapText="1"/>
    </xf>
    <xf numFmtId="164" fontId="0" fillId="0" borderId="33" xfId="0" applyNumberFormat="1" applyBorder="1" applyAlignment="1" applyProtection="1">
      <alignment horizontal="left" vertical="center" indent="1"/>
    </xf>
    <xf numFmtId="164" fontId="0" fillId="0" borderId="4" xfId="0" applyNumberFormat="1" applyBorder="1" applyAlignment="1" applyProtection="1">
      <alignment horizontal="center" vertical="center"/>
    </xf>
    <xf numFmtId="164" fontId="0" fillId="0" borderId="6" xfId="0" applyNumberFormat="1" applyBorder="1" applyAlignment="1" applyProtection="1">
      <alignment horizontal="center" vertical="center"/>
    </xf>
    <xf numFmtId="0" fontId="0" fillId="4" borderId="60" xfId="0" applyFont="1" applyFill="1" applyBorder="1" applyAlignment="1">
      <alignment horizontal="center" vertical="center" wrapText="1"/>
    </xf>
    <xf numFmtId="0" fontId="1" fillId="9" borderId="17" xfId="0" applyFont="1" applyFill="1" applyBorder="1" applyAlignment="1">
      <alignment wrapText="1"/>
    </xf>
    <xf numFmtId="0" fontId="1" fillId="9" borderId="61" xfId="0" applyFont="1" applyFill="1" applyBorder="1" applyAlignment="1">
      <alignment horizontal="center" vertical="center" wrapText="1"/>
    </xf>
    <xf numFmtId="0" fontId="1" fillId="9" borderId="61" xfId="0" applyFont="1" applyFill="1" applyBorder="1" applyAlignment="1">
      <alignment horizontal="center" wrapText="1"/>
    </xf>
    <xf numFmtId="0" fontId="1" fillId="9" borderId="18" xfId="0" applyFont="1" applyFill="1" applyBorder="1" applyAlignment="1">
      <alignment horizontal="center" wrapText="1"/>
    </xf>
    <xf numFmtId="0" fontId="0" fillId="4" borderId="62" xfId="0" applyFont="1" applyFill="1" applyBorder="1" applyAlignment="1">
      <alignment horizontal="center" vertical="center" wrapText="1"/>
    </xf>
    <xf numFmtId="1" fontId="0" fillId="0" borderId="65" xfId="0" applyNumberFormat="1" applyBorder="1" applyAlignment="1">
      <alignment horizontal="center" vertical="center"/>
    </xf>
    <xf numFmtId="0" fontId="8" fillId="0" borderId="0" xfId="0" applyFont="1" applyProtection="1">
      <protection locked="0"/>
    </xf>
    <xf numFmtId="0" fontId="0" fillId="0" borderId="67" xfId="0" applyBorder="1" applyAlignment="1">
      <alignment horizontal="center" vertical="center"/>
    </xf>
    <xf numFmtId="0" fontId="0" fillId="0" borderId="68" xfId="0" applyBorder="1" applyAlignment="1">
      <alignment horizontal="center" vertical="center"/>
    </xf>
    <xf numFmtId="1" fontId="0" fillId="0" borderId="68" xfId="0" applyNumberFormat="1" applyBorder="1" applyAlignment="1">
      <alignment horizontal="center" vertical="center"/>
    </xf>
    <xf numFmtId="1" fontId="0" fillId="0" borderId="66" xfId="0" applyNumberFormat="1" applyBorder="1" applyAlignment="1">
      <alignment horizontal="center" vertical="center"/>
    </xf>
    <xf numFmtId="164" fontId="0" fillId="0" borderId="22" xfId="0" applyNumberFormat="1" applyBorder="1" applyAlignment="1">
      <alignment horizontal="center" vertical="center"/>
    </xf>
    <xf numFmtId="164" fontId="0" fillId="0" borderId="68" xfId="0" applyNumberFormat="1" applyBorder="1" applyAlignment="1">
      <alignment horizontal="center" vertical="center"/>
    </xf>
    <xf numFmtId="0" fontId="0" fillId="0" borderId="34" xfId="0" applyBorder="1" applyAlignment="1">
      <alignment vertical="top" wrapText="1"/>
    </xf>
    <xf numFmtId="0" fontId="0" fillId="0" borderId="19" xfId="0" applyBorder="1" applyAlignment="1">
      <alignment vertical="top" wrapText="1"/>
    </xf>
    <xf numFmtId="0" fontId="1" fillId="9" borderId="10" xfId="0" applyFont="1" applyFill="1" applyBorder="1" applyAlignment="1">
      <alignment horizontal="center" vertical="center" wrapText="1"/>
    </xf>
    <xf numFmtId="0" fontId="0" fillId="3" borderId="47" xfId="0" applyFill="1" applyBorder="1" applyAlignment="1" applyProtection="1">
      <alignment vertical="center"/>
    </xf>
    <xf numFmtId="0" fontId="1" fillId="0" borderId="70" xfId="0" applyFont="1" applyFill="1" applyBorder="1" applyAlignment="1" applyProtection="1">
      <alignment horizontal="center" wrapText="1"/>
    </xf>
    <xf numFmtId="164" fontId="0" fillId="0" borderId="38" xfId="0" applyNumberFormat="1" applyBorder="1" applyAlignment="1" applyProtection="1">
      <alignment horizontal="center" vertical="center"/>
    </xf>
    <xf numFmtId="164" fontId="0" fillId="0" borderId="39" xfId="0" applyNumberFormat="1" applyBorder="1" applyAlignment="1" applyProtection="1">
      <alignment horizontal="center" vertical="center"/>
    </xf>
    <xf numFmtId="0" fontId="0" fillId="3" borderId="32" xfId="0" applyFill="1" applyBorder="1" applyAlignment="1" applyProtection="1">
      <alignment vertical="center"/>
    </xf>
    <xf numFmtId="0" fontId="0" fillId="3" borderId="63" xfId="0" applyFill="1" applyBorder="1" applyAlignment="1" applyProtection="1">
      <alignment horizontal="center" vertical="center" wrapText="1"/>
    </xf>
    <xf numFmtId="0" fontId="0" fillId="3" borderId="64" xfId="0" applyFill="1" applyBorder="1" applyAlignment="1" applyProtection="1">
      <alignment horizontal="center" vertical="center" wrapText="1"/>
    </xf>
    <xf numFmtId="0" fontId="0" fillId="3" borderId="69" xfId="0" applyFill="1" applyBorder="1" applyAlignment="1" applyProtection="1">
      <alignment horizontal="center" vertical="center" wrapText="1"/>
    </xf>
    <xf numFmtId="0" fontId="0" fillId="3" borderId="42" xfId="0" applyFill="1" applyBorder="1" applyAlignment="1" applyProtection="1">
      <alignment vertical="center"/>
    </xf>
    <xf numFmtId="0" fontId="0" fillId="3" borderId="15" xfId="0" applyFill="1" applyBorder="1" applyAlignment="1" applyProtection="1">
      <alignment vertical="center"/>
    </xf>
    <xf numFmtId="2" fontId="0" fillId="3" borderId="47" xfId="0" applyNumberFormat="1" applyFill="1" applyBorder="1" applyAlignment="1" applyProtection="1">
      <alignment horizontal="right" vertical="center"/>
    </xf>
    <xf numFmtId="2" fontId="0" fillId="3" borderId="47" xfId="0" applyNumberFormat="1" applyFill="1" applyBorder="1" applyAlignment="1" applyProtection="1">
      <alignment horizontal="center" vertical="center"/>
    </xf>
    <xf numFmtId="2" fontId="0" fillId="3" borderId="48" xfId="0" applyNumberFormat="1" applyFill="1" applyBorder="1" applyAlignment="1" applyProtection="1">
      <alignment horizontal="left" vertical="center"/>
    </xf>
    <xf numFmtId="0" fontId="0" fillId="3" borderId="16" xfId="0" applyFill="1" applyBorder="1" applyAlignment="1" applyProtection="1">
      <alignment vertical="center"/>
    </xf>
    <xf numFmtId="0" fontId="0" fillId="3" borderId="46" xfId="0" applyFill="1" applyBorder="1" applyAlignment="1" applyProtection="1">
      <alignment vertical="center"/>
    </xf>
    <xf numFmtId="0" fontId="0" fillId="4" borderId="71" xfId="0" applyFont="1" applyFill="1" applyBorder="1" applyAlignment="1">
      <alignment horizontal="center" vertical="center" wrapText="1"/>
    </xf>
    <xf numFmtId="0" fontId="0" fillId="0" borderId="63" xfId="0" applyBorder="1" applyAlignment="1" applyProtection="1">
      <alignment horizontal="center" vertical="center"/>
    </xf>
    <xf numFmtId="0" fontId="0" fillId="0" borderId="64" xfId="0" applyBorder="1" applyAlignment="1" applyProtection="1">
      <alignment horizontal="center" vertical="center"/>
    </xf>
    <xf numFmtId="0" fontId="0" fillId="0" borderId="69" xfId="0" applyBorder="1" applyAlignment="1" applyProtection="1">
      <alignment horizontal="center" vertical="center"/>
    </xf>
    <xf numFmtId="0" fontId="1" fillId="9" borderId="33" xfId="0" applyFont="1" applyFill="1" applyBorder="1" applyAlignment="1">
      <alignment horizont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2" xfId="0" applyBorder="1" applyAlignment="1" applyProtection="1">
      <alignment horizontal="center" vertical="center"/>
    </xf>
    <xf numFmtId="0" fontId="0" fillId="0" borderId="11" xfId="0" applyBorder="1" applyAlignment="1" applyProtection="1">
      <alignment horizontal="center" vertical="center"/>
    </xf>
    <xf numFmtId="164" fontId="0" fillId="19" borderId="3" xfId="0" applyNumberFormat="1" applyFill="1" applyBorder="1" applyAlignment="1">
      <alignment horizontal="center" vertical="center"/>
    </xf>
    <xf numFmtId="164" fontId="0" fillId="19" borderId="1" xfId="0" applyNumberFormat="1" applyFill="1" applyBorder="1" applyAlignment="1">
      <alignment horizontal="center" vertical="center"/>
    </xf>
    <xf numFmtId="164" fontId="0" fillId="19" borderId="8" xfId="0" applyNumberFormat="1" applyFill="1" applyBorder="1" applyAlignment="1">
      <alignment horizontal="center" vertical="center"/>
    </xf>
    <xf numFmtId="164" fontId="0" fillId="19" borderId="22" xfId="0" applyNumberFormat="1" applyFill="1" applyBorder="1" applyAlignment="1">
      <alignment horizontal="center" vertical="center"/>
    </xf>
    <xf numFmtId="164" fontId="0" fillId="19" borderId="68" xfId="0" applyNumberFormat="1" applyFill="1" applyBorder="1" applyAlignment="1">
      <alignment horizontal="center" vertical="center"/>
    </xf>
    <xf numFmtId="0" fontId="0" fillId="0" borderId="60" xfId="0" applyFont="1" applyFill="1" applyBorder="1" applyAlignment="1">
      <alignment horizontal="center" vertical="center" wrapText="1"/>
    </xf>
    <xf numFmtId="0" fontId="1" fillId="19" borderId="61" xfId="0" applyFont="1" applyFill="1" applyBorder="1" applyAlignment="1">
      <alignment horizontal="center" wrapText="1"/>
    </xf>
    <xf numFmtId="0" fontId="31" fillId="19" borderId="61" xfId="0" applyFont="1" applyFill="1" applyBorder="1" applyAlignment="1">
      <alignment horizontal="center" wrapText="1"/>
    </xf>
    <xf numFmtId="164" fontId="0" fillId="0" borderId="11" xfId="0" applyNumberFormat="1" applyBorder="1" applyAlignment="1" applyProtection="1">
      <alignment horizontal="left" vertical="center" indent="1"/>
    </xf>
    <xf numFmtId="0" fontId="10" fillId="0" borderId="13" xfId="0" applyFont="1" applyFill="1" applyBorder="1" applyAlignment="1" applyProtection="1">
      <alignment horizontal="right" vertical="center"/>
    </xf>
    <xf numFmtId="0" fontId="10" fillId="0" borderId="14" xfId="0" applyFont="1" applyFill="1" applyBorder="1" applyAlignment="1" applyProtection="1">
      <alignment horizontal="right" vertical="center"/>
    </xf>
    <xf numFmtId="0" fontId="10" fillId="0" borderId="27" xfId="0" applyFont="1" applyFill="1" applyBorder="1" applyAlignment="1" applyProtection="1">
      <alignment horizontal="right" vertical="center"/>
    </xf>
    <xf numFmtId="0" fontId="10" fillId="0" borderId="20" xfId="0" applyFont="1" applyFill="1" applyBorder="1" applyAlignment="1" applyProtection="1">
      <alignment horizontal="right" vertical="center"/>
    </xf>
    <xf numFmtId="0" fontId="10" fillId="0" borderId="28" xfId="0" applyFont="1" applyFill="1" applyBorder="1" applyAlignment="1" applyProtection="1">
      <alignment horizontal="right" vertical="center"/>
    </xf>
    <xf numFmtId="0" fontId="0" fillId="3" borderId="0" xfId="0" applyFill="1" applyBorder="1" applyAlignment="1" applyProtection="1">
      <protection locked="0"/>
    </xf>
    <xf numFmtId="0" fontId="0" fillId="3" borderId="0" xfId="0" applyFill="1" applyBorder="1" applyAlignment="1" applyProtection="1">
      <alignment vertical="center"/>
      <protection locked="0"/>
    </xf>
    <xf numFmtId="0" fontId="0" fillId="9" borderId="0" xfId="0" applyFill="1" applyBorder="1" applyAlignment="1" applyProtection="1">
      <alignment horizontal="left" indent="2"/>
      <protection locked="0"/>
    </xf>
    <xf numFmtId="0" fontId="0" fillId="9" borderId="20" xfId="0" applyFill="1" applyBorder="1" applyAlignment="1" applyProtection="1">
      <alignment horizontal="left" indent="2"/>
      <protection locked="0"/>
    </xf>
    <xf numFmtId="0" fontId="0" fillId="11" borderId="75" xfId="0" applyFill="1" applyBorder="1" applyAlignment="1" applyProtection="1">
      <alignment horizontal="center" vertical="center"/>
      <protection locked="0"/>
    </xf>
    <xf numFmtId="0" fontId="0" fillId="4" borderId="76" xfId="0" applyFill="1" applyBorder="1" applyAlignment="1" applyProtection="1">
      <alignment horizontal="center" vertical="center"/>
      <protection locked="0"/>
    </xf>
    <xf numFmtId="1" fontId="24" fillId="5" borderId="77" xfId="0" applyNumberFormat="1" applyFont="1" applyFill="1" applyBorder="1" applyAlignment="1" applyProtection="1">
      <alignment horizontal="center" vertical="center"/>
      <protection locked="0"/>
    </xf>
    <xf numFmtId="1" fontId="24" fillId="5" borderId="78" xfId="0" applyNumberFormat="1" applyFont="1" applyFill="1" applyBorder="1" applyAlignment="1" applyProtection="1">
      <alignment horizontal="center" vertical="center"/>
      <protection locked="0"/>
    </xf>
    <xf numFmtId="164" fontId="0" fillId="5" borderId="79" xfId="0" applyNumberFormat="1" applyFill="1" applyBorder="1" applyAlignment="1" applyProtection="1">
      <alignment horizontal="center"/>
    </xf>
    <xf numFmtId="1" fontId="0" fillId="5" borderId="80" xfId="0" applyNumberFormat="1" applyFill="1" applyBorder="1" applyAlignment="1" applyProtection="1">
      <alignment horizontal="center" vertical="center"/>
    </xf>
    <xf numFmtId="0" fontId="0" fillId="3" borderId="34" xfId="0" applyFill="1" applyBorder="1" applyAlignment="1" applyProtection="1">
      <protection locked="0"/>
    </xf>
    <xf numFmtId="0" fontId="0" fillId="5" borderId="35" xfId="0" applyFill="1" applyBorder="1" applyAlignment="1" applyProtection="1">
      <alignment horizontal="left" vertical="top" wrapText="1"/>
      <protection locked="0"/>
    </xf>
    <xf numFmtId="0" fontId="29" fillId="3" borderId="35" xfId="0" applyFont="1" applyFill="1" applyBorder="1" applyAlignment="1" applyProtection="1">
      <alignment horizontal="right"/>
      <protection locked="0"/>
    </xf>
    <xf numFmtId="0" fontId="0" fillId="3" borderId="34" xfId="0" applyFill="1" applyBorder="1" applyAlignment="1" applyProtection="1">
      <alignment vertical="center"/>
      <protection locked="0"/>
    </xf>
    <xf numFmtId="0" fontId="29" fillId="5" borderId="35" xfId="0" applyFont="1" applyFill="1" applyBorder="1" applyAlignment="1" applyProtection="1">
      <alignment horizontal="right" vertical="center"/>
      <protection locked="0"/>
    </xf>
    <xf numFmtId="0" fontId="0" fillId="3" borderId="34" xfId="0" applyFill="1" applyBorder="1" applyProtection="1">
      <protection locked="0"/>
    </xf>
    <xf numFmtId="0" fontId="29" fillId="5" borderId="35" xfId="0" applyFont="1" applyFill="1" applyBorder="1" applyAlignment="1" applyProtection="1">
      <alignment horizontal="right" vertical="center"/>
    </xf>
    <xf numFmtId="0" fontId="29" fillId="5" borderId="28" xfId="0" applyFont="1" applyFill="1" applyBorder="1" applyAlignment="1" applyProtection="1">
      <alignment horizontal="right" vertical="center"/>
    </xf>
    <xf numFmtId="0" fontId="0" fillId="5" borderId="81" xfId="0" applyFill="1" applyBorder="1" applyAlignment="1" applyProtection="1">
      <alignment horizontal="center" vertical="center" wrapText="1"/>
      <protection locked="0"/>
    </xf>
    <xf numFmtId="0" fontId="0" fillId="5" borderId="82" xfId="0" applyFill="1" applyBorder="1" applyAlignment="1" applyProtection="1">
      <alignment horizontal="center" vertical="center" wrapText="1"/>
      <protection locked="0"/>
    </xf>
    <xf numFmtId="0" fontId="0" fillId="5" borderId="83" xfId="0" applyFill="1" applyBorder="1" applyAlignment="1" applyProtection="1">
      <alignment horizontal="center" vertical="center" wrapText="1"/>
      <protection locked="0"/>
    </xf>
    <xf numFmtId="0" fontId="0" fillId="3" borderId="55" xfId="0" applyFont="1" applyFill="1" applyBorder="1" applyAlignment="1">
      <alignment horizontal="center" vertical="center" wrapText="1"/>
    </xf>
    <xf numFmtId="0" fontId="0" fillId="0" borderId="55" xfId="0" applyBorder="1" applyAlignment="1" applyProtection="1">
      <alignment horizontal="center" vertical="center"/>
      <protection locked="0"/>
    </xf>
    <xf numFmtId="0" fontId="29" fillId="3" borderId="54" xfId="0" applyFont="1" applyFill="1" applyBorder="1" applyAlignment="1" applyProtection="1">
      <alignment horizontal="right" vertical="center" wrapText="1"/>
      <protection locked="0"/>
    </xf>
    <xf numFmtId="0" fontId="0" fillId="0" borderId="1" xfId="0" applyBorder="1" applyProtection="1"/>
    <xf numFmtId="0" fontId="0" fillId="0" borderId="8" xfId="0" applyBorder="1" applyProtection="1"/>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9" xfId="0" applyBorder="1" applyProtection="1"/>
    <xf numFmtId="0" fontId="0" fillId="0" borderId="40" xfId="0" applyBorder="1" applyProtection="1"/>
    <xf numFmtId="0" fontId="0" fillId="0" borderId="65" xfId="0" applyBorder="1" applyProtection="1"/>
    <xf numFmtId="0" fontId="0" fillId="0" borderId="53" xfId="0" applyBorder="1" applyProtection="1"/>
    <xf numFmtId="0" fontId="0" fillId="0" borderId="57" xfId="0" applyBorder="1" applyProtection="1"/>
    <xf numFmtId="0" fontId="0" fillId="0" borderId="77" xfId="0" applyBorder="1" applyProtection="1"/>
    <xf numFmtId="0" fontId="0" fillId="0" borderId="87" xfId="0" applyBorder="1" applyProtection="1"/>
    <xf numFmtId="0" fontId="0" fillId="9" borderId="17" xfId="0" applyFill="1" applyBorder="1" applyAlignment="1" applyProtection="1">
      <alignment horizontal="center" vertical="center"/>
    </xf>
    <xf numFmtId="0" fontId="0" fillId="9" borderId="61" xfId="0" applyFill="1" applyBorder="1" applyAlignment="1" applyProtection="1">
      <alignment horizontal="center" vertical="center"/>
    </xf>
    <xf numFmtId="0" fontId="0" fillId="9" borderId="18" xfId="0" applyFill="1" applyBorder="1" applyAlignment="1" applyProtection="1">
      <alignment horizontal="center" vertical="center"/>
    </xf>
    <xf numFmtId="164" fontId="0" fillId="0" borderId="85" xfId="0" applyNumberFormat="1" applyBorder="1" applyAlignment="1" applyProtection="1">
      <alignment horizontal="center" vertical="center"/>
    </xf>
    <xf numFmtId="164" fontId="0" fillId="0" borderId="57" xfId="0" applyNumberFormat="1" applyBorder="1" applyAlignment="1" applyProtection="1">
      <alignment horizontal="center" vertical="center"/>
    </xf>
    <xf numFmtId="164" fontId="0" fillId="0" borderId="86" xfId="0" applyNumberFormat="1" applyBorder="1" applyAlignment="1" applyProtection="1">
      <alignment horizontal="center" vertical="center"/>
    </xf>
    <xf numFmtId="164" fontId="0" fillId="0" borderId="5" xfId="0" applyNumberFormat="1" applyBorder="1" applyAlignment="1" applyProtection="1">
      <alignment horizontal="center" vertical="center"/>
    </xf>
    <xf numFmtId="164" fontId="0" fillId="0" borderId="7" xfId="0" applyNumberFormat="1" applyBorder="1" applyAlignment="1" applyProtection="1">
      <alignment horizontal="center" vertical="center"/>
    </xf>
    <xf numFmtId="164" fontId="0" fillId="0" borderId="8" xfId="0" applyNumberFormat="1" applyBorder="1" applyAlignment="1" applyProtection="1">
      <alignment horizontal="center" vertical="center"/>
    </xf>
    <xf numFmtId="164" fontId="0" fillId="0" borderId="9" xfId="0" applyNumberFormat="1" applyBorder="1" applyAlignment="1" applyProtection="1">
      <alignment horizontal="center" vertical="center"/>
    </xf>
    <xf numFmtId="164" fontId="0" fillId="19" borderId="84" xfId="0" applyNumberFormat="1" applyFill="1" applyBorder="1" applyAlignment="1" applyProtection="1">
      <alignment horizontal="center" vertical="center"/>
    </xf>
    <xf numFmtId="0" fontId="0" fillId="0" borderId="55" xfId="0" applyFill="1" applyBorder="1" applyAlignment="1" applyProtection="1">
      <alignment horizontal="center" vertical="center"/>
    </xf>
    <xf numFmtId="0" fontId="0" fillId="0" borderId="11" xfId="0" applyFill="1" applyBorder="1" applyAlignment="1" applyProtection="1">
      <alignment horizontal="left" vertical="center"/>
    </xf>
    <xf numFmtId="164" fontId="0" fillId="18" borderId="3" xfId="0" applyNumberFormat="1" applyFill="1" applyBorder="1" applyAlignment="1">
      <alignment horizontal="center" vertical="center"/>
    </xf>
    <xf numFmtId="164" fontId="0" fillId="18" borderId="1" xfId="0" applyNumberFormat="1" applyFill="1" applyBorder="1" applyAlignment="1">
      <alignment horizontal="center" vertical="center"/>
    </xf>
    <xf numFmtId="164" fontId="0" fillId="18" borderId="8" xfId="0" applyNumberFormat="1" applyFill="1" applyBorder="1" applyAlignment="1">
      <alignment horizontal="center" vertical="center"/>
    </xf>
    <xf numFmtId="0" fontId="0" fillId="0" borderId="64" xfId="0" applyBorder="1" applyProtection="1"/>
    <xf numFmtId="0" fontId="0" fillId="0" borderId="69" xfId="0" applyBorder="1" applyProtection="1"/>
    <xf numFmtId="0" fontId="0" fillId="0" borderId="84" xfId="0" applyBorder="1" applyProtection="1"/>
    <xf numFmtId="0" fontId="0" fillId="3" borderId="33" xfId="0" applyFill="1" applyBorder="1" applyProtection="1"/>
    <xf numFmtId="0" fontId="0" fillId="0" borderId="5" xfId="0" applyFill="1" applyBorder="1" applyProtection="1"/>
    <xf numFmtId="2" fontId="0" fillId="0" borderId="6" xfId="0" applyNumberFormat="1" applyBorder="1" applyProtection="1"/>
    <xf numFmtId="0" fontId="0" fillId="0" borderId="7" xfId="0" applyFill="1" applyBorder="1" applyProtection="1"/>
    <xf numFmtId="2" fontId="0" fillId="0" borderId="9" xfId="0" applyNumberFormat="1" applyBorder="1" applyProtection="1"/>
    <xf numFmtId="0" fontId="0" fillId="0" borderId="85" xfId="0" applyFill="1" applyBorder="1" applyProtection="1"/>
    <xf numFmtId="2" fontId="0" fillId="0" borderId="86" xfId="0" applyNumberFormat="1" applyBorder="1" applyProtection="1"/>
    <xf numFmtId="0" fontId="0" fillId="3" borderId="17" xfId="0" applyFill="1" applyBorder="1" applyAlignment="1" applyProtection="1">
      <alignment horizontal="center" vertical="center"/>
    </xf>
    <xf numFmtId="0" fontId="0" fillId="3" borderId="18" xfId="0" applyFill="1" applyBorder="1" applyAlignment="1" applyProtection="1">
      <alignment horizontal="center" vertical="center"/>
    </xf>
    <xf numFmtId="0" fontId="0" fillId="3" borderId="10" xfId="0" applyFill="1" applyBorder="1" applyAlignment="1">
      <alignment horizontal="left" vertical="top" wrapText="1"/>
    </xf>
    <xf numFmtId="0" fontId="0" fillId="3" borderId="12" xfId="0" applyFill="1" applyBorder="1" applyAlignment="1">
      <alignment horizontal="left" vertical="top" wrapText="1"/>
    </xf>
    <xf numFmtId="0" fontId="0" fillId="3" borderId="19" xfId="0" applyFill="1" applyBorder="1" applyAlignment="1">
      <alignment horizontal="left" vertical="top" wrapText="1"/>
    </xf>
    <xf numFmtId="0" fontId="0" fillId="3" borderId="14" xfId="0" applyFill="1" applyBorder="1" applyAlignment="1">
      <alignment horizontal="left" vertical="top" wrapText="1"/>
    </xf>
    <xf numFmtId="49" fontId="26" fillId="3" borderId="2" xfId="0" applyNumberFormat="1" applyFont="1" applyFill="1" applyBorder="1" applyAlignment="1" applyProtection="1">
      <alignment horizontal="center" vertical="center"/>
    </xf>
    <xf numFmtId="49" fontId="26" fillId="3" borderId="4" xfId="0" applyNumberFormat="1" applyFont="1" applyFill="1" applyBorder="1" applyAlignment="1" applyProtection="1">
      <alignment horizontal="center" vertical="center"/>
    </xf>
    <xf numFmtId="49" fontId="26" fillId="3" borderId="13" xfId="0" applyNumberFormat="1" applyFont="1" applyFill="1" applyBorder="1" applyAlignment="1" applyProtection="1">
      <alignment horizontal="center" vertical="center"/>
    </xf>
    <xf numFmtId="49" fontId="26" fillId="3" borderId="14" xfId="0" applyNumberFormat="1" applyFont="1" applyFill="1" applyBorder="1" applyAlignment="1" applyProtection="1">
      <alignment horizontal="center" vertical="center"/>
    </xf>
    <xf numFmtId="0" fontId="5" fillId="3" borderId="10" xfId="0" applyFont="1" applyFill="1" applyBorder="1" applyAlignment="1">
      <alignment horizontal="center"/>
    </xf>
    <xf numFmtId="0" fontId="5" fillId="3" borderId="12" xfId="0" applyFont="1" applyFill="1" applyBorder="1" applyAlignment="1">
      <alignment horizontal="center"/>
    </xf>
    <xf numFmtId="0" fontId="5" fillId="3" borderId="11" xfId="0" applyFont="1" applyFill="1" applyBorder="1" applyAlignment="1">
      <alignment horizontal="center"/>
    </xf>
    <xf numFmtId="0" fontId="6" fillId="3" borderId="10"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0" fillId="3" borderId="11" xfId="0" applyFill="1" applyBorder="1" applyAlignment="1" applyProtection="1">
      <alignment horizontal="center" wrapText="1"/>
      <protection locked="0"/>
    </xf>
    <xf numFmtId="0" fontId="23" fillId="5" borderId="10" xfId="0" applyFont="1" applyFill="1" applyBorder="1" applyAlignment="1" applyProtection="1">
      <alignment horizontal="center" vertical="center" wrapText="1"/>
      <protection locked="0"/>
    </xf>
    <xf numFmtId="0" fontId="23" fillId="5" borderId="12"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0" fillId="3" borderId="37" xfId="0" applyFont="1" applyFill="1" applyBorder="1" applyAlignment="1" applyProtection="1">
      <alignment horizontal="right" vertical="center"/>
    </xf>
    <xf numFmtId="0" fontId="0" fillId="3" borderId="52" xfId="0" applyFont="1" applyFill="1" applyBorder="1" applyAlignment="1" applyProtection="1">
      <alignment horizontal="right" vertical="center"/>
    </xf>
    <xf numFmtId="0" fontId="0" fillId="3" borderId="38" xfId="0" applyFont="1" applyFill="1" applyBorder="1" applyAlignment="1" applyProtection="1">
      <alignment horizontal="right" vertical="center"/>
    </xf>
    <xf numFmtId="0" fontId="0" fillId="3" borderId="15" xfId="0" applyFill="1" applyBorder="1" applyAlignment="1" applyProtection="1">
      <alignment horizontal="right" vertical="center"/>
    </xf>
    <xf numFmtId="0" fontId="0" fillId="3" borderId="47" xfId="0" applyFill="1" applyBorder="1" applyAlignment="1" applyProtection="1">
      <alignment horizontal="right" vertical="center"/>
    </xf>
    <xf numFmtId="0" fontId="0" fillId="3" borderId="39" xfId="0" applyFill="1" applyBorder="1" applyAlignment="1" applyProtection="1">
      <alignment horizontal="right" vertical="center"/>
    </xf>
    <xf numFmtId="0" fontId="1" fillId="3" borderId="10" xfId="0" applyFont="1" applyFill="1" applyBorder="1" applyAlignment="1" applyProtection="1">
      <alignment horizontal="right" vertical="center"/>
    </xf>
    <xf numFmtId="0" fontId="1" fillId="3" borderId="12" xfId="0" applyFont="1" applyFill="1" applyBorder="1" applyAlignment="1" applyProtection="1">
      <alignment horizontal="right" vertical="center"/>
    </xf>
    <xf numFmtId="0" fontId="1" fillId="3" borderId="11" xfId="0" applyFont="1" applyFill="1" applyBorder="1" applyAlignment="1" applyProtection="1">
      <alignment horizontal="right" vertical="center"/>
    </xf>
    <xf numFmtId="0" fontId="1" fillId="3" borderId="17" xfId="0" applyFont="1" applyFill="1" applyBorder="1" applyAlignment="1" applyProtection="1">
      <alignment horizontal="center" vertical="center"/>
    </xf>
    <xf numFmtId="0" fontId="1" fillId="3" borderId="41" xfId="0" applyFont="1" applyFill="1" applyBorder="1" applyAlignment="1" applyProtection="1">
      <alignment horizontal="center" vertical="center"/>
    </xf>
    <xf numFmtId="0" fontId="0" fillId="3" borderId="10" xfId="0" applyFill="1" applyBorder="1" applyAlignment="1" applyProtection="1">
      <alignment horizontal="center"/>
    </xf>
    <xf numFmtId="0" fontId="0" fillId="3" borderId="12" xfId="0" applyFill="1" applyBorder="1" applyAlignment="1" applyProtection="1">
      <alignment horizontal="center"/>
    </xf>
    <xf numFmtId="0" fontId="0" fillId="3" borderId="11" xfId="0" applyFill="1" applyBorder="1" applyAlignment="1" applyProtection="1">
      <alignment horizontal="center"/>
    </xf>
    <xf numFmtId="0" fontId="0" fillId="3" borderId="32" xfId="0" applyFont="1" applyFill="1" applyBorder="1" applyAlignment="1" applyProtection="1">
      <alignment horizontal="center" vertical="center" wrapText="1"/>
    </xf>
    <xf numFmtId="0" fontId="0" fillId="3" borderId="55" xfId="0" applyFont="1" applyFill="1" applyBorder="1" applyAlignment="1" applyProtection="1">
      <alignment horizontal="center" vertical="center" wrapText="1"/>
    </xf>
    <xf numFmtId="0" fontId="0" fillId="0" borderId="32" xfId="0" applyFill="1" applyBorder="1" applyAlignment="1" applyProtection="1">
      <alignment horizontal="center" vertical="center"/>
      <protection locked="0"/>
    </xf>
    <xf numFmtId="0" fontId="0" fillId="0" borderId="55" xfId="0" applyFill="1" applyBorder="1" applyAlignment="1" applyProtection="1">
      <alignment horizontal="center" vertical="center"/>
      <protection locked="0"/>
    </xf>
    <xf numFmtId="0" fontId="0" fillId="3" borderId="37" xfId="0" applyFill="1" applyBorder="1" applyAlignment="1" applyProtection="1">
      <alignment horizontal="right" vertical="center" indent="1"/>
    </xf>
    <xf numFmtId="0" fontId="0" fillId="3" borderId="52" xfId="0" applyFill="1" applyBorder="1" applyAlignment="1" applyProtection="1">
      <alignment horizontal="right" vertical="center" indent="1"/>
    </xf>
    <xf numFmtId="0" fontId="0" fillId="3" borderId="38" xfId="0" applyFill="1" applyBorder="1" applyAlignment="1" applyProtection="1">
      <alignment horizontal="right" vertical="center" indent="1"/>
    </xf>
    <xf numFmtId="0" fontId="1" fillId="5" borderId="10" xfId="0" applyFont="1" applyFill="1" applyBorder="1" applyAlignment="1" applyProtection="1">
      <alignment horizontal="center"/>
      <protection locked="0"/>
    </xf>
    <xf numFmtId="0" fontId="1" fillId="5" borderId="12" xfId="0" applyFont="1" applyFill="1" applyBorder="1" applyAlignment="1" applyProtection="1">
      <alignment horizontal="center"/>
      <protection locked="0"/>
    </xf>
    <xf numFmtId="0" fontId="1" fillId="5" borderId="11" xfId="0" applyFont="1" applyFill="1" applyBorder="1" applyAlignment="1" applyProtection="1">
      <alignment horizontal="center"/>
      <protection locked="0"/>
    </xf>
    <xf numFmtId="0" fontId="0" fillId="3" borderId="16" xfId="0" applyFont="1" applyFill="1" applyBorder="1" applyAlignment="1" applyProtection="1">
      <alignment horizontal="right" vertical="center"/>
    </xf>
    <xf numFmtId="0" fontId="0" fillId="3" borderId="42" xfId="0" applyFont="1" applyFill="1" applyBorder="1" applyAlignment="1" applyProtection="1">
      <alignment horizontal="right" vertical="center"/>
    </xf>
    <xf numFmtId="0" fontId="0" fillId="3" borderId="40" xfId="0" applyFont="1" applyFill="1" applyBorder="1" applyAlignment="1" applyProtection="1">
      <alignment horizontal="right" vertical="center"/>
    </xf>
    <xf numFmtId="0" fontId="0" fillId="3" borderId="15" xfId="0" applyFont="1" applyFill="1" applyBorder="1" applyAlignment="1" applyProtection="1">
      <alignment horizontal="right" vertical="center"/>
    </xf>
    <xf numFmtId="0" fontId="0" fillId="3" borderId="47" xfId="0" applyFont="1" applyFill="1" applyBorder="1" applyAlignment="1" applyProtection="1">
      <alignment horizontal="right" vertical="center"/>
    </xf>
    <xf numFmtId="0" fontId="0" fillId="3" borderId="39" xfId="0" applyFont="1" applyFill="1" applyBorder="1" applyAlignment="1" applyProtection="1">
      <alignment horizontal="right" vertical="center"/>
    </xf>
    <xf numFmtId="0" fontId="0" fillId="3" borderId="16" xfId="0" applyFill="1" applyBorder="1" applyAlignment="1" applyProtection="1">
      <alignment horizontal="right" vertical="center"/>
    </xf>
    <xf numFmtId="0" fontId="0" fillId="3" borderId="42" xfId="0" applyFill="1" applyBorder="1" applyAlignment="1" applyProtection="1">
      <alignment horizontal="right" vertical="center"/>
    </xf>
    <xf numFmtId="0" fontId="0" fillId="3" borderId="40" xfId="0" applyFill="1" applyBorder="1" applyAlignment="1" applyProtection="1">
      <alignment horizontal="right" vertical="center"/>
    </xf>
    <xf numFmtId="0" fontId="28" fillId="3" borderId="10" xfId="0" applyFont="1" applyFill="1" applyBorder="1" applyAlignment="1" applyProtection="1">
      <alignment horizontal="center" vertical="center"/>
    </xf>
    <xf numFmtId="0" fontId="28" fillId="3" borderId="12" xfId="0" applyFont="1" applyFill="1" applyBorder="1" applyAlignment="1" applyProtection="1">
      <alignment horizontal="center" vertical="center"/>
    </xf>
    <xf numFmtId="0" fontId="28" fillId="3" borderId="11" xfId="0" applyFont="1" applyFill="1" applyBorder="1" applyAlignment="1" applyProtection="1">
      <alignment horizontal="center" vertical="center"/>
    </xf>
    <xf numFmtId="2" fontId="0" fillId="3" borderId="14" xfId="0" applyNumberFormat="1" applyFill="1" applyBorder="1" applyAlignment="1" applyProtection="1">
      <alignment horizontal="left" vertical="center"/>
    </xf>
    <xf numFmtId="2" fontId="0" fillId="3" borderId="28" xfId="0" applyNumberFormat="1" applyFill="1" applyBorder="1" applyAlignment="1" applyProtection="1">
      <alignment horizontal="left" vertical="center"/>
    </xf>
    <xf numFmtId="0" fontId="0" fillId="3" borderId="13" xfId="0" applyFont="1" applyFill="1" applyBorder="1" applyAlignment="1" applyProtection="1">
      <alignment horizontal="right" vertical="center" wrapText="1"/>
    </xf>
    <xf numFmtId="0" fontId="0" fillId="3" borderId="19" xfId="0" applyFont="1" applyFill="1" applyBorder="1" applyAlignment="1" applyProtection="1">
      <alignment horizontal="right" vertical="center" wrapText="1"/>
    </xf>
    <xf numFmtId="0" fontId="0" fillId="3" borderId="27" xfId="0" applyFont="1" applyFill="1" applyBorder="1" applyAlignment="1" applyProtection="1">
      <alignment horizontal="right" vertical="center" wrapText="1"/>
    </xf>
    <xf numFmtId="0" fontId="0" fillId="3" borderId="20" xfId="0" applyFont="1" applyFill="1" applyBorder="1" applyAlignment="1" applyProtection="1">
      <alignment horizontal="right" vertical="center" wrapText="1"/>
    </xf>
    <xf numFmtId="0" fontId="22" fillId="0" borderId="29"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0" fillId="3" borderId="32" xfId="0" applyFill="1" applyBorder="1" applyAlignment="1">
      <alignment horizontal="center" vertical="center" textRotation="90"/>
    </xf>
    <xf numFmtId="0" fontId="0" fillId="3" borderId="54" xfId="0" applyFill="1" applyBorder="1" applyAlignment="1">
      <alignment horizontal="center" vertical="center" textRotation="90"/>
    </xf>
    <xf numFmtId="0" fontId="0" fillId="3" borderId="55" xfId="0" applyFill="1" applyBorder="1" applyAlignment="1">
      <alignment horizontal="center" vertical="center" textRotation="90"/>
    </xf>
    <xf numFmtId="0" fontId="0" fillId="3" borderId="35" xfId="0" applyFill="1" applyBorder="1" applyAlignment="1">
      <alignment horizontal="center" vertical="center" textRotation="90"/>
    </xf>
    <xf numFmtId="0" fontId="0" fillId="3" borderId="28" xfId="0" applyFill="1" applyBorder="1" applyAlignment="1">
      <alignment horizontal="center" vertical="center" textRotation="90"/>
    </xf>
    <xf numFmtId="0" fontId="0" fillId="3" borderId="10" xfId="0" applyFill="1" applyBorder="1" applyAlignment="1">
      <alignment horizontal="center"/>
    </xf>
    <xf numFmtId="0" fontId="0" fillId="3" borderId="11" xfId="0" applyFill="1" applyBorder="1" applyAlignment="1">
      <alignment horizont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1" xfId="0" applyFill="1" applyBorder="1" applyAlignment="1">
      <alignment horizontal="center" vertic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pplyProtection="1">
      <alignment horizontal="center"/>
    </xf>
    <xf numFmtId="0" fontId="0" fillId="0" borderId="12" xfId="0" applyBorder="1" applyAlignment="1" applyProtection="1">
      <alignment horizontal="center"/>
    </xf>
    <xf numFmtId="0" fontId="0" fillId="0" borderId="11" xfId="0" applyBorder="1" applyAlignment="1" applyProtection="1">
      <alignment horizontal="center"/>
    </xf>
    <xf numFmtId="0" fontId="0" fillId="0" borderId="10" xfId="0" applyFill="1" applyBorder="1" applyAlignment="1" applyProtection="1">
      <alignment horizontal="right" vertical="center"/>
    </xf>
    <xf numFmtId="0" fontId="0" fillId="0" borderId="12" xfId="0" applyFill="1" applyBorder="1" applyAlignment="1" applyProtection="1">
      <alignment horizontal="right" vertical="center"/>
    </xf>
    <xf numFmtId="0" fontId="0" fillId="6" borderId="10" xfId="0" applyFill="1" applyBorder="1" applyAlignment="1" applyProtection="1">
      <alignment horizontal="center" vertical="center"/>
    </xf>
    <xf numFmtId="0" fontId="0" fillId="6" borderId="11" xfId="0" applyFill="1" applyBorder="1" applyAlignment="1" applyProtection="1">
      <alignment horizontal="center" vertical="center"/>
    </xf>
    <xf numFmtId="2" fontId="0" fillId="6" borderId="10" xfId="0" applyNumberFormat="1" applyFill="1" applyBorder="1" applyAlignment="1" applyProtection="1">
      <alignment horizontal="center"/>
    </xf>
    <xf numFmtId="2" fontId="0" fillId="6" borderId="11" xfId="0" applyNumberFormat="1" applyFill="1" applyBorder="1" applyAlignment="1" applyProtection="1">
      <alignment horizontal="center"/>
    </xf>
    <xf numFmtId="0" fontId="1" fillId="3" borderId="5" xfId="0" applyFont="1" applyFill="1" applyBorder="1" applyAlignment="1" applyProtection="1">
      <alignment horizontal="center"/>
    </xf>
    <xf numFmtId="0" fontId="1" fillId="3" borderId="6" xfId="0" applyFont="1" applyFill="1" applyBorder="1" applyAlignment="1" applyProtection="1">
      <alignment horizontal="center"/>
    </xf>
    <xf numFmtId="0" fontId="1" fillId="3" borderId="7" xfId="0" applyFont="1" applyFill="1" applyBorder="1" applyAlignment="1" applyProtection="1">
      <alignment horizontal="center"/>
    </xf>
    <xf numFmtId="0" fontId="1" fillId="3" borderId="9" xfId="0" applyFont="1" applyFill="1" applyBorder="1" applyAlignment="1" applyProtection="1">
      <alignment horizontal="center"/>
    </xf>
    <xf numFmtId="0" fontId="1" fillId="0" borderId="2" xfId="0" applyFont="1" applyBorder="1" applyAlignment="1" applyProtection="1">
      <alignment horizontal="center"/>
    </xf>
    <xf numFmtId="0" fontId="1" fillId="0" borderId="4" xfId="0" applyFont="1" applyBorder="1" applyAlignment="1" applyProtection="1">
      <alignment horizontal="center"/>
    </xf>
    <xf numFmtId="2" fontId="0" fillId="3" borderId="10" xfId="0" applyNumberFormat="1" applyFill="1" applyBorder="1" applyAlignment="1" applyProtection="1">
      <alignment horizontal="center" vertical="center"/>
    </xf>
    <xf numFmtId="2" fontId="0" fillId="3" borderId="11" xfId="0" applyNumberFormat="1" applyFill="1" applyBorder="1" applyAlignment="1" applyProtection="1">
      <alignment horizontal="center" vertical="center"/>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0" fillId="0" borderId="19"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35" xfId="0" applyBorder="1" applyAlignment="1">
      <alignment horizontal="left" vertical="top" wrapText="1"/>
    </xf>
    <xf numFmtId="0" fontId="0" fillId="0" borderId="20" xfId="0" applyBorder="1" applyAlignment="1">
      <alignment horizontal="left" vertical="top" wrapText="1"/>
    </xf>
    <xf numFmtId="0" fontId="0" fillId="0" borderId="28" xfId="0" applyBorder="1" applyAlignment="1">
      <alignment horizontal="left" vertical="top"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0" borderId="48" xfId="0" applyBorder="1" applyAlignment="1">
      <alignment horizontal="center" vertical="center"/>
    </xf>
    <xf numFmtId="0" fontId="0" fillId="0" borderId="46" xfId="0" applyBorder="1" applyAlignment="1">
      <alignment horizontal="center" vertical="center"/>
    </xf>
    <xf numFmtId="0" fontId="0" fillId="6" borderId="10" xfId="0" applyFill="1" applyBorder="1" applyAlignment="1" applyProtection="1">
      <alignment horizontal="center" vertical="center" wrapText="1"/>
    </xf>
    <xf numFmtId="0" fontId="0" fillId="6" borderId="11" xfId="0" applyFill="1" applyBorder="1" applyAlignment="1" applyProtection="1">
      <alignment horizontal="center" vertical="center" wrapText="1"/>
    </xf>
    <xf numFmtId="0" fontId="5" fillId="3" borderId="10"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1" fillId="9" borderId="12"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9" xfId="0" applyBorder="1" applyAlignment="1">
      <alignment horizontal="center" vertical="center" wrapText="1"/>
    </xf>
    <xf numFmtId="0" fontId="0" fillId="0" borderId="48" xfId="0" applyBorder="1" applyAlignment="1">
      <alignment horizontal="center" vertical="center" wrapText="1"/>
    </xf>
    <xf numFmtId="0" fontId="0" fillId="0" borderId="74" xfId="0" applyBorder="1" applyAlignment="1">
      <alignment horizontal="center" vertical="center" wrapText="1"/>
    </xf>
    <xf numFmtId="0" fontId="0" fillId="0" borderId="46" xfId="0" applyBorder="1" applyAlignment="1">
      <alignment horizontal="center" vertical="center" wrapText="1"/>
    </xf>
  </cellXfs>
  <cellStyles count="1">
    <cellStyle name="Normal" xfId="0" builtinId="0"/>
  </cellStyles>
  <dxfs count="25">
    <dxf>
      <fill>
        <patternFill>
          <bgColor theme="9" tint="0.59996337778862885"/>
        </patternFill>
      </fill>
    </dxf>
    <dxf>
      <fill>
        <patternFill>
          <bgColor theme="9" tint="0.39994506668294322"/>
        </patternFill>
      </fill>
    </dxf>
    <dxf>
      <fill>
        <patternFill>
          <bgColor theme="9" tint="0.3999450666829432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1"/>
        </patternFill>
      </fill>
    </dxf>
    <dxf>
      <font>
        <color theme="1"/>
      </font>
      <fill>
        <patternFill>
          <bgColor theme="0"/>
        </patternFill>
      </fill>
    </dxf>
    <dxf>
      <font>
        <color auto="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0" tint="-0.14996795556505021"/>
      </font>
      <fill>
        <patternFill patternType="solid">
          <bgColor theme="0" tint="-0.14996795556505021"/>
        </patternFill>
      </fill>
    </dxf>
    <dxf>
      <fill>
        <patternFill patternType="none">
          <bgColor auto="1"/>
        </patternFill>
      </fill>
    </dxf>
    <dxf>
      <font>
        <color theme="0" tint="-0.14996795556505021"/>
      </font>
      <fill>
        <patternFill>
          <bgColor theme="0" tint="-0.14996795556505021"/>
        </patternFill>
      </fill>
    </dxf>
  </dxfs>
  <tableStyles count="0" defaultTableStyle="TableStyleMedium2" defaultPivotStyle="PivotStyleLight16"/>
  <colors>
    <mruColors>
      <color rgb="FFFFFF66"/>
      <color rgb="FF9933FF"/>
      <color rgb="FFFC42F3"/>
      <color rgb="FF9999FF"/>
      <color rgb="FF6DFFF8"/>
      <color rgb="FF00FFFF"/>
      <color rgb="FF1F4E79"/>
      <color rgb="FFFF5050"/>
      <color rgb="FFCC660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Mast Arm Elevation View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0347054075867637E-2"/>
          <c:y val="5.7766508000059308E-2"/>
          <c:w val="0.91890748825888291"/>
          <c:h val="0.85405242423793082"/>
        </c:manualLayout>
      </c:layout>
      <c:scatterChart>
        <c:scatterStyle val="lineMarker"/>
        <c:varyColors val="0"/>
        <c:ser>
          <c:idx val="0"/>
          <c:order val="0"/>
          <c:tx>
            <c:v>Signal/Sign 10</c:v>
          </c:tx>
          <c:spPr>
            <a:ln w="57150" cap="rnd" cmpd="sng">
              <a:solidFill>
                <a:srgbClr val="C00000"/>
              </a:solidFill>
              <a:round/>
            </a:ln>
            <a:effectLst/>
          </c:spPr>
          <c:marker>
            <c:symbol val="none"/>
          </c:marker>
          <c:xVal>
            <c:numRef>
              <c:f>GraphValues!$C$3:$C$8</c:f>
              <c:numCache>
                <c:formatCode>0.00</c:formatCode>
                <c:ptCount val="6"/>
                <c:pt idx="0">
                  <c:v>0</c:v>
                </c:pt>
                <c:pt idx="1">
                  <c:v>0</c:v>
                </c:pt>
                <c:pt idx="2">
                  <c:v>0</c:v>
                </c:pt>
                <c:pt idx="3">
                  <c:v>0</c:v>
                </c:pt>
                <c:pt idx="4">
                  <c:v>0</c:v>
                </c:pt>
              </c:numCache>
            </c:numRef>
          </c:xVal>
          <c:yVal>
            <c:numRef>
              <c:f>GraphValues!$C$10:$C$17</c:f>
              <c:numCache>
                <c:formatCode>0.00</c:formatCode>
                <c:ptCount val="8"/>
                <c:pt idx="0">
                  <c:v>0</c:v>
                </c:pt>
                <c:pt idx="1">
                  <c:v>0</c:v>
                </c:pt>
                <c:pt idx="2">
                  <c:v>0</c:v>
                </c:pt>
                <c:pt idx="3">
                  <c:v>0</c:v>
                </c:pt>
                <c:pt idx="4">
                  <c:v>0</c:v>
                </c:pt>
                <c:pt idx="7" formatCode="General">
                  <c:v>0</c:v>
                </c:pt>
              </c:numCache>
            </c:numRef>
          </c:yVal>
          <c:smooth val="0"/>
          <c:extLst>
            <c:ext xmlns:c16="http://schemas.microsoft.com/office/drawing/2014/chart" uri="{C3380CC4-5D6E-409C-BE32-E72D297353CC}">
              <c16:uniqueId val="{00000001-7C02-4252-B7BA-0E0EE94D773B}"/>
            </c:ext>
          </c:extLst>
        </c:ser>
        <c:ser>
          <c:idx val="1"/>
          <c:order val="1"/>
          <c:tx>
            <c:v>Signal/Sign 9</c:v>
          </c:tx>
          <c:spPr>
            <a:ln w="57150" cap="rnd" cmpd="sng">
              <a:solidFill>
                <a:srgbClr val="FF0000"/>
              </a:solidFill>
              <a:round/>
            </a:ln>
            <a:effectLst/>
          </c:spPr>
          <c:marker>
            <c:symbol val="none"/>
          </c:marker>
          <c:xVal>
            <c:numRef>
              <c:f>GraphValues!$D$3:$D$8</c:f>
              <c:numCache>
                <c:formatCode>0.00</c:formatCode>
                <c:ptCount val="6"/>
                <c:pt idx="0">
                  <c:v>0</c:v>
                </c:pt>
                <c:pt idx="1">
                  <c:v>0</c:v>
                </c:pt>
                <c:pt idx="2">
                  <c:v>0</c:v>
                </c:pt>
                <c:pt idx="3">
                  <c:v>0</c:v>
                </c:pt>
                <c:pt idx="4">
                  <c:v>0</c:v>
                </c:pt>
              </c:numCache>
            </c:numRef>
          </c:xVal>
          <c:yVal>
            <c:numRef>
              <c:f>GraphValues!$D$10:$D$17</c:f>
              <c:numCache>
                <c:formatCode>0.00</c:formatCode>
                <c:ptCount val="8"/>
                <c:pt idx="0">
                  <c:v>0</c:v>
                </c:pt>
                <c:pt idx="1">
                  <c:v>0</c:v>
                </c:pt>
                <c:pt idx="2">
                  <c:v>0</c:v>
                </c:pt>
                <c:pt idx="3">
                  <c:v>0</c:v>
                </c:pt>
                <c:pt idx="4">
                  <c:v>0</c:v>
                </c:pt>
              </c:numCache>
            </c:numRef>
          </c:yVal>
          <c:smooth val="0"/>
          <c:extLst>
            <c:ext xmlns:c16="http://schemas.microsoft.com/office/drawing/2014/chart" uri="{C3380CC4-5D6E-409C-BE32-E72D297353CC}">
              <c16:uniqueId val="{00000002-7C02-4252-B7BA-0E0EE94D773B}"/>
            </c:ext>
          </c:extLst>
        </c:ser>
        <c:ser>
          <c:idx val="3"/>
          <c:order val="2"/>
          <c:tx>
            <c:v>Signal/Sign 8</c:v>
          </c:tx>
          <c:spPr>
            <a:ln w="57150" cap="rnd" cmpd="sng">
              <a:solidFill>
                <a:srgbClr val="FFC000"/>
              </a:solidFill>
              <a:round/>
            </a:ln>
            <a:effectLst/>
          </c:spPr>
          <c:marker>
            <c:symbol val="none"/>
          </c:marker>
          <c:xVal>
            <c:numRef>
              <c:f>GraphValues!$E$3:$E$8</c:f>
              <c:numCache>
                <c:formatCode>0.00</c:formatCode>
                <c:ptCount val="6"/>
                <c:pt idx="0">
                  <c:v>0</c:v>
                </c:pt>
                <c:pt idx="1">
                  <c:v>0</c:v>
                </c:pt>
                <c:pt idx="2">
                  <c:v>0</c:v>
                </c:pt>
                <c:pt idx="3">
                  <c:v>0</c:v>
                </c:pt>
                <c:pt idx="4">
                  <c:v>0</c:v>
                </c:pt>
              </c:numCache>
            </c:numRef>
          </c:xVal>
          <c:yVal>
            <c:numRef>
              <c:f>GraphValues!$E$10:$E$17</c:f>
              <c:numCache>
                <c:formatCode>0.00</c:formatCode>
                <c:ptCount val="8"/>
                <c:pt idx="0">
                  <c:v>0</c:v>
                </c:pt>
                <c:pt idx="1">
                  <c:v>0</c:v>
                </c:pt>
                <c:pt idx="2">
                  <c:v>0</c:v>
                </c:pt>
                <c:pt idx="3">
                  <c:v>0</c:v>
                </c:pt>
                <c:pt idx="4">
                  <c:v>0</c:v>
                </c:pt>
              </c:numCache>
            </c:numRef>
          </c:yVal>
          <c:smooth val="0"/>
          <c:extLst>
            <c:ext xmlns:c16="http://schemas.microsoft.com/office/drawing/2014/chart" uri="{C3380CC4-5D6E-409C-BE32-E72D297353CC}">
              <c16:uniqueId val="{00000003-7C02-4252-B7BA-0E0EE94D773B}"/>
            </c:ext>
          </c:extLst>
        </c:ser>
        <c:ser>
          <c:idx val="4"/>
          <c:order val="3"/>
          <c:tx>
            <c:v>Signal/Sign 7</c:v>
          </c:tx>
          <c:spPr>
            <a:ln w="57150" cap="rnd" cmpd="sng">
              <a:solidFill>
                <a:srgbClr val="FFFF00"/>
              </a:solidFill>
              <a:round/>
            </a:ln>
            <a:effectLst/>
          </c:spPr>
          <c:marker>
            <c:symbol val="none"/>
          </c:marker>
          <c:xVal>
            <c:numRef>
              <c:f>GraphValues!$F$3:$F$8</c:f>
              <c:numCache>
                <c:formatCode>0.00</c:formatCode>
                <c:ptCount val="6"/>
                <c:pt idx="0">
                  <c:v>0</c:v>
                </c:pt>
                <c:pt idx="1">
                  <c:v>0</c:v>
                </c:pt>
                <c:pt idx="2">
                  <c:v>0</c:v>
                </c:pt>
                <c:pt idx="3">
                  <c:v>0</c:v>
                </c:pt>
                <c:pt idx="4">
                  <c:v>0</c:v>
                </c:pt>
              </c:numCache>
            </c:numRef>
          </c:xVal>
          <c:yVal>
            <c:numRef>
              <c:f>GraphValues!$F$10:$F$17</c:f>
              <c:numCache>
                <c:formatCode>0.00</c:formatCode>
                <c:ptCount val="8"/>
                <c:pt idx="0">
                  <c:v>0</c:v>
                </c:pt>
                <c:pt idx="1">
                  <c:v>0</c:v>
                </c:pt>
                <c:pt idx="2">
                  <c:v>0</c:v>
                </c:pt>
                <c:pt idx="3">
                  <c:v>0</c:v>
                </c:pt>
                <c:pt idx="4">
                  <c:v>0</c:v>
                </c:pt>
              </c:numCache>
            </c:numRef>
          </c:yVal>
          <c:smooth val="0"/>
          <c:extLst>
            <c:ext xmlns:c16="http://schemas.microsoft.com/office/drawing/2014/chart" uri="{C3380CC4-5D6E-409C-BE32-E72D297353CC}">
              <c16:uniqueId val="{00000004-7C02-4252-B7BA-0E0EE94D773B}"/>
            </c:ext>
          </c:extLst>
        </c:ser>
        <c:ser>
          <c:idx val="5"/>
          <c:order val="4"/>
          <c:tx>
            <c:v>Signal/Sign 6</c:v>
          </c:tx>
          <c:spPr>
            <a:ln w="57150" cap="rnd" cmpd="sng">
              <a:solidFill>
                <a:srgbClr val="92D050"/>
              </a:solidFill>
              <a:round/>
            </a:ln>
            <a:effectLst/>
          </c:spPr>
          <c:marker>
            <c:symbol val="none"/>
          </c:marker>
          <c:xVal>
            <c:numRef>
              <c:f>GraphValues!$G$3:$G$8</c:f>
              <c:numCache>
                <c:formatCode>0.00</c:formatCode>
                <c:ptCount val="6"/>
                <c:pt idx="0">
                  <c:v>46.5</c:v>
                </c:pt>
                <c:pt idx="1">
                  <c:v>49.5</c:v>
                </c:pt>
                <c:pt idx="2">
                  <c:v>49.5</c:v>
                </c:pt>
                <c:pt idx="3">
                  <c:v>46.5</c:v>
                </c:pt>
                <c:pt idx="4">
                  <c:v>46.5</c:v>
                </c:pt>
              </c:numCache>
            </c:numRef>
          </c:xVal>
          <c:yVal>
            <c:numRef>
              <c:f>GraphValues!$G$10:$G$17</c:f>
              <c:numCache>
                <c:formatCode>0.00</c:formatCode>
                <c:ptCount val="8"/>
                <c:pt idx="0">
                  <c:v>-1.5</c:v>
                </c:pt>
                <c:pt idx="1">
                  <c:v>-1.5</c:v>
                </c:pt>
                <c:pt idx="2">
                  <c:v>1.5</c:v>
                </c:pt>
                <c:pt idx="3">
                  <c:v>1.5</c:v>
                </c:pt>
                <c:pt idx="4">
                  <c:v>-1.5</c:v>
                </c:pt>
              </c:numCache>
            </c:numRef>
          </c:yVal>
          <c:smooth val="0"/>
          <c:extLst>
            <c:ext xmlns:c16="http://schemas.microsoft.com/office/drawing/2014/chart" uri="{C3380CC4-5D6E-409C-BE32-E72D297353CC}">
              <c16:uniqueId val="{00000005-7C02-4252-B7BA-0E0EE94D773B}"/>
            </c:ext>
          </c:extLst>
        </c:ser>
        <c:ser>
          <c:idx val="6"/>
          <c:order val="5"/>
          <c:tx>
            <c:v>Signal/Sign 5</c:v>
          </c:tx>
          <c:spPr>
            <a:ln w="57150" cap="rnd" cmpd="sng">
              <a:solidFill>
                <a:srgbClr val="00B050"/>
              </a:solidFill>
              <a:round/>
            </a:ln>
            <a:effectLst/>
          </c:spPr>
          <c:marker>
            <c:symbol val="none"/>
          </c:marker>
          <c:xVal>
            <c:numRef>
              <c:f>GraphValues!$H$3:$H$8</c:f>
              <c:numCache>
                <c:formatCode>0.00</c:formatCode>
                <c:ptCount val="6"/>
                <c:pt idx="0">
                  <c:v>37.575000000000003</c:v>
                </c:pt>
                <c:pt idx="1">
                  <c:v>44.424999999999997</c:v>
                </c:pt>
                <c:pt idx="2">
                  <c:v>44.424999999999997</c:v>
                </c:pt>
                <c:pt idx="3">
                  <c:v>37.575000000000003</c:v>
                </c:pt>
                <c:pt idx="4">
                  <c:v>37.575000000000003</c:v>
                </c:pt>
              </c:numCache>
            </c:numRef>
          </c:xVal>
          <c:yVal>
            <c:numRef>
              <c:f>GraphValues!$H$10:$H$17</c:f>
              <c:numCache>
                <c:formatCode>0.00</c:formatCode>
                <c:ptCount val="8"/>
                <c:pt idx="0">
                  <c:v>-1.085</c:v>
                </c:pt>
                <c:pt idx="1">
                  <c:v>-1.085</c:v>
                </c:pt>
                <c:pt idx="2">
                  <c:v>1.085</c:v>
                </c:pt>
                <c:pt idx="3">
                  <c:v>1.085</c:v>
                </c:pt>
                <c:pt idx="4">
                  <c:v>-1.085</c:v>
                </c:pt>
              </c:numCache>
            </c:numRef>
          </c:yVal>
          <c:smooth val="0"/>
          <c:extLst>
            <c:ext xmlns:c16="http://schemas.microsoft.com/office/drawing/2014/chart" uri="{C3380CC4-5D6E-409C-BE32-E72D297353CC}">
              <c16:uniqueId val="{00000006-7C02-4252-B7BA-0E0EE94D773B}"/>
            </c:ext>
          </c:extLst>
        </c:ser>
        <c:ser>
          <c:idx val="7"/>
          <c:order val="6"/>
          <c:tx>
            <c:v>Signal/Sign 4</c:v>
          </c:tx>
          <c:spPr>
            <a:ln w="57150" cap="rnd" cmpd="sng">
              <a:solidFill>
                <a:srgbClr val="00B0F0"/>
              </a:solidFill>
              <a:round/>
            </a:ln>
            <a:effectLst/>
          </c:spPr>
          <c:marker>
            <c:symbol val="none"/>
          </c:marker>
          <c:xVal>
            <c:numRef>
              <c:f>GraphValues!$I$3:$I$8</c:f>
              <c:numCache>
                <c:formatCode>0.00</c:formatCode>
                <c:ptCount val="6"/>
                <c:pt idx="0">
                  <c:v>32.5</c:v>
                </c:pt>
                <c:pt idx="1">
                  <c:v>35.5</c:v>
                </c:pt>
                <c:pt idx="2">
                  <c:v>35.5</c:v>
                </c:pt>
                <c:pt idx="3">
                  <c:v>32.5</c:v>
                </c:pt>
                <c:pt idx="4">
                  <c:v>32.5</c:v>
                </c:pt>
              </c:numCache>
            </c:numRef>
          </c:xVal>
          <c:yVal>
            <c:numRef>
              <c:f>GraphValues!$I$10:$I$17</c:f>
              <c:numCache>
                <c:formatCode>0.00</c:formatCode>
                <c:ptCount val="8"/>
                <c:pt idx="0">
                  <c:v>-1.5</c:v>
                </c:pt>
                <c:pt idx="1">
                  <c:v>-1.5</c:v>
                </c:pt>
                <c:pt idx="2">
                  <c:v>1.5</c:v>
                </c:pt>
                <c:pt idx="3">
                  <c:v>1.5</c:v>
                </c:pt>
                <c:pt idx="4">
                  <c:v>-1.5</c:v>
                </c:pt>
              </c:numCache>
            </c:numRef>
          </c:yVal>
          <c:smooth val="0"/>
          <c:extLst>
            <c:ext xmlns:c16="http://schemas.microsoft.com/office/drawing/2014/chart" uri="{C3380CC4-5D6E-409C-BE32-E72D297353CC}">
              <c16:uniqueId val="{00000007-7C02-4252-B7BA-0E0EE94D773B}"/>
            </c:ext>
          </c:extLst>
        </c:ser>
        <c:ser>
          <c:idx val="8"/>
          <c:order val="7"/>
          <c:tx>
            <c:v>Signal/Sign 3</c:v>
          </c:tx>
          <c:spPr>
            <a:ln w="57150" cap="rnd" cmpd="sng">
              <a:solidFill>
                <a:srgbClr val="0070C0"/>
              </a:solidFill>
              <a:round/>
            </a:ln>
            <a:effectLst/>
          </c:spPr>
          <c:marker>
            <c:symbol val="none"/>
          </c:marker>
          <c:xVal>
            <c:numRef>
              <c:f>GraphValues!$J$3:$J$8</c:f>
              <c:numCache>
                <c:formatCode>0.00</c:formatCode>
                <c:ptCount val="6"/>
                <c:pt idx="0">
                  <c:v>24.574999999999999</c:v>
                </c:pt>
                <c:pt idx="1">
                  <c:v>31.425000000000001</c:v>
                </c:pt>
                <c:pt idx="2">
                  <c:v>31.425000000000001</c:v>
                </c:pt>
                <c:pt idx="3">
                  <c:v>24.574999999999999</c:v>
                </c:pt>
                <c:pt idx="4">
                  <c:v>24.574999999999999</c:v>
                </c:pt>
              </c:numCache>
            </c:numRef>
          </c:xVal>
          <c:yVal>
            <c:numRef>
              <c:f>GraphValues!$J$10:$J$17</c:f>
              <c:numCache>
                <c:formatCode>0.00</c:formatCode>
                <c:ptCount val="8"/>
                <c:pt idx="0">
                  <c:v>-1.085</c:v>
                </c:pt>
                <c:pt idx="1">
                  <c:v>-1.085</c:v>
                </c:pt>
                <c:pt idx="2">
                  <c:v>1.085</c:v>
                </c:pt>
                <c:pt idx="3">
                  <c:v>1.085</c:v>
                </c:pt>
                <c:pt idx="4">
                  <c:v>-1.085</c:v>
                </c:pt>
              </c:numCache>
            </c:numRef>
          </c:yVal>
          <c:smooth val="0"/>
          <c:extLst>
            <c:ext xmlns:c16="http://schemas.microsoft.com/office/drawing/2014/chart" uri="{C3380CC4-5D6E-409C-BE32-E72D297353CC}">
              <c16:uniqueId val="{00000008-7C02-4252-B7BA-0E0EE94D773B}"/>
            </c:ext>
          </c:extLst>
        </c:ser>
        <c:ser>
          <c:idx val="9"/>
          <c:order val="8"/>
          <c:tx>
            <c:v>Signal/Sign 2</c:v>
          </c:tx>
          <c:spPr>
            <a:ln w="57150" cap="rnd" cmpd="sng">
              <a:solidFill>
                <a:srgbClr val="002060"/>
              </a:solidFill>
              <a:round/>
            </a:ln>
            <a:effectLst/>
          </c:spPr>
          <c:marker>
            <c:symbol val="none"/>
          </c:marker>
          <c:xVal>
            <c:numRef>
              <c:f>GraphValues!$K$3:$K$8</c:f>
              <c:numCache>
                <c:formatCode>0.00</c:formatCode>
                <c:ptCount val="6"/>
                <c:pt idx="0">
                  <c:v>15.745000000000001</c:v>
                </c:pt>
                <c:pt idx="1">
                  <c:v>20.254999999999999</c:v>
                </c:pt>
                <c:pt idx="2">
                  <c:v>20.254999999999999</c:v>
                </c:pt>
                <c:pt idx="3">
                  <c:v>15.745000000000001</c:v>
                </c:pt>
                <c:pt idx="4">
                  <c:v>15.745000000000001</c:v>
                </c:pt>
              </c:numCache>
            </c:numRef>
          </c:xVal>
          <c:yVal>
            <c:numRef>
              <c:f>GraphValues!$K$10:$K$17</c:f>
              <c:numCache>
                <c:formatCode>0.00</c:formatCode>
                <c:ptCount val="8"/>
                <c:pt idx="0">
                  <c:v>-1.085</c:v>
                </c:pt>
                <c:pt idx="1">
                  <c:v>-1.085</c:v>
                </c:pt>
                <c:pt idx="2">
                  <c:v>1.085</c:v>
                </c:pt>
                <c:pt idx="3">
                  <c:v>1.085</c:v>
                </c:pt>
                <c:pt idx="4">
                  <c:v>-1.085</c:v>
                </c:pt>
              </c:numCache>
            </c:numRef>
          </c:yVal>
          <c:smooth val="0"/>
          <c:extLst>
            <c:ext xmlns:c16="http://schemas.microsoft.com/office/drawing/2014/chart" uri="{C3380CC4-5D6E-409C-BE32-E72D297353CC}">
              <c16:uniqueId val="{00000009-7C02-4252-B7BA-0E0EE94D773B}"/>
            </c:ext>
          </c:extLst>
        </c:ser>
        <c:ser>
          <c:idx val="10"/>
          <c:order val="9"/>
          <c:tx>
            <c:v>Signal/Sign 1</c:v>
          </c:tx>
          <c:spPr>
            <a:ln w="57150" cap="rnd" cmpd="sng">
              <a:solidFill>
                <a:srgbClr val="7030A0"/>
              </a:solidFill>
              <a:round/>
            </a:ln>
            <a:effectLst/>
          </c:spPr>
          <c:marker>
            <c:symbol val="none"/>
          </c:marker>
          <c:xVal>
            <c:numRef>
              <c:f>GraphValues!$L$3:$L$8</c:f>
              <c:numCache>
                <c:formatCode>0.00</c:formatCode>
                <c:ptCount val="6"/>
                <c:pt idx="0">
                  <c:v>2</c:v>
                </c:pt>
                <c:pt idx="1">
                  <c:v>12</c:v>
                </c:pt>
                <c:pt idx="2">
                  <c:v>12</c:v>
                </c:pt>
                <c:pt idx="3">
                  <c:v>2</c:v>
                </c:pt>
                <c:pt idx="4">
                  <c:v>2</c:v>
                </c:pt>
              </c:numCache>
            </c:numRef>
          </c:xVal>
          <c:yVal>
            <c:numRef>
              <c:f>GraphValues!$L$10:$L$17</c:f>
              <c:numCache>
                <c:formatCode>0.00</c:formatCode>
                <c:ptCount val="8"/>
                <c:pt idx="0">
                  <c:v>-1</c:v>
                </c:pt>
                <c:pt idx="1">
                  <c:v>-1</c:v>
                </c:pt>
                <c:pt idx="2">
                  <c:v>1</c:v>
                </c:pt>
                <c:pt idx="3">
                  <c:v>1</c:v>
                </c:pt>
                <c:pt idx="4">
                  <c:v>-1</c:v>
                </c:pt>
              </c:numCache>
            </c:numRef>
          </c:yVal>
          <c:smooth val="0"/>
          <c:extLst>
            <c:ext xmlns:c16="http://schemas.microsoft.com/office/drawing/2014/chart" uri="{C3380CC4-5D6E-409C-BE32-E72D297353CC}">
              <c16:uniqueId val="{0000000A-7C02-4252-B7BA-0E0EE94D773B}"/>
            </c:ext>
          </c:extLst>
        </c:ser>
        <c:ser>
          <c:idx val="12"/>
          <c:order val="10"/>
          <c:tx>
            <c:v>Signal/Sign Centers</c:v>
          </c:tx>
          <c:spPr>
            <a:ln w="19050" cap="rnd">
              <a:noFill/>
              <a:round/>
            </a:ln>
            <a:effectLst/>
          </c:spPr>
          <c:marker>
            <c:symbol val="plus"/>
            <c:size val="7"/>
            <c:spPr>
              <a:noFill/>
              <a:ln w="25400">
                <a:solidFill>
                  <a:schemeClr val="bg1"/>
                </a:solidFill>
              </a:ln>
              <a:effectLst/>
            </c:spPr>
          </c:marker>
          <c:xVal>
            <c:numRef>
              <c:f>GraphValues!$C$18:$L$18</c:f>
              <c:numCache>
                <c:formatCode>General</c:formatCode>
                <c:ptCount val="10"/>
                <c:pt idx="0">
                  <c:v>0</c:v>
                </c:pt>
                <c:pt idx="1">
                  <c:v>0</c:v>
                </c:pt>
                <c:pt idx="2">
                  <c:v>0</c:v>
                </c:pt>
                <c:pt idx="3">
                  <c:v>0</c:v>
                </c:pt>
                <c:pt idx="4">
                  <c:v>48</c:v>
                </c:pt>
                <c:pt idx="5">
                  <c:v>41</c:v>
                </c:pt>
                <c:pt idx="6">
                  <c:v>34</c:v>
                </c:pt>
                <c:pt idx="7">
                  <c:v>28</c:v>
                </c:pt>
                <c:pt idx="8">
                  <c:v>18</c:v>
                </c:pt>
                <c:pt idx="9">
                  <c:v>7</c:v>
                </c:pt>
              </c:numCache>
            </c:numRef>
          </c:xVal>
          <c:yVal>
            <c:numLit>
              <c:formatCode>General</c:formatCode>
              <c:ptCount val="10"/>
              <c:pt idx="0">
                <c:v>0</c:v>
              </c:pt>
              <c:pt idx="1">
                <c:v>0</c:v>
              </c:pt>
              <c:pt idx="2">
                <c:v>0</c:v>
              </c:pt>
              <c:pt idx="3">
                <c:v>0</c:v>
              </c:pt>
              <c:pt idx="4">
                <c:v>0</c:v>
              </c:pt>
              <c:pt idx="5">
                <c:v>0</c:v>
              </c:pt>
              <c:pt idx="6">
                <c:v>0</c:v>
              </c:pt>
              <c:pt idx="7">
                <c:v>0</c:v>
              </c:pt>
              <c:pt idx="8">
                <c:v>0</c:v>
              </c:pt>
              <c:pt idx="9">
                <c:v>0</c:v>
              </c:pt>
            </c:numLit>
          </c:yVal>
          <c:smooth val="0"/>
          <c:extLst>
            <c:ext xmlns:c16="http://schemas.microsoft.com/office/drawing/2014/chart" uri="{C3380CC4-5D6E-409C-BE32-E72D297353CC}">
              <c16:uniqueId val="{00000000-0CFF-4B1A-B32C-173B4C732C8A}"/>
            </c:ext>
          </c:extLst>
        </c:ser>
        <c:ser>
          <c:idx val="2"/>
          <c:order val="11"/>
          <c:tx>
            <c:v>Arm</c:v>
          </c:tx>
          <c:spPr>
            <a:ln w="101600" cap="rnd" cmpd="sng">
              <a:solidFill>
                <a:schemeClr val="tx1">
                  <a:alpha val="40000"/>
                </a:schemeClr>
              </a:solidFill>
              <a:round/>
            </a:ln>
            <a:effectLst/>
          </c:spPr>
          <c:marker>
            <c:symbol val="none"/>
          </c:marker>
          <c:xVal>
            <c:numRef>
              <c:f>GraphValues!$N$3:$N$7</c:f>
              <c:numCache>
                <c:formatCode>0.00</c:formatCode>
                <c:ptCount val="5"/>
                <c:pt idx="0">
                  <c:v>50</c:v>
                </c:pt>
                <c:pt idx="1">
                  <c:v>0</c:v>
                </c:pt>
                <c:pt idx="2">
                  <c:v>0</c:v>
                </c:pt>
                <c:pt idx="3">
                  <c:v>50</c:v>
                </c:pt>
                <c:pt idx="4">
                  <c:v>50</c:v>
                </c:pt>
              </c:numCache>
            </c:numRef>
          </c:xVal>
          <c:yVal>
            <c:numRef>
              <c:f>GraphValues!$O$3:$O$7</c:f>
              <c:numCache>
                <c:formatCode>0.00</c:formatCode>
                <c:ptCount val="5"/>
                <c:pt idx="0">
                  <c:v>-0.05</c:v>
                </c:pt>
                <c:pt idx="1">
                  <c:v>-0.21666666666666667</c:v>
                </c:pt>
                <c:pt idx="2">
                  <c:v>0.21666666666666667</c:v>
                </c:pt>
                <c:pt idx="3">
                  <c:v>0.05</c:v>
                </c:pt>
                <c:pt idx="4">
                  <c:v>-0.05</c:v>
                </c:pt>
              </c:numCache>
            </c:numRef>
          </c:yVal>
          <c:smooth val="0"/>
          <c:extLst>
            <c:ext xmlns:c16="http://schemas.microsoft.com/office/drawing/2014/chart" uri="{C3380CC4-5D6E-409C-BE32-E72D297353CC}">
              <c16:uniqueId val="{00000000-7C02-4252-B7BA-0E0EE94D773B}"/>
            </c:ext>
          </c:extLst>
        </c:ser>
        <c:ser>
          <c:idx val="11"/>
          <c:order val="12"/>
          <c:tx>
            <c:v>Pole</c:v>
          </c:tx>
          <c:spPr>
            <a:ln w="101600" cap="rnd" cmpd="sng">
              <a:solidFill>
                <a:schemeClr val="tx1">
                  <a:alpha val="40000"/>
                </a:schemeClr>
              </a:solidFill>
              <a:round/>
            </a:ln>
            <a:effectLst/>
          </c:spPr>
          <c:marker>
            <c:symbol val="none"/>
          </c:marker>
          <c:xVal>
            <c:numRef>
              <c:f>GraphValues!$N$10:$N$14</c:f>
              <c:numCache>
                <c:formatCode>0.00</c:formatCode>
                <c:ptCount val="5"/>
                <c:pt idx="0">
                  <c:v>0</c:v>
                </c:pt>
                <c:pt idx="1">
                  <c:v>-0.49833333333333329</c:v>
                </c:pt>
                <c:pt idx="2">
                  <c:v>-0.39</c:v>
                </c:pt>
                <c:pt idx="3">
                  <c:v>-0.10833333333333328</c:v>
                </c:pt>
                <c:pt idx="4">
                  <c:v>0</c:v>
                </c:pt>
              </c:numCache>
            </c:numRef>
          </c:xVal>
          <c:yVal>
            <c:numRef>
              <c:f>GraphValues!$O$10:$O$14</c:f>
              <c:numCache>
                <c:formatCode>General</c:formatCode>
                <c:ptCount val="5"/>
                <c:pt idx="0">
                  <c:v>-10</c:v>
                </c:pt>
                <c:pt idx="1">
                  <c:v>-10</c:v>
                </c:pt>
                <c:pt idx="2">
                  <c:v>3</c:v>
                </c:pt>
                <c:pt idx="3">
                  <c:v>3</c:v>
                </c:pt>
                <c:pt idx="4">
                  <c:v>-10</c:v>
                </c:pt>
              </c:numCache>
            </c:numRef>
          </c:yVal>
          <c:smooth val="0"/>
          <c:extLst>
            <c:ext xmlns:c16="http://schemas.microsoft.com/office/drawing/2014/chart" uri="{C3380CC4-5D6E-409C-BE32-E72D297353CC}">
              <c16:uniqueId val="{0000000B-7C02-4252-B7BA-0E0EE94D773B}"/>
            </c:ext>
          </c:extLst>
        </c:ser>
        <c:dLbls>
          <c:showLegendKey val="0"/>
          <c:showVal val="0"/>
          <c:showCatName val="0"/>
          <c:showSerName val="0"/>
          <c:showPercent val="0"/>
          <c:showBubbleSize val="0"/>
        </c:dLbls>
        <c:axId val="499090288"/>
        <c:axId val="501174096"/>
      </c:scatterChart>
      <c:valAx>
        <c:axId val="499090288"/>
        <c:scaling>
          <c:orientation val="maxMin"/>
          <c:max val="80"/>
          <c:min val="-5"/>
        </c:scaling>
        <c:delete val="0"/>
        <c:axPos val="b"/>
        <c:majorGridlines>
          <c:spPr>
            <a:ln w="9525" cap="flat" cmpd="sng" algn="ctr">
              <a:solidFill>
                <a:schemeClr val="tx1">
                  <a:lumMod val="15000"/>
                  <a:lumOff val="85000"/>
                </a:schemeClr>
              </a:solidFill>
              <a:round/>
            </a:ln>
            <a:effectLst/>
          </c:spPr>
        </c:majorGridlines>
        <c:numFmt formatCode="0" sourceLinked="0"/>
        <c:majorTickMark val="cross"/>
        <c:minorTickMark val="none"/>
        <c:tickLblPos val="nextTo"/>
        <c:spPr>
          <a:noFill/>
          <a:ln w="19050" cap="flat" cmpd="sng" algn="ctr">
            <a:solidFill>
              <a:schemeClr val="tx1"/>
            </a:solidFill>
            <a:prstDash val="lgDashDot"/>
            <a:round/>
          </a:ln>
          <a:effectLst/>
        </c:spPr>
        <c:txPr>
          <a:bodyPr rot="-60000000" spcFirstLastPara="1" vertOverflow="ellipsis" vert="horz" wrap="square" anchor="ctr" anchorCtr="1"/>
          <a:lstStyle/>
          <a:p>
            <a:pPr>
              <a:defRPr sz="900" b="0" i="0" u="none" strike="noStrike" kern="1200" baseline="0">
                <a:ln w="6350">
                  <a:solidFill>
                    <a:schemeClr val="tx1">
                      <a:lumMod val="65000"/>
                      <a:lumOff val="35000"/>
                    </a:schemeClr>
                  </a:solidFill>
                </a:ln>
                <a:solidFill>
                  <a:schemeClr val="tx1"/>
                </a:solidFill>
                <a:latin typeface="+mn-lt"/>
                <a:ea typeface="+mn-ea"/>
                <a:cs typeface="+mn-cs"/>
              </a:defRPr>
            </a:pPr>
            <a:endParaRPr lang="en-US"/>
          </a:p>
        </c:txPr>
        <c:crossAx val="501174096"/>
        <c:crosses val="autoZero"/>
        <c:crossBetween val="midCat"/>
        <c:majorUnit val="5"/>
      </c:valAx>
      <c:valAx>
        <c:axId val="501174096"/>
        <c:scaling>
          <c:orientation val="minMax"/>
          <c:max val="5"/>
          <c:min val="-10"/>
        </c:scaling>
        <c:delete val="0"/>
        <c:axPos val="r"/>
        <c:majorGridlines>
          <c:spPr>
            <a:ln w="9525" cap="flat" cmpd="sng" algn="ctr">
              <a:solidFill>
                <a:schemeClr val="tx1">
                  <a:lumMod val="15000"/>
                  <a:lumOff val="85000"/>
                </a:schemeClr>
              </a:solidFill>
              <a:round/>
            </a:ln>
            <a:effectLst/>
          </c:spPr>
        </c:majorGridlines>
        <c:numFmt formatCode="0" sourceLinked="0"/>
        <c:majorTickMark val="cross"/>
        <c:minorTickMark val="none"/>
        <c:tickLblPos val="nextTo"/>
        <c:spPr>
          <a:noFill/>
          <a:ln w="19050" cap="flat" cmpd="sng" algn="ctr">
            <a:solidFill>
              <a:schemeClr val="tx1"/>
            </a:solidFill>
            <a:prstDash val="lgDash"/>
            <a:round/>
            <a:tailEnd type="none"/>
          </a:ln>
          <a:effectLst/>
        </c:spPr>
        <c:txPr>
          <a:bodyPr rot="-60000000" spcFirstLastPara="1" vertOverflow="ellipsis" vert="horz" wrap="square" anchor="ctr" anchorCtr="0"/>
          <a:lstStyle/>
          <a:p>
            <a:pPr>
              <a:defRPr sz="900" b="0" i="0" u="none" strike="noStrike" kern="1200" baseline="0">
                <a:ln>
                  <a:solidFill>
                    <a:schemeClr val="tx1">
                      <a:lumMod val="65000"/>
                      <a:lumOff val="35000"/>
                    </a:schemeClr>
                  </a:solidFill>
                </a:ln>
                <a:solidFill>
                  <a:schemeClr val="tx1"/>
                </a:solidFill>
                <a:latin typeface="+mn-lt"/>
                <a:ea typeface="+mn-ea"/>
                <a:cs typeface="+mn-cs"/>
              </a:defRPr>
            </a:pPr>
            <a:endParaRPr lang="en-US"/>
          </a:p>
        </c:txPr>
        <c:crossAx val="499090288"/>
        <c:crosses val="autoZero"/>
        <c:crossBetween val="midCat"/>
        <c:majorUnit val="5"/>
      </c:valAx>
      <c:spPr>
        <a:solidFill>
          <a:schemeClr val="bg1">
            <a:lumMod val="85000"/>
          </a:schemeClr>
        </a:solidFill>
        <a:ln>
          <a:noFill/>
        </a:ln>
        <a:effectLst/>
      </c:spPr>
    </c:plotArea>
    <c:legend>
      <c:legendPos val="b"/>
      <c:layout>
        <c:manualLayout>
          <c:xMode val="edge"/>
          <c:yMode val="edge"/>
          <c:x val="2.6835753414640597E-2"/>
          <c:y val="0.64061370859715983"/>
          <c:w val="0.86499737325365456"/>
          <c:h val="0.202449693788276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lumMod val="85000"/>
      </a:schemeClr>
    </a:solidFill>
    <a:ln w="285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00327121866368E-2"/>
          <c:y val="4.7072661162089337E-2"/>
          <c:w val="0.88668344609416494"/>
          <c:h val="0.77611698730026546"/>
        </c:manualLayout>
      </c:layout>
      <c:scatterChart>
        <c:scatterStyle val="lineMarker"/>
        <c:varyColors val="0"/>
        <c:ser>
          <c:idx val="0"/>
          <c:order val="0"/>
          <c:tx>
            <c:strRef>
              <c:f>ArmEvaluation!$E$24</c:f>
              <c:strCache>
                <c:ptCount val="1"/>
                <c:pt idx="0">
                  <c:v>A50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'CFI&amp;Designation'!$K$87:$K$103</c:f>
              <c:numCache>
                <c:formatCode>General</c:formatCode>
                <c:ptCount val="17"/>
                <c:pt idx="0">
                  <c:v>100</c:v>
                </c:pt>
                <c:pt idx="1">
                  <c:v>105</c:v>
                </c:pt>
                <c:pt idx="2">
                  <c:v>110</c:v>
                </c:pt>
                <c:pt idx="3">
                  <c:v>115</c:v>
                </c:pt>
                <c:pt idx="4">
                  <c:v>120</c:v>
                </c:pt>
                <c:pt idx="5">
                  <c:v>125</c:v>
                </c:pt>
                <c:pt idx="6">
                  <c:v>130</c:v>
                </c:pt>
                <c:pt idx="7">
                  <c:v>135</c:v>
                </c:pt>
                <c:pt idx="8">
                  <c:v>140</c:v>
                </c:pt>
                <c:pt idx="9">
                  <c:v>145</c:v>
                </c:pt>
                <c:pt idx="10">
                  <c:v>150</c:v>
                </c:pt>
                <c:pt idx="11">
                  <c:v>155</c:v>
                </c:pt>
                <c:pt idx="12">
                  <c:v>160</c:v>
                </c:pt>
                <c:pt idx="13">
                  <c:v>165</c:v>
                </c:pt>
                <c:pt idx="14">
                  <c:v>170</c:v>
                </c:pt>
                <c:pt idx="15">
                  <c:v>175</c:v>
                </c:pt>
                <c:pt idx="16">
                  <c:v>180</c:v>
                </c:pt>
              </c:numCache>
            </c:numRef>
          </c:xVal>
          <c:yVal>
            <c:numRef>
              <c:f>'CFI&amp;Designation'!$L$87:$L$103</c:f>
              <c:numCache>
                <c:formatCode>0.00</c:formatCode>
                <c:ptCount val="17"/>
                <c:pt idx="0">
                  <c:v>21.796740311612666</c:v>
                </c:pt>
                <c:pt idx="1">
                  <c:v>23.443556249979778</c:v>
                </c:pt>
                <c:pt idx="2">
                  <c:v>25.205762975568184</c:v>
                </c:pt>
                <c:pt idx="3">
                  <c:v>27.085648810021933</c:v>
                </c:pt>
                <c:pt idx="4">
                  <c:v>29.085442682617504</c:v>
                </c:pt>
                <c:pt idx="5">
                  <c:v>31.207318160121961</c:v>
                </c:pt>
                <c:pt idx="6">
                  <c:v>33.453397048146869</c:v>
                </c:pt>
                <c:pt idx="7">
                  <c:v>35.825752624759247</c:v>
                </c:pt>
                <c:pt idx="8">
                  <c:v>38.326412556500358</c:v>
                </c:pt>
                <c:pt idx="9">
                  <c:v>40.957361538533618</c:v>
                </c:pt>
                <c:pt idx="10">
                  <c:v>43.72054369387314</c:v>
                </c:pt>
                <c:pt idx="11">
                  <c:v>46.61786476117247</c:v>
                </c:pt>
                <c:pt idx="12">
                  <c:v>49.651194096088489</c:v>
                </c:pt>
                <c:pt idx="13">
                  <c:v>52.822366507568574</c:v>
                </c:pt>
                <c:pt idx="14">
                  <c:v>56.133183947377844</c:v>
                </c:pt>
                <c:pt idx="15">
                  <c:v>59.585417068659524</c:v>
                </c:pt>
                <c:pt idx="16">
                  <c:v>63.18080666721248</c:v>
                </c:pt>
              </c:numCache>
            </c:numRef>
          </c:yVal>
          <c:smooth val="0"/>
          <c:extLst>
            <c:ext xmlns:c16="http://schemas.microsoft.com/office/drawing/2014/chart" uri="{C3380CC4-5D6E-409C-BE32-E72D297353CC}">
              <c16:uniqueId val="{00000000-2BE2-4714-8B9C-7501BEF71AA2}"/>
            </c:ext>
          </c:extLst>
        </c:ser>
        <c:ser>
          <c:idx val="1"/>
          <c:order val="1"/>
          <c:tx>
            <c:v>Tube Wind Load Moment</c:v>
          </c:tx>
          <c:spPr>
            <a:ln w="19050" cap="rnd">
              <a:solidFill>
                <a:schemeClr val="accent2"/>
              </a:solidFill>
              <a:round/>
            </a:ln>
            <a:effectLst/>
          </c:spPr>
          <c:marker>
            <c:symbol val="x"/>
            <c:size val="9"/>
            <c:spPr>
              <a:noFill/>
              <a:ln w="31750">
                <a:solidFill>
                  <a:schemeClr val="accent2"/>
                </a:solidFill>
              </a:ln>
              <a:effectLst/>
            </c:spPr>
          </c:marker>
          <c:xVal>
            <c:numRef>
              <c:f>ArmEvaluation!$C$5</c:f>
              <c:numCache>
                <c:formatCode>General</c:formatCode>
                <c:ptCount val="1"/>
                <c:pt idx="0">
                  <c:v>165</c:v>
                </c:pt>
              </c:numCache>
            </c:numRef>
          </c:xVal>
          <c:yVal>
            <c:numRef>
              <c:f>'CFI&amp;Designation'!$L$67</c:f>
              <c:numCache>
                <c:formatCode>0.0</c:formatCode>
                <c:ptCount val="1"/>
                <c:pt idx="0">
                  <c:v>52.822366507568574</c:v>
                </c:pt>
              </c:numCache>
            </c:numRef>
          </c:yVal>
          <c:smooth val="0"/>
          <c:extLst>
            <c:ext xmlns:c16="http://schemas.microsoft.com/office/drawing/2014/chart" uri="{C3380CC4-5D6E-409C-BE32-E72D297353CC}">
              <c16:uniqueId val="{00000002-2BE2-4714-8B9C-7501BEF71AA2}"/>
            </c:ext>
          </c:extLst>
        </c:ser>
        <c:dLbls>
          <c:showLegendKey val="0"/>
          <c:showVal val="0"/>
          <c:showCatName val="0"/>
          <c:showSerName val="0"/>
          <c:showPercent val="0"/>
          <c:showBubbleSize val="0"/>
        </c:dLbls>
        <c:axId val="119146776"/>
        <c:axId val="119145136"/>
      </c:scatterChart>
      <c:valAx>
        <c:axId val="119146776"/>
        <c:scaling>
          <c:orientation val="minMax"/>
          <c:max val="180"/>
          <c:min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145136"/>
        <c:crosses val="autoZero"/>
        <c:crossBetween val="midCat"/>
      </c:valAx>
      <c:valAx>
        <c:axId val="119145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1467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firstButton="1" fmlaLink="$F$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firstButton="1" fmlaLink="$G$6"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Dimensions!$C$37"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firstButton="1" fmlaLink="$H$6"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I$6"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J$6"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Dimensions!$C$40"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K$6"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noThreeD="1"/>
</file>

<file path=xl/ctrlProps/ctrlProp50.xml><?xml version="1.0" encoding="utf-8"?>
<formControlPr xmlns="http://schemas.microsoft.com/office/spreadsheetml/2009/9/main" objectType="Radio" firstButton="1" fmlaLink="$L$6"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rmEvaluation!$M$6"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firstButton="1" fmlaLink="$N$6"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List" dx="22" fmlaLink="Dimensions!$C$38" fmlaRange="'CFI&amp;Designation'!$C$5:$C$60" noThreeD="1" sel="6" val="0"/>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fmlaLink="$E$6"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87630</xdr:colOff>
      <xdr:row>2</xdr:row>
      <xdr:rowOff>30480</xdr:rowOff>
    </xdr:from>
    <xdr:to>
      <xdr:col>15</xdr:col>
      <xdr:colOff>216010</xdr:colOff>
      <xdr:row>47</xdr:row>
      <xdr:rowOff>892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7630" y="325755"/>
          <a:ext cx="9272380" cy="8114287"/>
        </a:xfrm>
        <a:prstGeom prst="rect">
          <a:avLst/>
        </a:prstGeom>
        <a:ln w="381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746760</xdr:colOff>
          <xdr:row>5</xdr:row>
          <xdr:rowOff>0</xdr:rowOff>
        </xdr:from>
        <xdr:to>
          <xdr:col>8</xdr:col>
          <xdr:colOff>746760</xdr:colOff>
          <xdr:row>6</xdr:row>
          <xdr:rowOff>0</xdr:rowOff>
        </xdr:to>
        <xdr:sp macro="" textlink="">
          <xdr:nvSpPr>
            <xdr:cNvPr id="1262" name="Group Box 238" hidden="1">
              <a:extLst>
                <a:ext uri="{63B3BB69-23CF-44E3-9099-C40C66FF867C}">
                  <a14:compatExt spid="_x0000_s1262"/>
                </a:ext>
                <a:ext uri="{FF2B5EF4-FFF2-40B4-BE49-F238E27FC236}">
                  <a16:creationId xmlns:a16="http://schemas.microsoft.com/office/drawing/2014/main" id="{00000000-0008-0000-0200-0000E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7620</xdr:colOff>
          <xdr:row>6</xdr:row>
          <xdr:rowOff>0</xdr:rowOff>
        </xdr:to>
        <xdr:sp macro="" textlink="">
          <xdr:nvSpPr>
            <xdr:cNvPr id="1222" name="Group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5</xdr:row>
          <xdr:rowOff>861060</xdr:rowOff>
        </xdr:from>
        <xdr:to>
          <xdr:col>2</xdr:col>
          <xdr:colOff>220980</xdr:colOff>
          <xdr:row>7</xdr:row>
          <xdr:rowOff>182880</xdr:rowOff>
        </xdr:to>
        <xdr:sp macro="" textlink="">
          <xdr:nvSpPr>
            <xdr:cNvPr id="1056" name="Group Box 32" descr="Back Plates"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Back Plate Width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144780</xdr:rowOff>
        </xdr:from>
        <xdr:to>
          <xdr:col>2</xdr:col>
          <xdr:colOff>205740</xdr:colOff>
          <xdr:row>5</xdr:row>
          <xdr:rowOff>716280</xdr:rowOff>
        </xdr:to>
        <xdr:sp macro="" textlink="">
          <xdr:nvSpPr>
            <xdr:cNvPr id="1055" name="Group Box 31" descr="Signal Orientation"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Signal Orientation</a:t>
              </a:r>
            </a:p>
          </xdr:txBody>
        </xdr:sp>
        <xdr:clientData/>
      </xdr:twoCellAnchor>
    </mc:Choice>
    <mc:Fallback/>
  </mc:AlternateContent>
  <xdr:twoCellAnchor editAs="absolute">
    <xdr:from>
      <xdr:col>1</xdr:col>
      <xdr:colOff>19050</xdr:colOff>
      <xdr:row>11</xdr:row>
      <xdr:rowOff>150495</xdr:rowOff>
    </xdr:from>
    <xdr:to>
      <xdr:col>14</xdr:col>
      <xdr:colOff>135255</xdr:colOff>
      <xdr:row>22</xdr:row>
      <xdr:rowOff>116205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150494</xdr:colOff>
          <xdr:row>5</xdr:row>
          <xdr:rowOff>276225</xdr:rowOff>
        </xdr:from>
        <xdr:to>
          <xdr:col>1</xdr:col>
          <xdr:colOff>815340</xdr:colOff>
          <xdr:row>5</xdr:row>
          <xdr:rowOff>636270</xdr:rowOff>
        </xdr:to>
        <xdr:grpSp>
          <xdr:nvGrpSpPr>
            <xdr:cNvPr id="4" name="Group 3" title="Signal Orientation">
              <a:extLst>
                <a:ext uri="{FF2B5EF4-FFF2-40B4-BE49-F238E27FC236}">
                  <a16:creationId xmlns:a16="http://schemas.microsoft.com/office/drawing/2014/main" id="{00000000-0008-0000-0200-000004000000}"/>
                </a:ext>
              </a:extLst>
            </xdr:cNvPr>
            <xdr:cNvGrpSpPr/>
          </xdr:nvGrpSpPr>
          <xdr:grpSpPr>
            <a:xfrm>
              <a:off x="350519" y="1287780"/>
              <a:ext cx="668656" cy="356235"/>
              <a:chOff x="4467224" y="104775"/>
              <a:chExt cx="668655" cy="419100"/>
            </a:xfrm>
            <a:solidFill>
              <a:schemeClr val="bg1">
                <a:alpha val="63000"/>
              </a:schemeClr>
            </a:solidFill>
          </xdr:grpSpPr>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4467224" y="104775"/>
                <a:ext cx="668655" cy="21491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Vertical</a:t>
                </a:r>
              </a:p>
            </xdr:txBody>
          </xdr:sp>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4467224" y="314325"/>
                <a:ext cx="668655" cy="20955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Horizontal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76197</xdr:colOff>
          <xdr:row>5</xdr:row>
          <xdr:rowOff>72461</xdr:rowOff>
        </xdr:from>
        <xdr:to>
          <xdr:col>4</xdr:col>
          <xdr:colOff>658072</xdr:colOff>
          <xdr:row>5</xdr:row>
          <xdr:rowOff>1091280</xdr:rowOff>
        </xdr:to>
        <xdr:grpSp>
          <xdr:nvGrpSpPr>
            <xdr:cNvPr id="9" name="Group 8">
              <a:extLst>
                <a:ext uri="{FF2B5EF4-FFF2-40B4-BE49-F238E27FC236}">
                  <a16:creationId xmlns:a16="http://schemas.microsoft.com/office/drawing/2014/main" id="{00000000-0008-0000-0200-000009000000}"/>
                </a:ext>
              </a:extLst>
            </xdr:cNvPr>
            <xdr:cNvGrpSpPr/>
          </xdr:nvGrpSpPr>
          <xdr:grpSpPr>
            <a:xfrm>
              <a:off x="2238372" y="1082111"/>
              <a:ext cx="583780" cy="1015009"/>
              <a:chOff x="1733547" y="1558360"/>
              <a:chExt cx="581916" cy="1018818"/>
            </a:xfrm>
          </xdr:grpSpPr>
          <xdr:sp macro="" textlink="">
            <xdr:nvSpPr>
              <xdr:cNvPr id="1062" name="Option Button 38" descr="None"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1733552" y="1558360"/>
                <a:ext cx="581029" cy="211239"/>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063" name="Option Button 39" descr="3 Head"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1733547" y="1750909"/>
                <a:ext cx="581028" cy="211241"/>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064" name="Option Button 40" descr="4 Head"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1733550" y="1952625"/>
                <a:ext cx="581028" cy="211241"/>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065" name="Option Button 41" descr="5 Head"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1734435" y="2154342"/>
                <a:ext cx="581028" cy="211241"/>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069" name="Option Button 45" descr="Dog House"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1734880" y="2365937"/>
                <a:ext cx="580373" cy="211241"/>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5</xdr:row>
          <xdr:rowOff>76200</xdr:rowOff>
        </xdr:from>
        <xdr:to>
          <xdr:col>5</xdr:col>
          <xdr:colOff>667597</xdr:colOff>
          <xdr:row>5</xdr:row>
          <xdr:rowOff>1121903</xdr:rowOff>
        </xdr:to>
        <xdr:grpSp>
          <xdr:nvGrpSpPr>
            <xdr:cNvPr id="77" name="Group 76">
              <a:extLst>
                <a:ext uri="{FF2B5EF4-FFF2-40B4-BE49-F238E27FC236}">
                  <a16:creationId xmlns:a16="http://schemas.microsoft.com/office/drawing/2014/main" id="{00000000-0008-0000-0200-00004D000000}"/>
                </a:ext>
              </a:extLst>
            </xdr:cNvPr>
            <xdr:cNvGrpSpPr/>
          </xdr:nvGrpSpPr>
          <xdr:grpSpPr>
            <a:xfrm>
              <a:off x="3002280" y="1085850"/>
              <a:ext cx="576157" cy="1049513"/>
              <a:chOff x="1733547" y="1558375"/>
              <a:chExt cx="581856" cy="1045705"/>
            </a:xfrm>
          </xdr:grpSpPr>
          <xdr:sp macro="" textlink="">
            <xdr:nvSpPr>
              <xdr:cNvPr id="1107" name="Option Button 83" descr="None"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1733553" y="1558375"/>
                <a:ext cx="581026" cy="238126"/>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108" name="Option Button 84" descr="3 Head"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1733547" y="1750909"/>
                <a:ext cx="581025"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109" name="Option Button 85" descr="4 Head"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1733550" y="1952625"/>
                <a:ext cx="581025"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110" name="Option Button 86" descr="5 Head"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1734397" y="2154342"/>
                <a:ext cx="581006"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111" name="Option Button 87" descr="Dog House"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1734880" y="2365955"/>
                <a:ext cx="580370"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85726</xdr:colOff>
          <xdr:row>5</xdr:row>
          <xdr:rowOff>76200</xdr:rowOff>
        </xdr:from>
        <xdr:to>
          <xdr:col>6</xdr:col>
          <xdr:colOff>677123</xdr:colOff>
          <xdr:row>5</xdr:row>
          <xdr:rowOff>1121903</xdr:rowOff>
        </xdr:to>
        <xdr:grpSp>
          <xdr:nvGrpSpPr>
            <xdr:cNvPr id="85" name="Group 84">
              <a:extLst>
                <a:ext uri="{FF2B5EF4-FFF2-40B4-BE49-F238E27FC236}">
                  <a16:creationId xmlns:a16="http://schemas.microsoft.com/office/drawing/2014/main" id="{00000000-0008-0000-0200-000055000000}"/>
                </a:ext>
              </a:extLst>
            </xdr:cNvPr>
            <xdr:cNvGrpSpPr/>
          </xdr:nvGrpSpPr>
          <xdr:grpSpPr>
            <a:xfrm>
              <a:off x="3754756" y="1085850"/>
              <a:ext cx="587587" cy="1049513"/>
              <a:chOff x="1733548" y="1558375"/>
              <a:chExt cx="591397" cy="1045705"/>
            </a:xfrm>
          </xdr:grpSpPr>
          <xdr:sp macro="" textlink="">
            <xdr:nvSpPr>
              <xdr:cNvPr id="1114" name="Option Button 90" descr="None"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1733553" y="1558375"/>
                <a:ext cx="590551" cy="238126"/>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115" name="Option Button 91" descr="3 Head"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1733548" y="1750909"/>
                <a:ext cx="590550"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116" name="Option Button 92" descr="4 Head"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1733551" y="1952625"/>
                <a:ext cx="590550"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117" name="Option Button 93" descr="5 Head"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1734395" y="2154342"/>
                <a:ext cx="590550"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118" name="Option Button 94" descr="Dog House"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1734881" y="2365955"/>
                <a:ext cx="589884"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91450</xdr:colOff>
          <xdr:row>5</xdr:row>
          <xdr:rowOff>79689</xdr:rowOff>
        </xdr:from>
        <xdr:to>
          <xdr:col>7</xdr:col>
          <xdr:colOff>669729</xdr:colOff>
          <xdr:row>5</xdr:row>
          <xdr:rowOff>1124577</xdr:rowOff>
        </xdr:to>
        <xdr:grpSp>
          <xdr:nvGrpSpPr>
            <xdr:cNvPr id="69" name="Group 68">
              <a:extLst>
                <a:ext uri="{FF2B5EF4-FFF2-40B4-BE49-F238E27FC236}">
                  <a16:creationId xmlns:a16="http://schemas.microsoft.com/office/drawing/2014/main" id="{00000000-0008-0000-0200-000045000000}"/>
                </a:ext>
              </a:extLst>
            </xdr:cNvPr>
            <xdr:cNvGrpSpPr/>
          </xdr:nvGrpSpPr>
          <xdr:grpSpPr>
            <a:xfrm>
              <a:off x="4514860" y="1089339"/>
              <a:ext cx="570659" cy="1041078"/>
              <a:chOff x="1730033" y="1552212"/>
              <a:chExt cx="540698" cy="1072215"/>
            </a:xfrm>
          </xdr:grpSpPr>
          <xdr:sp macro="" textlink="">
            <xdr:nvSpPr>
              <xdr:cNvPr id="1133" name="Option Button 109" descr="None"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1733552" y="1552212"/>
                <a:ext cx="532643" cy="259933"/>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134" name="Option Button 110" descr="3 Head"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1733545" y="1762889"/>
                <a:ext cx="532646" cy="241808"/>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135" name="Option Button 111" descr="4 Head"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1730033" y="1959141"/>
                <a:ext cx="537901" cy="24966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136" name="Option Button 112" descr="5 Head"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1730891" y="2162165"/>
                <a:ext cx="539698" cy="242844"/>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137" name="Option Button 113" descr="Dog House"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1738444" y="2389202"/>
                <a:ext cx="532287" cy="2352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xdr:row>
          <xdr:rowOff>0</xdr:rowOff>
        </xdr:from>
        <xdr:to>
          <xdr:col>6</xdr:col>
          <xdr:colOff>0</xdr:colOff>
          <xdr:row>6</xdr:row>
          <xdr:rowOff>0</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6</xdr:col>
          <xdr:colOff>746760</xdr:colOff>
          <xdr:row>6</xdr:row>
          <xdr:rowOff>0</xdr:rowOff>
        </xdr:to>
        <xdr:sp macro="" textlink="">
          <xdr:nvSpPr>
            <xdr:cNvPr id="1223" name="Group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739140</xdr:colOff>
          <xdr:row>5</xdr:row>
          <xdr:rowOff>0</xdr:rowOff>
        </xdr:from>
        <xdr:to>
          <xdr:col>8</xdr:col>
          <xdr:colOff>0</xdr:colOff>
          <xdr:row>6</xdr:row>
          <xdr:rowOff>0</xdr:rowOff>
        </xdr:to>
        <xdr:sp macro="" textlink="">
          <xdr:nvSpPr>
            <xdr:cNvPr id="1277" name="Group Box 253" hidden="1">
              <a:extLst>
                <a:ext uri="{63B3BB69-23CF-44E3-9099-C40C66FF867C}">
                  <a14:compatExt spid="_x0000_s1277"/>
                </a:ext>
                <a:ext uri="{FF2B5EF4-FFF2-40B4-BE49-F238E27FC236}">
                  <a16:creationId xmlns:a16="http://schemas.microsoft.com/office/drawing/2014/main" id="{00000000-0008-0000-0200-0000F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85726</xdr:colOff>
          <xdr:row>5</xdr:row>
          <xdr:rowOff>76199</xdr:rowOff>
        </xdr:from>
        <xdr:to>
          <xdr:col>8</xdr:col>
          <xdr:colOff>677332</xdr:colOff>
          <xdr:row>5</xdr:row>
          <xdr:rowOff>1098861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5259706" y="1085849"/>
              <a:ext cx="587796" cy="1020757"/>
              <a:chOff x="1733545" y="1558362"/>
              <a:chExt cx="542351" cy="1041777"/>
            </a:xfrm>
          </xdr:grpSpPr>
          <xdr:sp macro="" textlink="">
            <xdr:nvSpPr>
              <xdr:cNvPr id="1282" name="Option Button 258" descr="None" hidden="1">
                <a:extLst>
                  <a:ext uri="{63B3BB69-23CF-44E3-9099-C40C66FF867C}">
                    <a14:compatExt spid="_x0000_s1282"/>
                  </a:ext>
                  <a:ext uri="{FF2B5EF4-FFF2-40B4-BE49-F238E27FC236}">
                    <a16:creationId xmlns:a16="http://schemas.microsoft.com/office/drawing/2014/main" id="{00000000-0008-0000-0200-000002050000}"/>
                  </a:ext>
                </a:extLst>
              </xdr:cNvPr>
              <xdr:cNvSpPr/>
            </xdr:nvSpPr>
            <xdr:spPr bwMode="auto">
              <a:xfrm>
                <a:off x="1733552" y="1558362"/>
                <a:ext cx="541381" cy="234382"/>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283" name="Option Button 259" descr="3 Head" hidden="1">
                <a:extLst>
                  <a:ext uri="{63B3BB69-23CF-44E3-9099-C40C66FF867C}">
                    <a14:compatExt spid="_x0000_s1283"/>
                  </a:ext>
                  <a:ext uri="{FF2B5EF4-FFF2-40B4-BE49-F238E27FC236}">
                    <a16:creationId xmlns:a16="http://schemas.microsoft.com/office/drawing/2014/main" id="{00000000-0008-0000-0200-000003050000}"/>
                  </a:ext>
                </a:extLst>
              </xdr:cNvPr>
              <xdr:cNvSpPr/>
            </xdr:nvSpPr>
            <xdr:spPr bwMode="auto">
              <a:xfrm>
                <a:off x="1733545" y="1750909"/>
                <a:ext cx="541385" cy="234382"/>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284" name="Option Button 260" descr="4 Head" hidden="1">
                <a:extLst>
                  <a:ext uri="{63B3BB69-23CF-44E3-9099-C40C66FF867C}">
                    <a14:compatExt spid="_x0000_s1284"/>
                  </a:ext>
                  <a:ext uri="{FF2B5EF4-FFF2-40B4-BE49-F238E27FC236}">
                    <a16:creationId xmlns:a16="http://schemas.microsoft.com/office/drawing/2014/main" id="{00000000-0008-0000-0200-000004050000}"/>
                  </a:ext>
                </a:extLst>
              </xdr:cNvPr>
              <xdr:cNvSpPr/>
            </xdr:nvSpPr>
            <xdr:spPr bwMode="auto">
              <a:xfrm>
                <a:off x="1733550" y="1952624"/>
                <a:ext cx="541382" cy="234382"/>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285" name="Option Button 261" descr="5 Head" hidden="1">
                <a:extLst>
                  <a:ext uri="{63B3BB69-23CF-44E3-9099-C40C66FF867C}">
                    <a14:compatExt spid="_x0000_s1285"/>
                  </a:ext>
                  <a:ext uri="{FF2B5EF4-FFF2-40B4-BE49-F238E27FC236}">
                    <a16:creationId xmlns:a16="http://schemas.microsoft.com/office/drawing/2014/main" id="{00000000-0008-0000-0200-000005050000}"/>
                  </a:ext>
                </a:extLst>
              </xdr:cNvPr>
              <xdr:cNvSpPr/>
            </xdr:nvSpPr>
            <xdr:spPr bwMode="auto">
              <a:xfrm>
                <a:off x="1734394" y="2154342"/>
                <a:ext cx="541382" cy="234382"/>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286" name="Option Button 262" descr="Dog House" hidden="1">
                <a:extLst>
                  <a:ext uri="{63B3BB69-23CF-44E3-9099-C40C66FF867C}">
                    <a14:compatExt spid="_x0000_s1286"/>
                  </a:ext>
                  <a:ext uri="{FF2B5EF4-FFF2-40B4-BE49-F238E27FC236}">
                    <a16:creationId xmlns:a16="http://schemas.microsoft.com/office/drawing/2014/main" id="{00000000-0008-0000-0200-000006050000}"/>
                  </a:ext>
                </a:extLst>
              </xdr:cNvPr>
              <xdr:cNvSpPr/>
            </xdr:nvSpPr>
            <xdr:spPr bwMode="auto">
              <a:xfrm>
                <a:off x="1734879" y="2354017"/>
                <a:ext cx="541017" cy="246122"/>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746760</xdr:colOff>
          <xdr:row>5</xdr:row>
          <xdr:rowOff>0</xdr:rowOff>
        </xdr:from>
        <xdr:to>
          <xdr:col>10</xdr:col>
          <xdr:colOff>22860</xdr:colOff>
          <xdr:row>6</xdr:row>
          <xdr:rowOff>0</xdr:rowOff>
        </xdr:to>
        <xdr:sp macro="" textlink="">
          <xdr:nvSpPr>
            <xdr:cNvPr id="1289" name="Group Box 265" hidden="1">
              <a:extLst>
                <a:ext uri="{63B3BB69-23CF-44E3-9099-C40C66FF867C}">
                  <a14:compatExt spid="_x0000_s1289"/>
                </a:ext>
                <a:ext uri="{FF2B5EF4-FFF2-40B4-BE49-F238E27FC236}">
                  <a16:creationId xmlns:a16="http://schemas.microsoft.com/office/drawing/2014/main" id="{00000000-0008-0000-0200-00000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85726</xdr:colOff>
          <xdr:row>5</xdr:row>
          <xdr:rowOff>67601</xdr:rowOff>
        </xdr:from>
        <xdr:to>
          <xdr:col>9</xdr:col>
          <xdr:colOff>667809</xdr:colOff>
          <xdr:row>5</xdr:row>
          <xdr:rowOff>1088012</xdr:rowOff>
        </xdr:to>
        <xdr:grpSp>
          <xdr:nvGrpSpPr>
            <xdr:cNvPr id="60" name="Group 59">
              <a:extLst>
                <a:ext uri="{FF2B5EF4-FFF2-40B4-BE49-F238E27FC236}">
                  <a16:creationId xmlns:a16="http://schemas.microsoft.com/office/drawing/2014/main" id="{00000000-0008-0000-0200-00003C000000}"/>
                </a:ext>
              </a:extLst>
            </xdr:cNvPr>
            <xdr:cNvGrpSpPr/>
          </xdr:nvGrpSpPr>
          <xdr:grpSpPr>
            <a:xfrm>
              <a:off x="6012181" y="1075346"/>
              <a:ext cx="576368" cy="1018506"/>
              <a:chOff x="1733546" y="1568689"/>
              <a:chExt cx="533619" cy="1007984"/>
            </a:xfrm>
          </xdr:grpSpPr>
          <xdr:sp macro="" textlink="">
            <xdr:nvSpPr>
              <xdr:cNvPr id="1290" name="Option Button 266" descr="None" hidden="1">
                <a:extLst>
                  <a:ext uri="{63B3BB69-23CF-44E3-9099-C40C66FF867C}">
                    <a14:compatExt spid="_x0000_s1290"/>
                  </a:ext>
                  <a:ext uri="{FF2B5EF4-FFF2-40B4-BE49-F238E27FC236}">
                    <a16:creationId xmlns:a16="http://schemas.microsoft.com/office/drawing/2014/main" id="{00000000-0008-0000-0200-00000A050000}"/>
                  </a:ext>
                </a:extLst>
              </xdr:cNvPr>
              <xdr:cNvSpPr/>
            </xdr:nvSpPr>
            <xdr:spPr bwMode="auto">
              <a:xfrm>
                <a:off x="1733553" y="1568689"/>
                <a:ext cx="532643" cy="201718"/>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291" name="Option Button 267" descr="3 Head" hidden="1">
                <a:extLst>
                  <a:ext uri="{63B3BB69-23CF-44E3-9099-C40C66FF867C}">
                    <a14:compatExt spid="_x0000_s1291"/>
                  </a:ext>
                  <a:ext uri="{FF2B5EF4-FFF2-40B4-BE49-F238E27FC236}">
                    <a16:creationId xmlns:a16="http://schemas.microsoft.com/office/drawing/2014/main" id="{00000000-0008-0000-0200-00000B050000}"/>
                  </a:ext>
                </a:extLst>
              </xdr:cNvPr>
              <xdr:cNvSpPr/>
            </xdr:nvSpPr>
            <xdr:spPr bwMode="auto">
              <a:xfrm>
                <a:off x="1733546" y="1761232"/>
                <a:ext cx="532645" cy="20171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292" name="Option Button 268" descr="4 Head" hidden="1">
                <a:extLst>
                  <a:ext uri="{63B3BB69-23CF-44E3-9099-C40C66FF867C}">
                    <a14:compatExt spid="_x0000_s1292"/>
                  </a:ext>
                  <a:ext uri="{FF2B5EF4-FFF2-40B4-BE49-F238E27FC236}">
                    <a16:creationId xmlns:a16="http://schemas.microsoft.com/office/drawing/2014/main" id="{00000000-0008-0000-0200-00000C050000}"/>
                  </a:ext>
                </a:extLst>
              </xdr:cNvPr>
              <xdr:cNvSpPr/>
            </xdr:nvSpPr>
            <xdr:spPr bwMode="auto">
              <a:xfrm>
                <a:off x="1733553" y="1962948"/>
                <a:ext cx="532643" cy="20171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293" name="Option Button 269" descr="5 Head" hidden="1">
                <a:extLst>
                  <a:ext uri="{63B3BB69-23CF-44E3-9099-C40C66FF867C}">
                    <a14:compatExt spid="_x0000_s1293"/>
                  </a:ext>
                  <a:ext uri="{FF2B5EF4-FFF2-40B4-BE49-F238E27FC236}">
                    <a16:creationId xmlns:a16="http://schemas.microsoft.com/office/drawing/2014/main" id="{00000000-0008-0000-0200-00000D050000}"/>
                  </a:ext>
                </a:extLst>
              </xdr:cNvPr>
              <xdr:cNvSpPr/>
            </xdr:nvSpPr>
            <xdr:spPr bwMode="auto">
              <a:xfrm>
                <a:off x="1734397" y="2164664"/>
                <a:ext cx="532643" cy="20171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294" name="Option Button 270" descr="Dog House" hidden="1">
                <a:extLst>
                  <a:ext uri="{63B3BB69-23CF-44E3-9099-C40C66FF867C}">
                    <a14:compatExt spid="_x0000_s1294"/>
                  </a:ext>
                  <a:ext uri="{FF2B5EF4-FFF2-40B4-BE49-F238E27FC236}">
                    <a16:creationId xmlns:a16="http://schemas.microsoft.com/office/drawing/2014/main" id="{00000000-0008-0000-0200-00000E050000}"/>
                  </a:ext>
                </a:extLst>
              </xdr:cNvPr>
              <xdr:cNvSpPr/>
            </xdr:nvSpPr>
            <xdr:spPr bwMode="auto">
              <a:xfrm>
                <a:off x="1734878" y="2364850"/>
                <a:ext cx="532287" cy="211823"/>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5</xdr:row>
          <xdr:rowOff>0</xdr:rowOff>
        </xdr:from>
        <xdr:to>
          <xdr:col>11</xdr:col>
          <xdr:colOff>0</xdr:colOff>
          <xdr:row>6</xdr:row>
          <xdr:rowOff>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2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85726</xdr:colOff>
          <xdr:row>5</xdr:row>
          <xdr:rowOff>76200</xdr:rowOff>
        </xdr:from>
        <xdr:to>
          <xdr:col>10</xdr:col>
          <xdr:colOff>648774</xdr:colOff>
          <xdr:row>5</xdr:row>
          <xdr:rowOff>1104900</xdr:rowOff>
        </xdr:to>
        <xdr:grpSp>
          <xdr:nvGrpSpPr>
            <xdr:cNvPr id="68" name="Group 67">
              <a:extLst>
                <a:ext uri="{FF2B5EF4-FFF2-40B4-BE49-F238E27FC236}">
                  <a16:creationId xmlns:a16="http://schemas.microsoft.com/office/drawing/2014/main" id="{00000000-0008-0000-0200-000044000000}"/>
                </a:ext>
              </a:extLst>
            </xdr:cNvPr>
            <xdr:cNvGrpSpPr/>
          </xdr:nvGrpSpPr>
          <xdr:grpSpPr>
            <a:xfrm>
              <a:off x="6764656" y="1085850"/>
              <a:ext cx="561143" cy="1028700"/>
              <a:chOff x="1733546" y="1558359"/>
              <a:chExt cx="516170" cy="1045703"/>
            </a:xfrm>
          </xdr:grpSpPr>
          <xdr:sp macro="" textlink="">
            <xdr:nvSpPr>
              <xdr:cNvPr id="1297" name="Option Button 273" descr="None" hidden="1">
                <a:extLst>
                  <a:ext uri="{63B3BB69-23CF-44E3-9099-C40C66FF867C}">
                    <a14:compatExt spid="_x0000_s1297"/>
                  </a:ext>
                  <a:ext uri="{FF2B5EF4-FFF2-40B4-BE49-F238E27FC236}">
                    <a16:creationId xmlns:a16="http://schemas.microsoft.com/office/drawing/2014/main" id="{00000000-0008-0000-0200-000011050000}"/>
                  </a:ext>
                </a:extLst>
              </xdr:cNvPr>
              <xdr:cNvSpPr/>
            </xdr:nvSpPr>
            <xdr:spPr bwMode="auto">
              <a:xfrm>
                <a:off x="1733552" y="1558359"/>
                <a:ext cx="515184" cy="23812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298" name="Option Button 274" descr="3 Head" hidden="1">
                <a:extLst>
                  <a:ext uri="{63B3BB69-23CF-44E3-9099-C40C66FF867C}">
                    <a14:compatExt spid="_x0000_s1298"/>
                  </a:ext>
                  <a:ext uri="{FF2B5EF4-FFF2-40B4-BE49-F238E27FC236}">
                    <a16:creationId xmlns:a16="http://schemas.microsoft.com/office/drawing/2014/main" id="{00000000-0008-0000-0200-000012050000}"/>
                  </a:ext>
                </a:extLst>
              </xdr:cNvPr>
              <xdr:cNvSpPr/>
            </xdr:nvSpPr>
            <xdr:spPr bwMode="auto">
              <a:xfrm>
                <a:off x="1733546" y="1750909"/>
                <a:ext cx="515184"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299" name="Option Button 275" descr="4 Head" hidden="1">
                <a:extLst>
                  <a:ext uri="{63B3BB69-23CF-44E3-9099-C40C66FF867C}">
                    <a14:compatExt spid="_x0000_s1299"/>
                  </a:ext>
                  <a:ext uri="{FF2B5EF4-FFF2-40B4-BE49-F238E27FC236}">
                    <a16:creationId xmlns:a16="http://schemas.microsoft.com/office/drawing/2014/main" id="{00000000-0008-0000-0200-000013050000}"/>
                  </a:ext>
                </a:extLst>
              </xdr:cNvPr>
              <xdr:cNvSpPr/>
            </xdr:nvSpPr>
            <xdr:spPr bwMode="auto">
              <a:xfrm>
                <a:off x="1733551" y="1952625"/>
                <a:ext cx="515182"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300" name="Option Button 276" descr="5 Head" hidden="1">
                <a:extLst>
                  <a:ext uri="{63B3BB69-23CF-44E3-9099-C40C66FF867C}">
                    <a14:compatExt spid="_x0000_s1300"/>
                  </a:ext>
                  <a:ext uri="{FF2B5EF4-FFF2-40B4-BE49-F238E27FC236}">
                    <a16:creationId xmlns:a16="http://schemas.microsoft.com/office/drawing/2014/main" id="{00000000-0008-0000-0200-000014050000}"/>
                  </a:ext>
                </a:extLst>
              </xdr:cNvPr>
              <xdr:cNvSpPr/>
            </xdr:nvSpPr>
            <xdr:spPr bwMode="auto">
              <a:xfrm>
                <a:off x="1734395" y="2154342"/>
                <a:ext cx="515182" cy="238125"/>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301" name="Option Button 277" descr="Dog House" hidden="1">
                <a:extLst>
                  <a:ext uri="{63B3BB69-23CF-44E3-9099-C40C66FF867C}">
                    <a14:compatExt spid="_x0000_s1301"/>
                  </a:ext>
                  <a:ext uri="{FF2B5EF4-FFF2-40B4-BE49-F238E27FC236}">
                    <a16:creationId xmlns:a16="http://schemas.microsoft.com/office/drawing/2014/main" id="{00000000-0008-0000-0200-000015050000}"/>
                  </a:ext>
                </a:extLst>
              </xdr:cNvPr>
              <xdr:cNvSpPr/>
            </xdr:nvSpPr>
            <xdr:spPr bwMode="auto">
              <a:xfrm>
                <a:off x="1734879" y="2354009"/>
                <a:ext cx="514837" cy="250053"/>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746760</xdr:colOff>
          <xdr:row>5</xdr:row>
          <xdr:rowOff>0</xdr:rowOff>
        </xdr:from>
        <xdr:to>
          <xdr:col>12</xdr:col>
          <xdr:colOff>0</xdr:colOff>
          <xdr:row>6</xdr:row>
          <xdr:rowOff>0</xdr:rowOff>
        </xdr:to>
        <xdr:sp macro="" textlink="">
          <xdr:nvSpPr>
            <xdr:cNvPr id="1303" name="Group Box 279" hidden="1">
              <a:extLst>
                <a:ext uri="{63B3BB69-23CF-44E3-9099-C40C66FF867C}">
                  <a14:compatExt spid="_x0000_s1303"/>
                </a:ext>
                <a:ext uri="{FF2B5EF4-FFF2-40B4-BE49-F238E27FC236}">
                  <a16:creationId xmlns:a16="http://schemas.microsoft.com/office/drawing/2014/main" id="{00000000-0008-0000-0200-00001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91444</xdr:colOff>
          <xdr:row>5</xdr:row>
          <xdr:rowOff>91440</xdr:rowOff>
        </xdr:from>
        <xdr:to>
          <xdr:col>11</xdr:col>
          <xdr:colOff>648788</xdr:colOff>
          <xdr:row>5</xdr:row>
          <xdr:rowOff>1083945</xdr:rowOff>
        </xdr:to>
        <xdr:grpSp>
          <xdr:nvGrpSpPr>
            <xdr:cNvPr id="76" name="Group 75">
              <a:extLst>
                <a:ext uri="{FF2B5EF4-FFF2-40B4-BE49-F238E27FC236}">
                  <a16:creationId xmlns:a16="http://schemas.microsoft.com/office/drawing/2014/main" id="{00000000-0008-0000-0200-00004C000000}"/>
                </a:ext>
              </a:extLst>
            </xdr:cNvPr>
            <xdr:cNvGrpSpPr/>
          </xdr:nvGrpSpPr>
          <xdr:grpSpPr>
            <a:xfrm>
              <a:off x="7524754" y="1104900"/>
              <a:ext cx="553534" cy="992505"/>
              <a:chOff x="1730049" y="1558358"/>
              <a:chExt cx="510942" cy="1087473"/>
            </a:xfrm>
          </xdr:grpSpPr>
          <xdr:sp macro="" textlink="">
            <xdr:nvSpPr>
              <xdr:cNvPr id="1304" name="Option Button 280" descr="None" hidden="1">
                <a:extLst>
                  <a:ext uri="{63B3BB69-23CF-44E3-9099-C40C66FF867C}">
                    <a14:compatExt spid="_x0000_s1304"/>
                  </a:ext>
                  <a:ext uri="{FF2B5EF4-FFF2-40B4-BE49-F238E27FC236}">
                    <a16:creationId xmlns:a16="http://schemas.microsoft.com/office/drawing/2014/main" id="{00000000-0008-0000-0200-000018050000}"/>
                  </a:ext>
                </a:extLst>
              </xdr:cNvPr>
              <xdr:cNvSpPr/>
            </xdr:nvSpPr>
            <xdr:spPr bwMode="auto">
              <a:xfrm>
                <a:off x="1733552" y="1558358"/>
                <a:ext cx="506454" cy="277903"/>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305" name="Option Button 281" descr="3 Head" hidden="1">
                <a:extLst>
                  <a:ext uri="{63B3BB69-23CF-44E3-9099-C40C66FF867C}">
                    <a14:compatExt spid="_x0000_s1305"/>
                  </a:ext>
                  <a:ext uri="{FF2B5EF4-FFF2-40B4-BE49-F238E27FC236}">
                    <a16:creationId xmlns:a16="http://schemas.microsoft.com/office/drawing/2014/main" id="{00000000-0008-0000-0200-000019050000}"/>
                  </a:ext>
                </a:extLst>
              </xdr:cNvPr>
              <xdr:cNvSpPr/>
            </xdr:nvSpPr>
            <xdr:spPr bwMode="auto">
              <a:xfrm>
                <a:off x="1730049" y="1787960"/>
                <a:ext cx="509952" cy="24029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306" name="Option Button 282" descr="4 Head" hidden="1">
                <a:extLst>
                  <a:ext uri="{63B3BB69-23CF-44E3-9099-C40C66FF867C}">
                    <a14:compatExt spid="_x0000_s1306"/>
                  </a:ext>
                  <a:ext uri="{FF2B5EF4-FFF2-40B4-BE49-F238E27FC236}">
                    <a16:creationId xmlns:a16="http://schemas.microsoft.com/office/drawing/2014/main" id="{00000000-0008-0000-0200-00001A050000}"/>
                  </a:ext>
                </a:extLst>
              </xdr:cNvPr>
              <xdr:cNvSpPr/>
            </xdr:nvSpPr>
            <xdr:spPr bwMode="auto">
              <a:xfrm>
                <a:off x="1737019" y="1990425"/>
                <a:ext cx="502992" cy="244278"/>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307" name="Option Button 283" descr="5 Head" hidden="1">
                <a:extLst>
                  <a:ext uri="{63B3BB69-23CF-44E3-9099-C40C66FF867C}">
                    <a14:compatExt spid="_x0000_s1307"/>
                  </a:ext>
                  <a:ext uri="{FF2B5EF4-FFF2-40B4-BE49-F238E27FC236}">
                    <a16:creationId xmlns:a16="http://schemas.microsoft.com/office/drawing/2014/main" id="{00000000-0008-0000-0200-00001B050000}"/>
                  </a:ext>
                </a:extLst>
              </xdr:cNvPr>
              <xdr:cNvSpPr/>
            </xdr:nvSpPr>
            <xdr:spPr bwMode="auto">
              <a:xfrm>
                <a:off x="1730907" y="2183913"/>
                <a:ext cx="509940" cy="249182"/>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308" name="Option Button 284" descr="Dog House" hidden="1">
                <a:extLst>
                  <a:ext uri="{63B3BB69-23CF-44E3-9099-C40C66FF867C}">
                    <a14:compatExt spid="_x0000_s1308"/>
                  </a:ext>
                  <a:ext uri="{FF2B5EF4-FFF2-40B4-BE49-F238E27FC236}">
                    <a16:creationId xmlns:a16="http://schemas.microsoft.com/office/drawing/2014/main" id="{00000000-0008-0000-0200-00001C050000}"/>
                  </a:ext>
                </a:extLst>
              </xdr:cNvPr>
              <xdr:cNvSpPr/>
            </xdr:nvSpPr>
            <xdr:spPr bwMode="auto">
              <a:xfrm>
                <a:off x="1734877" y="2390440"/>
                <a:ext cx="506114" cy="255391"/>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66676</xdr:colOff>
          <xdr:row>5</xdr:row>
          <xdr:rowOff>95250</xdr:rowOff>
        </xdr:from>
        <xdr:to>
          <xdr:col>12</xdr:col>
          <xdr:colOff>658284</xdr:colOff>
          <xdr:row>5</xdr:row>
          <xdr:rowOff>1095375</xdr:rowOff>
        </xdr:to>
        <xdr:grpSp>
          <xdr:nvGrpSpPr>
            <xdr:cNvPr id="83" name="Group 82">
              <a:extLst>
                <a:ext uri="{FF2B5EF4-FFF2-40B4-BE49-F238E27FC236}">
                  <a16:creationId xmlns:a16="http://schemas.microsoft.com/office/drawing/2014/main" id="{00000000-0008-0000-0200-000053000000}"/>
                </a:ext>
              </a:extLst>
            </xdr:cNvPr>
            <xdr:cNvGrpSpPr/>
          </xdr:nvGrpSpPr>
          <xdr:grpSpPr>
            <a:xfrm>
              <a:off x="8246746" y="1101090"/>
              <a:ext cx="595418" cy="1002030"/>
              <a:chOff x="1733545" y="1760324"/>
              <a:chExt cx="542353" cy="1092118"/>
            </a:xfrm>
          </xdr:grpSpPr>
          <xdr:sp macro="" textlink="">
            <xdr:nvSpPr>
              <xdr:cNvPr id="1311" name="Option Button 287" descr="3 Head" hidden="1">
                <a:extLst>
                  <a:ext uri="{63B3BB69-23CF-44E3-9099-C40C66FF867C}">
                    <a14:compatExt spid="_x0000_s1311"/>
                  </a:ext>
                  <a:ext uri="{FF2B5EF4-FFF2-40B4-BE49-F238E27FC236}">
                    <a16:creationId xmlns:a16="http://schemas.microsoft.com/office/drawing/2014/main" id="{00000000-0008-0000-0200-00001F050000}"/>
                  </a:ext>
                </a:extLst>
              </xdr:cNvPr>
              <xdr:cNvSpPr/>
            </xdr:nvSpPr>
            <xdr:spPr bwMode="auto">
              <a:xfrm>
                <a:off x="1733545" y="1760324"/>
                <a:ext cx="541382" cy="268493"/>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312" name="Option Button 288" descr="4 Head" hidden="1">
                <a:extLst>
                  <a:ext uri="{63B3BB69-23CF-44E3-9099-C40C66FF867C}">
                    <a14:compatExt spid="_x0000_s1312"/>
                  </a:ext>
                  <a:ext uri="{FF2B5EF4-FFF2-40B4-BE49-F238E27FC236}">
                    <a16:creationId xmlns:a16="http://schemas.microsoft.com/office/drawing/2014/main" id="{00000000-0008-0000-0200-000020050000}"/>
                  </a:ext>
                </a:extLst>
              </xdr:cNvPr>
              <xdr:cNvSpPr/>
            </xdr:nvSpPr>
            <xdr:spPr bwMode="auto">
              <a:xfrm>
                <a:off x="1733550" y="1962034"/>
                <a:ext cx="541382" cy="268494"/>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313" name="Option Button 289" descr="5 Head" hidden="1">
                <a:extLst>
                  <a:ext uri="{63B3BB69-23CF-44E3-9099-C40C66FF867C}">
                    <a14:compatExt spid="_x0000_s1313"/>
                  </a:ext>
                  <a:ext uri="{FF2B5EF4-FFF2-40B4-BE49-F238E27FC236}">
                    <a16:creationId xmlns:a16="http://schemas.microsoft.com/office/drawing/2014/main" id="{00000000-0008-0000-0200-000021050000}"/>
                  </a:ext>
                </a:extLst>
              </xdr:cNvPr>
              <xdr:cNvSpPr/>
            </xdr:nvSpPr>
            <xdr:spPr bwMode="auto">
              <a:xfrm>
                <a:off x="1734394" y="2163753"/>
                <a:ext cx="541382" cy="268494"/>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314" name="Option Button 290" descr="Dog House" hidden="1">
                <a:extLst>
                  <a:ext uri="{63B3BB69-23CF-44E3-9099-C40C66FF867C}">
                    <a14:compatExt spid="_x0000_s1314"/>
                  </a:ext>
                  <a:ext uri="{FF2B5EF4-FFF2-40B4-BE49-F238E27FC236}">
                    <a16:creationId xmlns:a16="http://schemas.microsoft.com/office/drawing/2014/main" id="{00000000-0008-0000-0200-000022050000}"/>
                  </a:ext>
                </a:extLst>
              </xdr:cNvPr>
              <xdr:cNvSpPr/>
            </xdr:nvSpPr>
            <xdr:spPr bwMode="auto">
              <a:xfrm>
                <a:off x="1734880" y="2363418"/>
                <a:ext cx="541018" cy="281942"/>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310" name="Option Button 286" descr="None" hidden="1">
                <a:extLst>
                  <a:ext uri="{63B3BB69-23CF-44E3-9099-C40C66FF867C}">
                    <a14:compatExt spid="_x0000_s1310"/>
                  </a:ext>
                  <a:ext uri="{FF2B5EF4-FFF2-40B4-BE49-F238E27FC236}">
                    <a16:creationId xmlns:a16="http://schemas.microsoft.com/office/drawing/2014/main" id="{00000000-0008-0000-0200-00001E050000}"/>
                  </a:ext>
                </a:extLst>
              </xdr:cNvPr>
              <xdr:cNvSpPr/>
            </xdr:nvSpPr>
            <xdr:spPr bwMode="auto">
              <a:xfrm>
                <a:off x="1733552" y="2583947"/>
                <a:ext cx="541382" cy="26849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xdr:row>
          <xdr:rowOff>0</xdr:rowOff>
        </xdr:from>
        <xdr:to>
          <xdr:col>14</xdr:col>
          <xdr:colOff>22860</xdr:colOff>
          <xdr:row>5</xdr:row>
          <xdr:rowOff>1211580</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2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95252</xdr:colOff>
          <xdr:row>5</xdr:row>
          <xdr:rowOff>76200</xdr:rowOff>
        </xdr:from>
        <xdr:to>
          <xdr:col>13</xdr:col>
          <xdr:colOff>658306</xdr:colOff>
          <xdr:row>5</xdr:row>
          <xdr:rowOff>1106218</xdr:rowOff>
        </xdr:to>
        <xdr:grpSp>
          <xdr:nvGrpSpPr>
            <xdr:cNvPr id="91" name="Group 90">
              <a:extLst>
                <a:ext uri="{FF2B5EF4-FFF2-40B4-BE49-F238E27FC236}">
                  <a16:creationId xmlns:a16="http://schemas.microsoft.com/office/drawing/2014/main" id="{00000000-0008-0000-0200-00005B000000}"/>
                </a:ext>
              </a:extLst>
            </xdr:cNvPr>
            <xdr:cNvGrpSpPr/>
          </xdr:nvGrpSpPr>
          <xdr:grpSpPr>
            <a:xfrm>
              <a:off x="9025892" y="1085850"/>
              <a:ext cx="568769" cy="1030018"/>
              <a:chOff x="1733546" y="1558368"/>
              <a:chExt cx="516181" cy="1045695"/>
            </a:xfrm>
          </xdr:grpSpPr>
          <xdr:sp macro="" textlink="">
            <xdr:nvSpPr>
              <xdr:cNvPr id="1317" name="Option Button 293" descr="None" hidden="1">
                <a:extLst>
                  <a:ext uri="{63B3BB69-23CF-44E3-9099-C40C66FF867C}">
                    <a14:compatExt spid="_x0000_s1317"/>
                  </a:ext>
                  <a:ext uri="{FF2B5EF4-FFF2-40B4-BE49-F238E27FC236}">
                    <a16:creationId xmlns:a16="http://schemas.microsoft.com/office/drawing/2014/main" id="{00000000-0008-0000-0200-000025050000}"/>
                  </a:ext>
                </a:extLst>
              </xdr:cNvPr>
              <xdr:cNvSpPr/>
            </xdr:nvSpPr>
            <xdr:spPr bwMode="auto">
              <a:xfrm>
                <a:off x="1733552" y="1558368"/>
                <a:ext cx="515186" cy="238126"/>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None</a:t>
                </a:r>
              </a:p>
            </xdr:txBody>
          </xdr:sp>
          <xdr:sp macro="" textlink="">
            <xdr:nvSpPr>
              <xdr:cNvPr id="1318" name="Option Button 294" descr="3 Head" hidden="1">
                <a:extLst>
                  <a:ext uri="{63B3BB69-23CF-44E3-9099-C40C66FF867C}">
                    <a14:compatExt spid="_x0000_s1318"/>
                  </a:ext>
                  <a:ext uri="{FF2B5EF4-FFF2-40B4-BE49-F238E27FC236}">
                    <a16:creationId xmlns:a16="http://schemas.microsoft.com/office/drawing/2014/main" id="{00000000-0008-0000-0200-000026050000}"/>
                  </a:ext>
                </a:extLst>
              </xdr:cNvPr>
              <xdr:cNvSpPr/>
            </xdr:nvSpPr>
            <xdr:spPr bwMode="auto">
              <a:xfrm>
                <a:off x="1733546" y="1750909"/>
                <a:ext cx="515190" cy="238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Head</a:t>
                </a:r>
              </a:p>
            </xdr:txBody>
          </xdr:sp>
          <xdr:sp macro="" textlink="">
            <xdr:nvSpPr>
              <xdr:cNvPr id="1319" name="Option Button 295" descr="4 Head" hidden="1">
                <a:extLst>
                  <a:ext uri="{63B3BB69-23CF-44E3-9099-C40C66FF867C}">
                    <a14:compatExt spid="_x0000_s1319"/>
                  </a:ext>
                  <a:ext uri="{FF2B5EF4-FFF2-40B4-BE49-F238E27FC236}">
                    <a16:creationId xmlns:a16="http://schemas.microsoft.com/office/drawing/2014/main" id="{00000000-0008-0000-0200-000027050000}"/>
                  </a:ext>
                </a:extLst>
              </xdr:cNvPr>
              <xdr:cNvSpPr/>
            </xdr:nvSpPr>
            <xdr:spPr bwMode="auto">
              <a:xfrm>
                <a:off x="1733551" y="1952625"/>
                <a:ext cx="515186" cy="238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Head</a:t>
                </a:r>
              </a:p>
            </xdr:txBody>
          </xdr:sp>
          <xdr:sp macro="" textlink="">
            <xdr:nvSpPr>
              <xdr:cNvPr id="1320" name="Option Button 296" descr="5 Head" hidden="1">
                <a:extLst>
                  <a:ext uri="{63B3BB69-23CF-44E3-9099-C40C66FF867C}">
                    <a14:compatExt spid="_x0000_s1320"/>
                  </a:ext>
                  <a:ext uri="{FF2B5EF4-FFF2-40B4-BE49-F238E27FC236}">
                    <a16:creationId xmlns:a16="http://schemas.microsoft.com/office/drawing/2014/main" id="{00000000-0008-0000-0200-000028050000}"/>
                  </a:ext>
                </a:extLst>
              </xdr:cNvPr>
              <xdr:cNvSpPr/>
            </xdr:nvSpPr>
            <xdr:spPr bwMode="auto">
              <a:xfrm>
                <a:off x="1734395" y="2154342"/>
                <a:ext cx="515186" cy="238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Head</a:t>
                </a:r>
              </a:p>
            </xdr:txBody>
          </xdr:sp>
          <xdr:sp macro="" textlink="">
            <xdr:nvSpPr>
              <xdr:cNvPr id="1321" name="Option Button 297" descr="Dog House" hidden="1">
                <a:extLst>
                  <a:ext uri="{63B3BB69-23CF-44E3-9099-C40C66FF867C}">
                    <a14:compatExt spid="_x0000_s1321"/>
                  </a:ext>
                  <a:ext uri="{FF2B5EF4-FFF2-40B4-BE49-F238E27FC236}">
                    <a16:creationId xmlns:a16="http://schemas.microsoft.com/office/drawing/2014/main" id="{00000000-0008-0000-0200-000029050000}"/>
                  </a:ext>
                </a:extLst>
              </xdr:cNvPr>
              <xdr:cNvSpPr/>
            </xdr:nvSpPr>
            <xdr:spPr bwMode="auto">
              <a:xfrm>
                <a:off x="1734885" y="2354010"/>
                <a:ext cx="514842" cy="250053"/>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Sign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5</xdr:row>
          <xdr:rowOff>68580</xdr:rowOff>
        </xdr:from>
        <xdr:to>
          <xdr:col>3</xdr:col>
          <xdr:colOff>632460</xdr:colOff>
          <xdr:row>5</xdr:row>
          <xdr:rowOff>1203960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2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Arm 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182880</xdr:rowOff>
        </xdr:from>
        <xdr:to>
          <xdr:col>3</xdr:col>
          <xdr:colOff>556260</xdr:colOff>
          <xdr:row>5</xdr:row>
          <xdr:rowOff>1120140</xdr:rowOff>
        </xdr:to>
        <xdr:sp macro="" textlink="">
          <xdr:nvSpPr>
            <xdr:cNvPr id="1325" name="List Box 301" hidden="1">
              <a:extLst>
                <a:ext uri="{63B3BB69-23CF-44E3-9099-C40C66FF867C}">
                  <a14:compatExt spid="_x0000_s1325"/>
                </a:ext>
                <a:ext uri="{FF2B5EF4-FFF2-40B4-BE49-F238E27FC236}">
                  <a16:creationId xmlns:a16="http://schemas.microsoft.com/office/drawing/2014/main" id="{00000000-0008-0000-02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xdr:row>
          <xdr:rowOff>0</xdr:rowOff>
        </xdr:from>
        <xdr:to>
          <xdr:col>13</xdr:col>
          <xdr:colOff>0</xdr:colOff>
          <xdr:row>6</xdr:row>
          <xdr:rowOff>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2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xdr:row>
          <xdr:rowOff>998220</xdr:rowOff>
        </xdr:from>
        <xdr:to>
          <xdr:col>2</xdr:col>
          <xdr:colOff>7620</xdr:colOff>
          <xdr:row>6</xdr:row>
          <xdr:rowOff>7620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6.0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xdr:row>
          <xdr:rowOff>144780</xdr:rowOff>
        </xdr:from>
        <xdr:to>
          <xdr:col>2</xdr:col>
          <xdr:colOff>7620</xdr:colOff>
          <xdr:row>7</xdr:row>
          <xdr:rowOff>106680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0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xdr:row>
          <xdr:rowOff>1211580</xdr:rowOff>
        </xdr:from>
        <xdr:to>
          <xdr:col>2</xdr:col>
          <xdr:colOff>7620</xdr:colOff>
          <xdr:row>6</xdr:row>
          <xdr:rowOff>160020</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200-00005405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2.5 in.</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927100</xdr:colOff>
      <xdr:row>0</xdr:row>
      <xdr:rowOff>270040</xdr:rowOff>
    </xdr:from>
    <xdr:to>
      <xdr:col>15</xdr:col>
      <xdr:colOff>1122328</xdr:colOff>
      <xdr:row>0</xdr:row>
      <xdr:rowOff>2815981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6680200" y="270040"/>
          <a:ext cx="10295538" cy="2545941"/>
        </a:xfrm>
        <a:prstGeom prst="rect">
          <a:avLst/>
        </a:prstGeom>
        <a:ln w="28575">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112394</xdr:colOff>
      <xdr:row>85</xdr:row>
      <xdr:rowOff>145732</xdr:rowOff>
    </xdr:from>
    <xdr:to>
      <xdr:col>16</xdr:col>
      <xdr:colOff>127634</xdr:colOff>
      <xdr:row>103</xdr:row>
      <xdr:rowOff>125730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tint="0.59999389629810485"/>
    <pageSetUpPr fitToPage="1"/>
  </sheetPr>
  <dimension ref="A1:G27"/>
  <sheetViews>
    <sheetView zoomScaleNormal="100" workbookViewId="0"/>
  </sheetViews>
  <sheetFormatPr defaultColWidth="9.109375" defaultRowHeight="14.4" x14ac:dyDescent="0.3"/>
  <cols>
    <col min="1" max="1" width="5.109375" style="9" customWidth="1"/>
    <col min="2" max="2" width="22.77734375" style="9" customWidth="1"/>
    <col min="3" max="3" width="25.77734375" style="9" customWidth="1"/>
    <col min="4" max="4" width="22.77734375" style="9" customWidth="1"/>
    <col min="5" max="5" width="23.77734375" style="9" customWidth="1"/>
    <col min="6" max="6" width="24.77734375" style="9" customWidth="1"/>
    <col min="7" max="7" width="6.6640625" style="9" customWidth="1"/>
    <col min="8" max="16384" width="9.109375" style="9"/>
  </cols>
  <sheetData>
    <row r="1" spans="1:7" ht="24.6" x14ac:dyDescent="0.3">
      <c r="A1" s="64" t="s">
        <v>43</v>
      </c>
      <c r="B1" s="65"/>
      <c r="C1" s="65"/>
      <c r="D1" s="65"/>
      <c r="E1" s="65"/>
      <c r="F1" s="65"/>
      <c r="G1" s="66"/>
    </row>
    <row r="2" spans="1:7" x14ac:dyDescent="0.3">
      <c r="A2" s="67"/>
      <c r="B2" s="68"/>
      <c r="C2" s="68"/>
      <c r="D2" s="68"/>
      <c r="E2" s="68"/>
      <c r="F2" s="68"/>
      <c r="G2" s="69"/>
    </row>
    <row r="3" spans="1:7" ht="17.399999999999999" x14ac:dyDescent="0.3">
      <c r="A3" s="70" t="s">
        <v>224</v>
      </c>
      <c r="B3" s="71"/>
      <c r="C3" s="84"/>
      <c r="D3" s="68"/>
      <c r="E3" s="68"/>
      <c r="F3" s="68"/>
      <c r="G3" s="69"/>
    </row>
    <row r="4" spans="1:7" ht="16.2" x14ac:dyDescent="0.3">
      <c r="A4" s="72" t="s">
        <v>231</v>
      </c>
      <c r="B4" s="73"/>
      <c r="C4" s="74"/>
      <c r="D4" s="68"/>
      <c r="E4" s="68"/>
      <c r="F4" s="68"/>
      <c r="G4" s="69"/>
    </row>
    <row r="5" spans="1:7" ht="15.6" x14ac:dyDescent="0.3">
      <c r="A5" s="76"/>
      <c r="B5" s="75" t="s">
        <v>267</v>
      </c>
      <c r="C5" s="68"/>
      <c r="D5" s="68"/>
      <c r="E5" s="68"/>
      <c r="F5" s="68"/>
      <c r="G5" s="69"/>
    </row>
    <row r="6" spans="1:7" ht="15.6" x14ac:dyDescent="0.3">
      <c r="A6" s="76"/>
      <c r="B6" s="75" t="s">
        <v>268</v>
      </c>
      <c r="C6" s="68"/>
      <c r="D6" s="68"/>
      <c r="E6" s="68"/>
      <c r="F6" s="68"/>
      <c r="G6" s="69"/>
    </row>
    <row r="7" spans="1:7" ht="15.6" x14ac:dyDescent="0.3">
      <c r="A7" s="76"/>
      <c r="B7" s="75" t="s">
        <v>269</v>
      </c>
      <c r="C7" s="68"/>
      <c r="D7" s="68"/>
      <c r="E7" s="68"/>
      <c r="F7" s="68"/>
      <c r="G7" s="69"/>
    </row>
    <row r="8" spans="1:7" ht="15.6" x14ac:dyDescent="0.3">
      <c r="A8" s="76"/>
      <c r="B8" s="75" t="s">
        <v>270</v>
      </c>
      <c r="C8" s="68"/>
      <c r="D8" s="68"/>
      <c r="E8" s="68"/>
      <c r="F8" s="68"/>
      <c r="G8" s="69"/>
    </row>
    <row r="9" spans="1:7" ht="18" x14ac:dyDescent="0.3">
      <c r="A9" s="76"/>
      <c r="B9" s="75" t="s">
        <v>273</v>
      </c>
      <c r="C9" s="68"/>
      <c r="D9" s="68"/>
      <c r="E9" s="68"/>
      <c r="F9" s="68"/>
      <c r="G9" s="69"/>
    </row>
    <row r="10" spans="1:7" ht="15.6" x14ac:dyDescent="0.3">
      <c r="A10" s="76"/>
      <c r="B10" s="75" t="s">
        <v>274</v>
      </c>
      <c r="C10" s="68"/>
      <c r="D10" s="68"/>
      <c r="E10" s="68"/>
      <c r="F10" s="68"/>
      <c r="G10" s="69"/>
    </row>
    <row r="11" spans="1:7" ht="15.6" x14ac:dyDescent="0.3">
      <c r="A11" s="76"/>
      <c r="B11" s="75" t="s">
        <v>271</v>
      </c>
      <c r="C11" s="68"/>
      <c r="D11" s="68"/>
      <c r="E11" s="68"/>
      <c r="F11" s="68"/>
      <c r="G11" s="69"/>
    </row>
    <row r="12" spans="1:7" ht="15.6" x14ac:dyDescent="0.3">
      <c r="A12" s="76"/>
      <c r="B12" s="75" t="s">
        <v>272</v>
      </c>
      <c r="C12" s="68"/>
      <c r="D12" s="68"/>
      <c r="E12" s="68"/>
      <c r="F12" s="68"/>
      <c r="G12" s="69"/>
    </row>
    <row r="13" spans="1:7" ht="15.6" x14ac:dyDescent="0.3">
      <c r="A13" s="78"/>
      <c r="B13" s="73"/>
      <c r="C13" s="68"/>
      <c r="D13" s="68"/>
      <c r="E13" s="68"/>
      <c r="F13" s="68"/>
      <c r="G13" s="69"/>
    </row>
    <row r="14" spans="1:7" ht="17.399999999999999" x14ac:dyDescent="0.3">
      <c r="A14" s="70" t="s">
        <v>38</v>
      </c>
      <c r="B14" s="68"/>
      <c r="C14" s="68"/>
      <c r="D14" s="68"/>
      <c r="E14" s="68"/>
      <c r="F14" s="68"/>
      <c r="G14" s="69"/>
    </row>
    <row r="15" spans="1:7" ht="15.6" x14ac:dyDescent="0.3">
      <c r="A15" s="72" t="s">
        <v>182</v>
      </c>
      <c r="B15" s="68"/>
      <c r="C15" s="68"/>
      <c r="D15" s="68"/>
      <c r="E15" s="68"/>
      <c r="F15" s="68"/>
      <c r="G15" s="69"/>
    </row>
    <row r="16" spans="1:7" ht="15.6" x14ac:dyDescent="0.3">
      <c r="A16" s="72" t="s">
        <v>229</v>
      </c>
      <c r="B16" s="68"/>
      <c r="C16" s="68"/>
      <c r="D16" s="68"/>
      <c r="E16" s="68"/>
      <c r="F16" s="68"/>
      <c r="G16" s="69"/>
    </row>
    <row r="17" spans="1:7" ht="15.6" x14ac:dyDescent="0.3">
      <c r="A17" s="72" t="s">
        <v>260</v>
      </c>
      <c r="B17" s="68"/>
      <c r="C17" s="68"/>
      <c r="D17" s="68"/>
      <c r="E17" s="68"/>
      <c r="F17" s="68"/>
      <c r="G17" s="69"/>
    </row>
    <row r="18" spans="1:7" ht="15.6" x14ac:dyDescent="0.3">
      <c r="A18" s="72"/>
      <c r="B18" s="68"/>
      <c r="C18" s="68"/>
      <c r="D18" s="68"/>
      <c r="E18" s="68"/>
      <c r="F18" s="68"/>
      <c r="G18" s="69"/>
    </row>
    <row r="19" spans="1:7" ht="17.399999999999999" x14ac:dyDescent="0.3">
      <c r="A19" s="70" t="s">
        <v>225</v>
      </c>
      <c r="B19" s="68"/>
      <c r="C19" s="68"/>
      <c r="D19" s="68"/>
      <c r="E19" s="68"/>
      <c r="F19" s="68"/>
      <c r="G19" s="69"/>
    </row>
    <row r="20" spans="1:7" ht="17.399999999999999" x14ac:dyDescent="0.3">
      <c r="A20" s="70"/>
      <c r="B20" s="68"/>
      <c r="C20" s="68"/>
      <c r="D20" s="68"/>
      <c r="E20" s="68"/>
      <c r="F20" s="68"/>
      <c r="G20" s="69"/>
    </row>
    <row r="21" spans="1:7" ht="17.399999999999999" x14ac:dyDescent="0.3">
      <c r="A21" s="70" t="s">
        <v>266</v>
      </c>
      <c r="B21" s="196"/>
      <c r="C21" s="68"/>
      <c r="D21" s="68"/>
      <c r="E21" s="68"/>
      <c r="F21" s="68"/>
      <c r="G21" s="69"/>
    </row>
    <row r="22" spans="1:7" ht="18" thickBot="1" x14ac:dyDescent="0.35">
      <c r="A22" s="70"/>
      <c r="B22" s="196"/>
      <c r="C22" s="68"/>
      <c r="D22" s="68"/>
      <c r="E22" s="68"/>
      <c r="F22" s="68"/>
      <c r="G22" s="69"/>
    </row>
    <row r="23" spans="1:7" ht="48.6" customHeight="1" thickBot="1" x14ac:dyDescent="0.35">
      <c r="A23" s="67"/>
      <c r="B23" s="347" t="s">
        <v>206</v>
      </c>
      <c r="C23" s="348"/>
      <c r="D23" s="348"/>
      <c r="E23" s="349"/>
      <c r="F23" s="350"/>
      <c r="G23" s="69"/>
    </row>
    <row r="24" spans="1:7" ht="16.2" thickBot="1" x14ac:dyDescent="0.35">
      <c r="A24" s="67"/>
      <c r="B24" s="353" t="s">
        <v>208</v>
      </c>
      <c r="C24" s="354"/>
      <c r="D24" s="195" t="s">
        <v>207</v>
      </c>
      <c r="E24" s="351" t="s">
        <v>209</v>
      </c>
      <c r="F24" s="352"/>
      <c r="G24" s="69"/>
    </row>
    <row r="25" spans="1:7" ht="106.2" customHeight="1" thickBot="1" x14ac:dyDescent="0.35">
      <c r="A25" s="67"/>
      <c r="B25" s="193" t="s">
        <v>171</v>
      </c>
      <c r="C25" s="194" t="s">
        <v>210</v>
      </c>
      <c r="D25" s="192" t="s">
        <v>205</v>
      </c>
      <c r="E25" s="190" t="s">
        <v>126</v>
      </c>
      <c r="F25" s="191" t="s">
        <v>211</v>
      </c>
      <c r="G25" s="69"/>
    </row>
    <row r="26" spans="1:7" x14ac:dyDescent="0.3">
      <c r="A26" s="67"/>
      <c r="B26" s="68"/>
      <c r="C26" s="68"/>
      <c r="D26" s="68"/>
      <c r="E26" s="68"/>
      <c r="F26" s="68"/>
      <c r="G26" s="69"/>
    </row>
    <row r="27" spans="1:7" ht="15" thickBot="1" x14ac:dyDescent="0.35">
      <c r="A27" s="81"/>
      <c r="B27" s="82"/>
      <c r="C27" s="82"/>
      <c r="D27" s="82"/>
      <c r="E27" s="82"/>
      <c r="F27" s="82"/>
      <c r="G27" s="197"/>
    </row>
  </sheetData>
  <mergeCells count="3">
    <mergeCell ref="B23:F23"/>
    <mergeCell ref="E24:F24"/>
    <mergeCell ref="B24:C24"/>
  </mergeCells>
  <pageMargins left="0.7" right="0.7" top="0.75" bottom="0.75" header="0.3" footer="0.3"/>
  <pageSetup scale="98" orientation="landscape" r:id="rId1"/>
  <headerFooter>
    <oddFooter>&amp;L&amp;D&amp;C&amp;F&amp;R&amp;A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0C58-9162-4C03-B985-644897B3C888}">
  <sheetPr codeName="Sheet6">
    <tabColor theme="9" tint="0.59999389629810485"/>
  </sheetPr>
  <dimension ref="B1:M2"/>
  <sheetViews>
    <sheetView workbookViewId="0">
      <selection activeCell="A2" sqref="A2"/>
    </sheetView>
  </sheetViews>
  <sheetFormatPr defaultRowHeight="14.4" x14ac:dyDescent="0.3"/>
  <sheetData>
    <row r="1" spans="2:13" s="3" customFormat="1" ht="4.2" customHeight="1" thickBot="1" x14ac:dyDescent="0.35"/>
    <row r="2" spans="2:13" ht="18.600000000000001" thickBot="1" x14ac:dyDescent="0.4">
      <c r="B2" s="355" t="s">
        <v>191</v>
      </c>
      <c r="C2" s="356"/>
      <c r="D2" s="356"/>
      <c r="E2" s="356"/>
      <c r="F2" s="356"/>
      <c r="G2" s="356"/>
      <c r="H2" s="356"/>
      <c r="I2" s="356"/>
      <c r="J2" s="356"/>
      <c r="K2" s="356"/>
      <c r="L2" s="356"/>
      <c r="M2" s="357"/>
    </row>
  </sheetData>
  <sheetProtection sheet="1" objects="1" scenarios="1"/>
  <mergeCells count="1">
    <mergeCell ref="B2:M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59999389629810485"/>
    <pageSetUpPr fitToPage="1"/>
  </sheetPr>
  <dimension ref="A1:R42"/>
  <sheetViews>
    <sheetView tabSelected="1" zoomScaleNormal="100" workbookViewId="0"/>
  </sheetViews>
  <sheetFormatPr defaultColWidth="9.109375" defaultRowHeight="14.4" x14ac:dyDescent="0.3"/>
  <cols>
    <col min="1" max="1" width="2.88671875" style="9" customWidth="1"/>
    <col min="2" max="2" width="11.88671875" style="9" customWidth="1"/>
    <col min="3" max="3" width="5.44140625" style="9" customWidth="1"/>
    <col min="4" max="4" width="11.21875" style="9" customWidth="1"/>
    <col min="5" max="13" width="11" style="9" customWidth="1"/>
    <col min="14" max="14" width="11.33203125" style="9" customWidth="1"/>
    <col min="15" max="15" width="3.6640625" style="9" customWidth="1"/>
    <col min="16" max="16" width="14.6640625" style="9" customWidth="1"/>
    <col min="17" max="18" width="12.109375" style="9" bestFit="1" customWidth="1"/>
    <col min="19" max="19" width="12.109375" style="9" customWidth="1"/>
    <col min="20" max="20" width="12.109375" style="9" bestFit="1" customWidth="1"/>
    <col min="21" max="21" width="13.109375" style="9" customWidth="1"/>
    <col min="22" max="16384" width="9.109375" style="9"/>
  </cols>
  <sheetData>
    <row r="1" spans="1:17" ht="9.9" customHeight="1" thickBot="1" x14ac:dyDescent="0.35">
      <c r="A1" s="15"/>
      <c r="B1" s="16"/>
      <c r="C1" s="16"/>
      <c r="D1" s="17"/>
      <c r="E1" s="17"/>
      <c r="F1" s="17"/>
      <c r="G1" s="17"/>
      <c r="H1" s="17"/>
      <c r="I1" s="17"/>
      <c r="J1" s="17"/>
      <c r="K1" s="17"/>
      <c r="L1" s="17"/>
      <c r="M1" s="17"/>
      <c r="N1" s="16"/>
      <c r="O1" s="18"/>
    </row>
    <row r="2" spans="1:17" ht="15" customHeight="1" thickBot="1" x14ac:dyDescent="0.35">
      <c r="A2" s="19"/>
      <c r="B2" s="86"/>
      <c r="C2" s="86"/>
      <c r="D2" s="200"/>
      <c r="E2" s="358" t="str">
        <f>IF(Dimensions!$C$38=1,"Evaluation of Existing Mast Arm of Unknown Size","Evaluation of Existing FDOT Standard Mast Arms (2002 to Present)")</f>
        <v>Evaluation of Existing FDOT Standard Mast Arms (2002 to Present)</v>
      </c>
      <c r="F2" s="359"/>
      <c r="G2" s="359"/>
      <c r="H2" s="359"/>
      <c r="I2" s="359"/>
      <c r="J2" s="359"/>
      <c r="K2" s="359"/>
      <c r="L2" s="360"/>
      <c r="M2" s="10"/>
      <c r="N2" s="86"/>
      <c r="O2" s="20"/>
    </row>
    <row r="3" spans="1:17" ht="9.9" customHeight="1" thickBot="1" x14ac:dyDescent="0.35">
      <c r="A3" s="19"/>
      <c r="B3" s="8"/>
      <c r="C3" s="8"/>
      <c r="D3" s="8"/>
      <c r="E3" s="8"/>
      <c r="F3" s="8"/>
      <c r="G3" s="10"/>
      <c r="H3" s="8"/>
      <c r="I3" s="8"/>
      <c r="J3" s="8"/>
      <c r="K3" s="10"/>
      <c r="L3" s="8"/>
      <c r="M3" s="8"/>
      <c r="N3" s="8"/>
      <c r="O3" s="20"/>
    </row>
    <row r="4" spans="1:17" ht="15" customHeight="1" thickBot="1" x14ac:dyDescent="0.35">
      <c r="A4" s="19"/>
      <c r="B4" s="361" t="s">
        <v>96</v>
      </c>
      <c r="C4" s="362"/>
      <c r="D4" s="363"/>
      <c r="E4" s="388" t="s">
        <v>221</v>
      </c>
      <c r="F4" s="389"/>
      <c r="G4" s="389"/>
      <c r="H4" s="389"/>
      <c r="I4" s="389"/>
      <c r="J4" s="389"/>
      <c r="K4" s="389"/>
      <c r="L4" s="389"/>
      <c r="M4" s="389"/>
      <c r="N4" s="390"/>
      <c r="O4" s="21"/>
    </row>
    <row r="5" spans="1:17" ht="30" customHeight="1" thickBot="1" x14ac:dyDescent="0.35">
      <c r="A5" s="22"/>
      <c r="B5" s="301" t="s">
        <v>228</v>
      </c>
      <c r="C5" s="302">
        <v>165</v>
      </c>
      <c r="D5" s="303" t="s">
        <v>263</v>
      </c>
      <c r="E5" s="298" t="s">
        <v>16</v>
      </c>
      <c r="F5" s="299" t="s">
        <v>34</v>
      </c>
      <c r="G5" s="299" t="s">
        <v>5</v>
      </c>
      <c r="H5" s="299" t="s">
        <v>30</v>
      </c>
      <c r="I5" s="299" t="s">
        <v>4</v>
      </c>
      <c r="J5" s="299" t="s">
        <v>3</v>
      </c>
      <c r="K5" s="299" t="s">
        <v>2</v>
      </c>
      <c r="L5" s="299" t="s">
        <v>1</v>
      </c>
      <c r="M5" s="299" t="s">
        <v>0</v>
      </c>
      <c r="N5" s="300" t="s">
        <v>33</v>
      </c>
      <c r="O5" s="21"/>
    </row>
    <row r="6" spans="1:17" ht="96" customHeight="1" thickTop="1" x14ac:dyDescent="0.3">
      <c r="A6" s="19"/>
      <c r="B6" s="290"/>
      <c r="C6" s="280"/>
      <c r="D6" s="291"/>
      <c r="E6" s="284">
        <v>1</v>
      </c>
      <c r="F6" s="205">
        <v>1</v>
      </c>
      <c r="G6" s="206">
        <v>1</v>
      </c>
      <c r="H6" s="207">
        <v>1</v>
      </c>
      <c r="I6" s="208">
        <v>5</v>
      </c>
      <c r="J6" s="209">
        <v>4</v>
      </c>
      <c r="K6" s="210">
        <v>5</v>
      </c>
      <c r="L6" s="211">
        <v>4</v>
      </c>
      <c r="M6" s="212">
        <v>2</v>
      </c>
      <c r="N6" s="213">
        <v>5</v>
      </c>
      <c r="O6" s="21"/>
    </row>
    <row r="7" spans="1:17" ht="18" customHeight="1" thickBot="1" x14ac:dyDescent="0.35">
      <c r="A7" s="19"/>
      <c r="B7" s="290"/>
      <c r="C7" s="280"/>
      <c r="D7" s="292" t="s">
        <v>98</v>
      </c>
      <c r="E7" s="285">
        <v>76</v>
      </c>
      <c r="F7" s="203">
        <v>68</v>
      </c>
      <c r="G7" s="203">
        <v>62</v>
      </c>
      <c r="H7" s="203">
        <v>56</v>
      </c>
      <c r="I7" s="203">
        <v>48</v>
      </c>
      <c r="J7" s="203">
        <v>41</v>
      </c>
      <c r="K7" s="203">
        <v>34</v>
      </c>
      <c r="L7" s="203">
        <v>28</v>
      </c>
      <c r="M7" s="203">
        <v>18</v>
      </c>
      <c r="N7" s="204">
        <v>7</v>
      </c>
      <c r="O7" s="21"/>
      <c r="Q7" s="215"/>
    </row>
    <row r="8" spans="1:17" ht="15" customHeight="1" thickTop="1" x14ac:dyDescent="0.3">
      <c r="A8" s="19"/>
      <c r="B8" s="293"/>
      <c r="C8" s="281"/>
      <c r="D8" s="294" t="s">
        <v>14</v>
      </c>
      <c r="E8" s="286">
        <v>36</v>
      </c>
      <c r="F8" s="201">
        <v>24</v>
      </c>
      <c r="G8" s="201">
        <v>36</v>
      </c>
      <c r="H8" s="201">
        <v>36</v>
      </c>
      <c r="I8" s="201">
        <v>36</v>
      </c>
      <c r="J8" s="201">
        <v>36</v>
      </c>
      <c r="K8" s="201">
        <v>36</v>
      </c>
      <c r="L8" s="201">
        <v>36</v>
      </c>
      <c r="M8" s="201">
        <v>24</v>
      </c>
      <c r="N8" s="202">
        <v>120</v>
      </c>
      <c r="O8" s="21"/>
    </row>
    <row r="9" spans="1:17" ht="15" customHeight="1" thickBot="1" x14ac:dyDescent="0.35">
      <c r="A9" s="19"/>
      <c r="B9" s="295"/>
      <c r="C9" s="196"/>
      <c r="D9" s="294" t="s">
        <v>15</v>
      </c>
      <c r="E9" s="287">
        <v>36</v>
      </c>
      <c r="F9" s="112">
        <v>36</v>
      </c>
      <c r="G9" s="112">
        <v>36</v>
      </c>
      <c r="H9" s="112">
        <v>36</v>
      </c>
      <c r="I9" s="112">
        <v>36</v>
      </c>
      <c r="J9" s="112">
        <v>36</v>
      </c>
      <c r="K9" s="112">
        <v>36</v>
      </c>
      <c r="L9" s="112">
        <v>36</v>
      </c>
      <c r="M9" s="112">
        <v>36</v>
      </c>
      <c r="N9" s="113">
        <v>24</v>
      </c>
      <c r="O9" s="21"/>
    </row>
    <row r="10" spans="1:17" ht="15" customHeight="1" thickTop="1" x14ac:dyDescent="0.3">
      <c r="A10" s="19"/>
      <c r="B10" s="381" t="s">
        <v>265</v>
      </c>
      <c r="C10" s="383">
        <v>50</v>
      </c>
      <c r="D10" s="296" t="s">
        <v>19</v>
      </c>
      <c r="E10" s="288">
        <f>IF(E6=1,0,IF(AND(E6=5,E8&lt;&gt;0,E9&lt;&gt;0),Dimensions!S3,IF(ArmEvaluation!E6=2,Dimensions!I3,IF(E6=3,Dimensions!I10,IF(E6=4,Dimensions!I17,"")))))</f>
        <v>0</v>
      </c>
      <c r="F10" s="108">
        <f>IF(F6=1,0,IF(AND(F6=5,F8&lt;&gt;0,F9&lt;&gt;0),Dimensions!S8,IF(ArmEvaluation!F6=2,Dimensions!I3,IF(F6=3,Dimensions!I10,IF(F6=4,Dimensions!I17,"")))))</f>
        <v>0</v>
      </c>
      <c r="G10" s="108">
        <f>IF(G6=1,0,IF(AND(G6=5,G8&lt;&gt;0,G9&lt;&gt;0),Dimensions!S13,IF(ArmEvaluation!G6=2,Dimensions!I3,IF(G6=3,Dimensions!I10,IF(G6=4,Dimensions!I17,"")))))</f>
        <v>0</v>
      </c>
      <c r="H10" s="108">
        <f>IF(H6=1,0,IF(AND(H6=5,H8&lt;&gt;0,H9&lt;&gt;0),Dimensions!S18,IF(ArmEvaluation!H6=2,Dimensions!I3,IF(H6=3,Dimensions!I10,IF(H6=4,Dimensions!I17,"")))))</f>
        <v>0</v>
      </c>
      <c r="I10" s="108">
        <f>IF(I6=1,0,IF(AND(I6=5,I8&lt;&gt;0,I9&lt;&gt;0),Dimensions!S23,IF(ArmEvaluation!I6=2,Dimensions!I3,IF(I6=3,Dimensions!I10,IF(I6=4,Dimensions!I17,"")))))</f>
        <v>9</v>
      </c>
      <c r="J10" s="108">
        <f>IF(J6=1,0,IF(AND(J6=5,J8&lt;&gt;0,J9&lt;&gt;0),Dimensions!S28,IF(ArmEvaluation!J6=2,Dimensions!I3,IF(J6=3,Dimensions!I10,IF(J6=4,Dimensions!I17,"")))))</f>
        <v>14.8645</v>
      </c>
      <c r="K10" s="108">
        <f>IF(K6=1,0,IF(AND(K6=5,K8&lt;&gt;0,K9&lt;&gt;0),Dimensions!S33,IF(ArmEvaluation!K6=2,Dimensions!I3,IF(K6=3,Dimensions!I10,IF(K6=4,Dimensions!I17,"")))))</f>
        <v>9</v>
      </c>
      <c r="L10" s="108">
        <f>IF(L6=1,0,IF(AND(L6=5,L8&lt;&gt;0,L9&lt;&gt;0),Dimensions!S38,IF(ArmEvaluation!L6=2,Dimensions!I3,IF(L6=3,Dimensions!I10,IF(L6=4,Dimensions!I17,"")))))</f>
        <v>14.8645</v>
      </c>
      <c r="M10" s="108">
        <f>IF(M6=1,0,IF(AND(M6=5,M8&lt;&gt;0,M9&lt;&gt;0),Dimensions!S43,IF(ArmEvaluation!M6=2,Dimensions!I3,IF(M6=3,Dimensions!I10,IF(M6=4,Dimensions!I17,"")))))</f>
        <v>9.7866999999999997</v>
      </c>
      <c r="N10" s="109">
        <f>IF(N6=1,0,IF(AND(N6=5,N8&lt;&gt;0,N9&lt;&gt;0),Dimensions!S48,IF(ArmEvaluation!N6=2,Dimensions!I3,IF(N6=3,Dimensions!I10,IF(N6=4,Dimensions!I17,"")))))</f>
        <v>20</v>
      </c>
      <c r="O10" s="21"/>
    </row>
    <row r="11" spans="1:17" ht="15" customHeight="1" thickBot="1" x14ac:dyDescent="0.35">
      <c r="A11" s="19"/>
      <c r="B11" s="382"/>
      <c r="C11" s="384"/>
      <c r="D11" s="297" t="s">
        <v>234</v>
      </c>
      <c r="E11" s="289">
        <f>'CFI&amp;Designation'!B65</f>
        <v>0</v>
      </c>
      <c r="F11" s="110">
        <f>'CFI&amp;Designation'!C65</f>
        <v>0</v>
      </c>
      <c r="G11" s="110">
        <f>'CFI&amp;Designation'!D65</f>
        <v>0</v>
      </c>
      <c r="H11" s="110">
        <f>'CFI&amp;Designation'!E65</f>
        <v>0</v>
      </c>
      <c r="I11" s="110">
        <f>'CFI&amp;Designation'!F65</f>
        <v>32.909741973503998</v>
      </c>
      <c r="J11" s="110">
        <f>'CFI&amp;Designation'!G65</f>
        <v>46.427456579099896</v>
      </c>
      <c r="K11" s="110">
        <f>'CFI&amp;Designation'!H65</f>
        <v>23.311067231231998</v>
      </c>
      <c r="L11" s="110">
        <f>'CFI&amp;Designation'!I65</f>
        <v>31.706555712556028</v>
      </c>
      <c r="M11" s="110">
        <f>'CFI&amp;Designation'!J65</f>
        <v>13.419907157170481</v>
      </c>
      <c r="N11" s="111">
        <f>'CFI&amp;Designation'!K65</f>
        <v>10.66519415808</v>
      </c>
      <c r="O11" s="21"/>
    </row>
    <row r="12" spans="1:17" ht="12" customHeight="1" x14ac:dyDescent="0.3">
      <c r="A12" s="19"/>
      <c r="B12" s="8"/>
      <c r="C12" s="8"/>
      <c r="D12" s="8"/>
      <c r="E12" s="8"/>
      <c r="F12" s="8"/>
      <c r="G12" s="8"/>
      <c r="H12" s="8"/>
      <c r="I12" s="8"/>
      <c r="J12" s="8"/>
      <c r="K12" s="8"/>
      <c r="L12" s="8"/>
      <c r="M12" s="8"/>
      <c r="N12" s="8"/>
      <c r="O12" s="21"/>
    </row>
    <row r="13" spans="1:17" ht="15" customHeight="1" x14ac:dyDescent="0.3">
      <c r="A13" s="19"/>
      <c r="B13" s="8"/>
      <c r="C13" s="8"/>
      <c r="D13" s="8"/>
      <c r="E13" s="8"/>
      <c r="F13" s="8"/>
      <c r="G13" s="8"/>
      <c r="H13" s="8"/>
      <c r="I13" s="8"/>
      <c r="J13" s="8"/>
      <c r="K13" s="8"/>
      <c r="L13" s="8"/>
      <c r="M13" s="8"/>
      <c r="N13" s="8"/>
      <c r="O13" s="21"/>
    </row>
    <row r="14" spans="1:17" ht="15" customHeight="1" x14ac:dyDescent="0.3">
      <c r="A14" s="19"/>
      <c r="B14" s="8"/>
      <c r="C14" s="8"/>
      <c r="D14" s="10"/>
      <c r="E14" s="10"/>
      <c r="F14" s="10"/>
      <c r="G14" s="10"/>
      <c r="H14" s="10"/>
      <c r="I14" s="10"/>
      <c r="J14" s="10"/>
      <c r="K14" s="10"/>
      <c r="L14" s="10"/>
      <c r="M14" s="10"/>
      <c r="N14" s="10"/>
      <c r="O14" s="21"/>
    </row>
    <row r="15" spans="1:17" ht="15" customHeight="1" x14ac:dyDescent="0.3">
      <c r="A15" s="19"/>
      <c r="B15" s="8"/>
      <c r="C15" s="8"/>
      <c r="D15" s="10"/>
      <c r="E15" s="10"/>
      <c r="F15" s="10"/>
      <c r="G15" s="10"/>
      <c r="H15" s="10"/>
      <c r="I15" s="10"/>
      <c r="J15" s="10"/>
      <c r="K15" s="10"/>
      <c r="L15" s="10"/>
      <c r="M15" s="10"/>
      <c r="N15" s="10"/>
      <c r="O15" s="21"/>
    </row>
    <row r="16" spans="1:17" ht="15" customHeight="1" x14ac:dyDescent="0.3">
      <c r="A16" s="19"/>
      <c r="B16" s="8"/>
      <c r="C16" s="8"/>
      <c r="D16" s="10"/>
      <c r="E16" s="10"/>
      <c r="F16" s="10"/>
      <c r="G16" s="10"/>
      <c r="H16" s="10"/>
      <c r="I16" s="10"/>
      <c r="J16" s="10"/>
      <c r="K16" s="10"/>
      <c r="L16" s="10"/>
      <c r="M16" s="10"/>
      <c r="N16" s="10"/>
      <c r="O16" s="21"/>
    </row>
    <row r="17" spans="1:18" ht="15" customHeight="1" x14ac:dyDescent="0.3">
      <c r="A17" s="19"/>
      <c r="B17" s="8"/>
      <c r="C17" s="8"/>
      <c r="D17" s="10"/>
      <c r="E17" s="10"/>
      <c r="F17" s="10"/>
      <c r="G17" s="10"/>
      <c r="H17" s="10"/>
      <c r="I17" s="10"/>
      <c r="J17" s="10"/>
      <c r="K17" s="10"/>
      <c r="L17" s="10"/>
      <c r="M17" s="10"/>
      <c r="N17" s="10"/>
      <c r="O17" s="21"/>
    </row>
    <row r="18" spans="1:18" ht="15" customHeight="1" x14ac:dyDescent="0.3">
      <c r="A18" s="19"/>
      <c r="B18" s="8"/>
      <c r="C18" s="8"/>
      <c r="D18" s="10"/>
      <c r="E18" s="10"/>
      <c r="F18" s="10"/>
      <c r="G18" s="10"/>
      <c r="H18" s="10"/>
      <c r="I18" s="10"/>
      <c r="J18" s="10"/>
      <c r="K18" s="10"/>
      <c r="L18" s="10"/>
      <c r="M18" s="10"/>
      <c r="N18" s="10"/>
      <c r="O18" s="21"/>
    </row>
    <row r="19" spans="1:18" ht="15" customHeight="1" x14ac:dyDescent="0.3">
      <c r="A19" s="19"/>
      <c r="B19" s="8"/>
      <c r="C19" s="8"/>
      <c r="D19" s="10"/>
      <c r="E19" s="10"/>
      <c r="F19" s="10"/>
      <c r="G19" s="10"/>
      <c r="H19" s="10"/>
      <c r="I19" s="10"/>
      <c r="J19" s="10"/>
      <c r="K19" s="10"/>
      <c r="L19" s="10"/>
      <c r="M19" s="10"/>
      <c r="N19" s="10"/>
      <c r="O19" s="21"/>
    </row>
    <row r="20" spans="1:18" ht="15" customHeight="1" x14ac:dyDescent="0.3">
      <c r="A20" s="19"/>
      <c r="B20" s="8"/>
      <c r="C20" s="8"/>
      <c r="D20" s="10"/>
      <c r="E20" s="10"/>
      <c r="F20" s="10"/>
      <c r="G20" s="10"/>
      <c r="H20" s="10"/>
      <c r="I20" s="10"/>
      <c r="J20" s="10"/>
      <c r="K20" s="10"/>
      <c r="L20" s="10"/>
      <c r="M20" s="10"/>
      <c r="N20" s="10"/>
      <c r="O20" s="21"/>
    </row>
    <row r="21" spans="1:18" ht="15" customHeight="1" x14ac:dyDescent="0.3">
      <c r="A21" s="19"/>
      <c r="B21" s="8"/>
      <c r="C21" s="8"/>
      <c r="D21" s="10"/>
      <c r="E21" s="10"/>
      <c r="F21" s="10"/>
      <c r="G21" s="10"/>
      <c r="H21" s="10"/>
      <c r="I21" s="10"/>
      <c r="J21" s="10"/>
      <c r="K21" s="10"/>
      <c r="L21" s="10"/>
      <c r="M21" s="10"/>
      <c r="N21" s="10"/>
      <c r="O21" s="21"/>
    </row>
    <row r="22" spans="1:18" ht="15" customHeight="1" x14ac:dyDescent="0.3">
      <c r="A22" s="19"/>
      <c r="B22" s="8"/>
      <c r="C22" s="8"/>
      <c r="D22" s="10"/>
      <c r="E22" s="10"/>
      <c r="F22" s="10"/>
      <c r="G22" s="10"/>
      <c r="H22" s="10"/>
      <c r="I22" s="10"/>
      <c r="J22" s="10"/>
      <c r="K22" s="10"/>
      <c r="L22" s="10"/>
      <c r="M22" s="10"/>
      <c r="N22" s="10"/>
      <c r="O22" s="21"/>
    </row>
    <row r="23" spans="1:18" ht="18.600000000000001" customHeight="1" thickBot="1" x14ac:dyDescent="0.35">
      <c r="A23" s="19"/>
      <c r="B23" s="8"/>
      <c r="C23" s="8"/>
      <c r="D23" s="8"/>
      <c r="E23" s="8"/>
      <c r="F23" s="8"/>
      <c r="G23" s="8"/>
      <c r="H23" s="8"/>
      <c r="I23" s="8"/>
      <c r="J23" s="8"/>
      <c r="K23" s="8"/>
      <c r="L23" s="8"/>
      <c r="M23" s="8"/>
      <c r="N23" s="8"/>
      <c r="O23" s="21"/>
    </row>
    <row r="24" spans="1:18" ht="15" customHeight="1" thickBot="1" x14ac:dyDescent="0.35">
      <c r="A24" s="19"/>
      <c r="B24" s="376" t="s">
        <v>172</v>
      </c>
      <c r="C24" s="365"/>
      <c r="D24" s="377"/>
      <c r="E24" s="132" t="str">
        <f>VLOOKUP(Dimensions!C38,'CFI&amp;Designation'!A5:L60,3)</f>
        <v>A50</v>
      </c>
      <c r="F24" s="86"/>
      <c r="G24" s="364" t="s">
        <v>110</v>
      </c>
      <c r="H24" s="365"/>
      <c r="I24" s="365"/>
      <c r="J24" s="366"/>
      <c r="K24" s="86"/>
      <c r="L24" s="86"/>
      <c r="M24" s="86"/>
      <c r="N24" s="86" t="s">
        <v>223</v>
      </c>
      <c r="O24" s="21"/>
      <c r="R24" s="231"/>
    </row>
    <row r="25" spans="1:18" ht="15" customHeight="1" thickBot="1" x14ac:dyDescent="0.35">
      <c r="A25" s="19"/>
      <c r="B25" s="373" t="s">
        <v>109</v>
      </c>
      <c r="C25" s="374"/>
      <c r="D25" s="375"/>
      <c r="E25" s="133">
        <f>VLOOKUP(Dimensions!C38,'CFI&amp;Designation'!A5:L60,4)</f>
        <v>50</v>
      </c>
      <c r="F25" s="86"/>
      <c r="G25" s="367" t="s">
        <v>219</v>
      </c>
      <c r="H25" s="368"/>
      <c r="I25" s="369"/>
      <c r="J25" s="134">
        <f>IF(Dimensions!$C$38=1,E26,'CFI&amp;Designation'!L68)</f>
        <v>39.372300000000003</v>
      </c>
      <c r="K25" s="86"/>
      <c r="L25" s="86"/>
      <c r="M25" s="86"/>
      <c r="N25" s="86"/>
      <c r="O25" s="21"/>
    </row>
    <row r="26" spans="1:18" ht="15" customHeight="1" thickBot="1" x14ac:dyDescent="0.35">
      <c r="A26" s="19"/>
      <c r="B26" s="373" t="s">
        <v>181</v>
      </c>
      <c r="C26" s="374"/>
      <c r="D26" s="375"/>
      <c r="E26" s="152" t="str">
        <f>VLOOKUP(Dimensions!C38,'CFI&amp;Designation'!A5:M60,13)</f>
        <v>2017-Pres.</v>
      </c>
      <c r="F26" s="86"/>
      <c r="G26" s="370" t="s">
        <v>218</v>
      </c>
      <c r="H26" s="371"/>
      <c r="I26" s="372"/>
      <c r="J26" s="146">
        <f>IF(Dimensions!$C$38=1,E26,'CFI&amp;Designation'!L67)</f>
        <v>52.822366507568574</v>
      </c>
      <c r="K26" s="86"/>
      <c r="L26" s="378" t="str">
        <f>IF(Dimensions!$C$38=1,"Unknown Arm Dia. / Wall Thk.","FDOT Standard Mast Arm")</f>
        <v>FDOT Standard Mast Arm</v>
      </c>
      <c r="M26" s="379"/>
      <c r="N26" s="380"/>
      <c r="O26" s="21"/>
    </row>
    <row r="27" spans="1:18" ht="15" customHeight="1" x14ac:dyDescent="0.3">
      <c r="A27" s="19"/>
      <c r="B27" s="385" t="s">
        <v>114</v>
      </c>
      <c r="C27" s="386"/>
      <c r="D27" s="387"/>
      <c r="E27" s="134">
        <f>IF(Dimensions!$C$38=1,E26,VLOOKUP(Dimensions!C38,'CFI&amp;Designation'!A5:L60,5))</f>
        <v>14</v>
      </c>
      <c r="F27" s="86"/>
      <c r="G27" s="394" t="s">
        <v>232</v>
      </c>
      <c r="H27" s="395"/>
      <c r="I27" s="396"/>
      <c r="J27" s="146">
        <f>'CFI&amp;Designation'!L66</f>
        <v>10.925200000000002</v>
      </c>
      <c r="K27" s="86"/>
      <c r="L27" s="405" t="str">
        <f>IF(Dimensions!$C$38=1,"∑ Signal &amp; Sign Moments @ Arm Base","CFI Ratio at Arm Base")</f>
        <v>CFI Ratio at Arm Base</v>
      </c>
      <c r="M27" s="406"/>
      <c r="N27" s="403" t="str">
        <f>"= "&amp;(SUM(E6:N6)/SUM(E6:N6))*(SUM(E7:N7)/SUM(E7:N7))*IF(Dimensions!$C$38=1,ROUNDUP(J29,2),ROUNDUP(J29/E29,2))</f>
        <v>= 1.01</v>
      </c>
      <c r="O27" s="21"/>
      <c r="Q27" s="214"/>
    </row>
    <row r="28" spans="1:18" ht="15" customHeight="1" thickBot="1" x14ac:dyDescent="0.35">
      <c r="A28" s="19"/>
      <c r="B28" s="370" t="s">
        <v>173</v>
      </c>
      <c r="C28" s="371"/>
      <c r="D28" s="372"/>
      <c r="E28" s="189">
        <f>IF(Dimensions!$C$38=1,E26,VLOOKUP(Dimensions!C38,'CFI&amp;Designation'!A5:L60,7))</f>
        <v>0.313</v>
      </c>
      <c r="F28" s="86"/>
      <c r="G28" s="370" t="s">
        <v>217</v>
      </c>
      <c r="H28" s="371"/>
      <c r="I28" s="372"/>
      <c r="J28" s="146">
        <f>'CFI&amp;Designation'!L65</f>
        <v>158.43992281164242</v>
      </c>
      <c r="K28" s="86"/>
      <c r="L28" s="407"/>
      <c r="M28" s="408"/>
      <c r="N28" s="404"/>
      <c r="O28" s="21"/>
      <c r="Q28" s="214"/>
    </row>
    <row r="29" spans="1:18" ht="15" customHeight="1" thickBot="1" x14ac:dyDescent="0.35">
      <c r="A29" s="19"/>
      <c r="B29" s="391" t="s">
        <v>277</v>
      </c>
      <c r="C29" s="392"/>
      <c r="D29" s="393"/>
      <c r="E29" s="135">
        <f>IF(Dimensions!$C$38=1,E26,VLOOKUP(Dimensions!C38,'CFI&amp;Designation'!A6:L60,12)*'CFI&amp;Designation'!H1)</f>
        <v>215.994</v>
      </c>
      <c r="F29" s="86"/>
      <c r="G29" s="397" t="s">
        <v>216</v>
      </c>
      <c r="H29" s="398"/>
      <c r="I29" s="399"/>
      <c r="J29" s="135">
        <f>'CFI&amp;Designation'!M69</f>
        <v>217.16720147076541</v>
      </c>
      <c r="K29" s="86"/>
      <c r="L29" s="400" t="str">
        <f>IF(Dimensions!$C$38=1,"FDOT Max. Mom. Ratio (prop/exist)= 1.10","FDOT Maximum CFI Ratio = 1.10")</f>
        <v>FDOT Maximum CFI Ratio = 1.10</v>
      </c>
      <c r="M29" s="401"/>
      <c r="N29" s="402"/>
      <c r="O29" s="21"/>
    </row>
    <row r="30" spans="1:18" ht="15" customHeight="1" thickBot="1" x14ac:dyDescent="0.35">
      <c r="A30" s="23"/>
      <c r="B30" s="151"/>
      <c r="C30" s="151"/>
      <c r="D30" s="151"/>
      <c r="E30" s="151"/>
      <c r="F30" s="151"/>
      <c r="G30" s="87"/>
      <c r="H30" s="87"/>
      <c r="I30" s="87"/>
      <c r="J30" s="87"/>
      <c r="K30" s="87"/>
      <c r="L30" s="87"/>
      <c r="M30" s="87"/>
      <c r="N30" s="88"/>
      <c r="O30" s="24"/>
    </row>
    <row r="31" spans="1:18" ht="9.9" customHeight="1" thickBot="1" x14ac:dyDescent="0.35">
      <c r="A31" s="8"/>
      <c r="B31" s="60"/>
      <c r="C31" s="60"/>
      <c r="D31" s="61"/>
      <c r="E31" s="61"/>
      <c r="F31" s="62"/>
      <c r="G31" s="62"/>
      <c r="H31" s="63"/>
      <c r="I31" s="62"/>
      <c r="J31" s="62"/>
      <c r="K31" s="62"/>
      <c r="L31" s="60"/>
      <c r="M31" s="60"/>
      <c r="N31" s="60"/>
      <c r="O31" s="8"/>
    </row>
    <row r="32" spans="1:18" ht="15" customHeight="1" x14ac:dyDescent="0.3">
      <c r="A32" s="10"/>
      <c r="B32" s="114" t="s">
        <v>42</v>
      </c>
      <c r="C32" s="115"/>
      <c r="D32" s="115"/>
      <c r="E32" s="115"/>
      <c r="F32" s="115"/>
      <c r="G32" s="115"/>
      <c r="H32" s="115"/>
      <c r="I32" s="115"/>
      <c r="J32" s="115"/>
      <c r="K32" s="115"/>
      <c r="L32" s="115"/>
      <c r="M32" s="115"/>
      <c r="N32" s="115"/>
      <c r="O32" s="121"/>
    </row>
    <row r="33" spans="1:15" ht="15" customHeight="1" x14ac:dyDescent="0.3">
      <c r="A33" s="10"/>
      <c r="B33" s="117" t="s">
        <v>230</v>
      </c>
      <c r="C33" s="282"/>
      <c r="D33" s="115"/>
      <c r="E33" s="115"/>
      <c r="F33" s="115"/>
      <c r="G33" s="115"/>
      <c r="H33" s="115"/>
      <c r="I33" s="115"/>
      <c r="J33" s="115"/>
      <c r="K33" s="115"/>
      <c r="L33" s="115"/>
      <c r="M33" s="115"/>
      <c r="N33" s="115"/>
      <c r="O33" s="116"/>
    </row>
    <row r="34" spans="1:15" ht="15" customHeight="1" x14ac:dyDescent="0.3">
      <c r="A34" s="10"/>
      <c r="B34" s="117" t="s">
        <v>227</v>
      </c>
      <c r="C34" s="282"/>
      <c r="D34" s="115"/>
      <c r="E34" s="115"/>
      <c r="F34" s="115"/>
      <c r="G34" s="115"/>
      <c r="H34" s="115"/>
      <c r="I34" s="115"/>
      <c r="J34" s="115"/>
      <c r="K34" s="115"/>
      <c r="L34" s="115"/>
      <c r="M34" s="115"/>
      <c r="N34" s="115"/>
      <c r="O34" s="116"/>
    </row>
    <row r="35" spans="1:15" ht="15" customHeight="1" x14ac:dyDescent="0.3">
      <c r="A35" s="10"/>
      <c r="B35" s="117" t="s">
        <v>275</v>
      </c>
      <c r="C35" s="282"/>
      <c r="D35" s="115"/>
      <c r="E35" s="115"/>
      <c r="F35" s="115"/>
      <c r="G35" s="115"/>
      <c r="H35" s="115"/>
      <c r="I35" s="115"/>
      <c r="J35" s="115"/>
      <c r="K35" s="115"/>
      <c r="L35" s="115"/>
      <c r="M35" s="115"/>
      <c r="N35" s="115"/>
      <c r="O35" s="116"/>
    </row>
    <row r="36" spans="1:15" ht="15" customHeight="1" x14ac:dyDescent="0.3">
      <c r="A36" s="10"/>
      <c r="B36" s="117" t="s">
        <v>220</v>
      </c>
      <c r="C36" s="282"/>
      <c r="D36" s="115"/>
      <c r="E36" s="115"/>
      <c r="F36" s="115"/>
      <c r="G36" s="115"/>
      <c r="H36" s="115"/>
      <c r="I36" s="115"/>
      <c r="J36" s="115"/>
      <c r="K36" s="115"/>
      <c r="L36" s="115"/>
      <c r="M36" s="115"/>
      <c r="N36" s="115"/>
      <c r="O36" s="116"/>
    </row>
    <row r="37" spans="1:15" x14ac:dyDescent="0.3">
      <c r="A37" s="8"/>
      <c r="B37" s="117" t="s">
        <v>276</v>
      </c>
      <c r="C37" s="282"/>
      <c r="D37" s="115"/>
      <c r="E37" s="115"/>
      <c r="F37" s="115"/>
      <c r="G37" s="115"/>
      <c r="H37" s="115"/>
      <c r="I37" s="115"/>
      <c r="J37" s="115"/>
      <c r="K37" s="115"/>
      <c r="L37" s="115"/>
      <c r="M37" s="115"/>
      <c r="N37" s="115"/>
      <c r="O37" s="116"/>
    </row>
    <row r="38" spans="1:15" x14ac:dyDescent="0.3">
      <c r="A38" s="8"/>
      <c r="B38" s="117" t="s">
        <v>183</v>
      </c>
      <c r="C38" s="282"/>
      <c r="D38" s="115"/>
      <c r="E38" s="115"/>
      <c r="F38" s="115"/>
      <c r="G38" s="115"/>
      <c r="H38" s="115"/>
      <c r="I38" s="115"/>
      <c r="J38" s="115"/>
      <c r="K38" s="115"/>
      <c r="L38" s="115"/>
      <c r="M38" s="115"/>
      <c r="N38" s="115"/>
      <c r="O38" s="116"/>
    </row>
    <row r="39" spans="1:15" x14ac:dyDescent="0.3">
      <c r="A39" s="8"/>
      <c r="B39" s="117" t="s">
        <v>264</v>
      </c>
      <c r="C39" s="282"/>
      <c r="D39" s="115"/>
      <c r="E39" s="115"/>
      <c r="F39" s="115"/>
      <c r="G39" s="115"/>
      <c r="H39" s="115"/>
      <c r="I39" s="115"/>
      <c r="J39" s="115"/>
      <c r="K39" s="115"/>
      <c r="L39" s="115"/>
      <c r="M39" s="115"/>
      <c r="N39" s="115"/>
      <c r="O39" s="116"/>
    </row>
    <row r="40" spans="1:15" x14ac:dyDescent="0.3">
      <c r="A40" s="8"/>
      <c r="B40" s="117" t="s">
        <v>261</v>
      </c>
      <c r="C40" s="282"/>
      <c r="D40" s="115"/>
      <c r="E40" s="115"/>
      <c r="F40" s="115"/>
      <c r="G40" s="115"/>
      <c r="H40" s="115"/>
      <c r="I40" s="115"/>
      <c r="J40" s="115"/>
      <c r="K40" s="115"/>
      <c r="L40" s="115"/>
      <c r="M40" s="115"/>
      <c r="N40" s="115"/>
      <c r="O40" s="116"/>
    </row>
    <row r="41" spans="1:15" ht="15" thickBot="1" x14ac:dyDescent="0.35">
      <c r="A41" s="10"/>
      <c r="B41" s="118"/>
      <c r="C41" s="283"/>
      <c r="D41" s="119"/>
      <c r="E41" s="119"/>
      <c r="F41" s="119"/>
      <c r="G41" s="119"/>
      <c r="H41" s="119"/>
      <c r="I41" s="119"/>
      <c r="J41" s="119"/>
      <c r="K41" s="119"/>
      <c r="L41" s="119"/>
      <c r="M41" s="119"/>
      <c r="N41" s="119"/>
      <c r="O41" s="120"/>
    </row>
    <row r="42" spans="1:15" x14ac:dyDescent="0.3">
      <c r="A42" s="8"/>
      <c r="B42" s="8"/>
      <c r="C42" s="8"/>
      <c r="D42" s="8"/>
      <c r="E42" s="8"/>
      <c r="F42" s="8"/>
      <c r="G42" s="8"/>
      <c r="H42" s="8"/>
      <c r="I42" s="8"/>
      <c r="J42" s="8"/>
      <c r="K42" s="8"/>
      <c r="L42" s="8"/>
      <c r="M42" s="8"/>
      <c r="N42" s="8"/>
      <c r="O42" s="8"/>
    </row>
  </sheetData>
  <protectedRanges>
    <protectedRange sqref="E7:N7 D8:N9 B6:C7 D6:N6" name="Range1"/>
  </protectedRanges>
  <mergeCells count="21">
    <mergeCell ref="B27:D27"/>
    <mergeCell ref="E4:N4"/>
    <mergeCell ref="B29:D29"/>
    <mergeCell ref="B28:D28"/>
    <mergeCell ref="G27:I27"/>
    <mergeCell ref="G28:I28"/>
    <mergeCell ref="G29:I29"/>
    <mergeCell ref="L29:N29"/>
    <mergeCell ref="N27:N28"/>
    <mergeCell ref="L27:M28"/>
    <mergeCell ref="E2:L2"/>
    <mergeCell ref="B4:D4"/>
    <mergeCell ref="G24:J24"/>
    <mergeCell ref="G25:I25"/>
    <mergeCell ref="G26:I26"/>
    <mergeCell ref="B26:D26"/>
    <mergeCell ref="B24:D24"/>
    <mergeCell ref="B25:D25"/>
    <mergeCell ref="L26:N26"/>
    <mergeCell ref="B10:B11"/>
    <mergeCell ref="C10:C11"/>
  </mergeCells>
  <conditionalFormatting sqref="N7">
    <cfRule type="expression" dxfId="24" priority="1">
      <formula>$N$6=1</formula>
    </cfRule>
    <cfRule type="cellIs" dxfId="23" priority="36" operator="lessThan">
      <formula>1</formula>
    </cfRule>
  </conditionalFormatting>
  <conditionalFormatting sqref="E7">
    <cfRule type="expression" dxfId="22" priority="32">
      <formula>$E$6=1</formula>
    </cfRule>
  </conditionalFormatting>
  <conditionalFormatting sqref="E8:E9">
    <cfRule type="expression" dxfId="21" priority="30">
      <formula>$E$6=5</formula>
    </cfRule>
  </conditionalFormatting>
  <conditionalFormatting sqref="F8:F9">
    <cfRule type="expression" dxfId="20" priority="29">
      <formula>$F$6=5</formula>
    </cfRule>
  </conditionalFormatting>
  <conditionalFormatting sqref="G8:G9">
    <cfRule type="expression" dxfId="19" priority="28">
      <formula>$G$6=5</formula>
    </cfRule>
  </conditionalFormatting>
  <conditionalFormatting sqref="H8:H9">
    <cfRule type="expression" dxfId="18" priority="27">
      <formula>$H$6=5</formula>
    </cfRule>
  </conditionalFormatting>
  <conditionalFormatting sqref="I8:I9">
    <cfRule type="expression" dxfId="17" priority="26">
      <formula>$I$6=5</formula>
    </cfRule>
  </conditionalFormatting>
  <conditionalFormatting sqref="J8:J9">
    <cfRule type="expression" dxfId="16" priority="25">
      <formula>$J$6=5</formula>
    </cfRule>
  </conditionalFormatting>
  <conditionalFormatting sqref="K8:K9">
    <cfRule type="expression" dxfId="15" priority="24">
      <formula>$K$6=5</formula>
    </cfRule>
  </conditionalFormatting>
  <conditionalFormatting sqref="L8:L9">
    <cfRule type="expression" dxfId="14" priority="23">
      <formula>$L$6=5</formula>
    </cfRule>
  </conditionalFormatting>
  <conditionalFormatting sqref="M8:M9">
    <cfRule type="expression" dxfId="13" priority="22">
      <formula>$M$6=5</formula>
    </cfRule>
  </conditionalFormatting>
  <conditionalFormatting sqref="N8:N9">
    <cfRule type="expression" dxfId="12" priority="21">
      <formula>$N$6=5</formula>
    </cfRule>
  </conditionalFormatting>
  <conditionalFormatting sqref="B8:C8 B10:C10">
    <cfRule type="expression" dxfId="11" priority="11">
      <formula>"""if('Sign &amp; Sig. Dim.'!$C$42=1)"""</formula>
    </cfRule>
  </conditionalFormatting>
  <conditionalFormatting sqref="F7">
    <cfRule type="expression" dxfId="10" priority="9">
      <formula>$F$6=1</formula>
    </cfRule>
  </conditionalFormatting>
  <conditionalFormatting sqref="G7">
    <cfRule type="expression" dxfId="9" priority="8">
      <formula>$G$6=1</formula>
    </cfRule>
  </conditionalFormatting>
  <conditionalFormatting sqref="H7">
    <cfRule type="expression" dxfId="8" priority="7">
      <formula>$H$6=1</formula>
    </cfRule>
  </conditionalFormatting>
  <conditionalFormatting sqref="I7">
    <cfRule type="expression" dxfId="7" priority="6">
      <formula>$I$6=1</formula>
    </cfRule>
  </conditionalFormatting>
  <conditionalFormatting sqref="J7">
    <cfRule type="expression" dxfId="6" priority="5">
      <formula>$J$6=1</formula>
    </cfRule>
  </conditionalFormatting>
  <conditionalFormatting sqref="K7">
    <cfRule type="expression" dxfId="5" priority="4">
      <formula>$K$6=1</formula>
    </cfRule>
  </conditionalFormatting>
  <conditionalFormatting sqref="L7">
    <cfRule type="expression" dxfId="4" priority="3">
      <formula>$L$6=1</formula>
    </cfRule>
  </conditionalFormatting>
  <conditionalFormatting sqref="M7">
    <cfRule type="expression" dxfId="3" priority="2">
      <formula>$M$6=1</formula>
    </cfRule>
  </conditionalFormatting>
  <pageMargins left="0.7" right="0.7" top="0.75" bottom="0.75" header="0.3" footer="0.3"/>
  <pageSetup scale="73" orientation="landscape" r:id="rId1"/>
  <headerFooter>
    <oddFooter>&amp;L&amp;D&amp;C&amp;F&amp;R&amp;A</oddFooter>
  </headerFooter>
  <ignoredErrors>
    <ignoredError sqref="E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22" r:id="rId4" name="Group Box 198">
              <controlPr defaultSize="0" autoFill="0" autoPict="0">
                <anchor moveWithCells="1">
                  <from>
                    <xdr:col>4</xdr:col>
                    <xdr:colOff>0</xdr:colOff>
                    <xdr:row>5</xdr:row>
                    <xdr:rowOff>0</xdr:rowOff>
                  </from>
                  <to>
                    <xdr:col>5</xdr:col>
                    <xdr:colOff>7620</xdr:colOff>
                    <xdr:row>6</xdr:row>
                    <xdr:rowOff>0</xdr:rowOff>
                  </to>
                </anchor>
              </controlPr>
            </control>
          </mc:Choice>
        </mc:AlternateContent>
        <mc:AlternateContent xmlns:mc="http://schemas.openxmlformats.org/markup-compatibility/2006">
          <mc:Choice Requires="x14">
            <control shapeId="1045" r:id="rId5" name="Option Button 21">
              <controlPr defaultSize="0" autoFill="0" autoLine="0" autoPict="0">
                <anchor moveWithCells="1">
                  <from>
                    <xdr:col>1</xdr:col>
                    <xdr:colOff>152400</xdr:colOff>
                    <xdr:row>5</xdr:row>
                    <xdr:rowOff>281940</xdr:rowOff>
                  </from>
                  <to>
                    <xdr:col>2</xdr:col>
                    <xdr:colOff>0</xdr:colOff>
                    <xdr:row>5</xdr:row>
                    <xdr:rowOff>457200</xdr:rowOff>
                  </to>
                </anchor>
              </controlPr>
            </control>
          </mc:Choice>
        </mc:AlternateContent>
        <mc:AlternateContent xmlns:mc="http://schemas.openxmlformats.org/markup-compatibility/2006">
          <mc:Choice Requires="x14">
            <control shapeId="1046" r:id="rId6" name="Option Button 22">
              <controlPr defaultSize="0" autoFill="0" autoLine="0" autoPict="0">
                <anchor moveWithCells="1">
                  <from>
                    <xdr:col>1</xdr:col>
                    <xdr:colOff>152400</xdr:colOff>
                    <xdr:row>5</xdr:row>
                    <xdr:rowOff>457200</xdr:rowOff>
                  </from>
                  <to>
                    <xdr:col>1</xdr:col>
                    <xdr:colOff>815340</xdr:colOff>
                    <xdr:row>5</xdr:row>
                    <xdr:rowOff>640080</xdr:rowOff>
                  </to>
                </anchor>
              </controlPr>
            </control>
          </mc:Choice>
        </mc:AlternateContent>
        <mc:AlternateContent xmlns:mc="http://schemas.openxmlformats.org/markup-compatibility/2006">
          <mc:Choice Requires="x14">
            <control shapeId="1050" r:id="rId7" name="Option Button 26">
              <controlPr locked="0" defaultSize="0" autoFill="0" autoLine="0" autoPict="0">
                <anchor moveWithCells="1">
                  <from>
                    <xdr:col>1</xdr:col>
                    <xdr:colOff>198120</xdr:colOff>
                    <xdr:row>5</xdr:row>
                    <xdr:rowOff>998220</xdr:rowOff>
                  </from>
                  <to>
                    <xdr:col>2</xdr:col>
                    <xdr:colOff>7620</xdr:colOff>
                    <xdr:row>6</xdr:row>
                    <xdr:rowOff>7620</xdr:rowOff>
                  </to>
                </anchor>
              </controlPr>
            </control>
          </mc:Choice>
        </mc:AlternateContent>
        <mc:AlternateContent xmlns:mc="http://schemas.openxmlformats.org/markup-compatibility/2006">
          <mc:Choice Requires="x14">
            <control shapeId="1051" r:id="rId8" name="Option Button 27">
              <controlPr locked="0" defaultSize="0" autoFill="0" autoLine="0" autoPict="0">
                <anchor moveWithCells="1">
                  <from>
                    <xdr:col>1</xdr:col>
                    <xdr:colOff>198120</xdr:colOff>
                    <xdr:row>6</xdr:row>
                    <xdr:rowOff>144780</xdr:rowOff>
                  </from>
                  <to>
                    <xdr:col>2</xdr:col>
                    <xdr:colOff>7620</xdr:colOff>
                    <xdr:row>7</xdr:row>
                    <xdr:rowOff>106680</xdr:rowOff>
                  </to>
                </anchor>
              </controlPr>
            </control>
          </mc:Choice>
        </mc:AlternateContent>
        <mc:AlternateContent xmlns:mc="http://schemas.openxmlformats.org/markup-compatibility/2006">
          <mc:Choice Requires="x14">
            <control shapeId="1055" r:id="rId9" name="Group Box 31">
              <controlPr defaultSize="0" autoFill="0" autoPict="0" altText="Signal Orientation">
                <anchor moveWithCells="1">
                  <from>
                    <xdr:col>1</xdr:col>
                    <xdr:colOff>38100</xdr:colOff>
                    <xdr:row>5</xdr:row>
                    <xdr:rowOff>144780</xdr:rowOff>
                  </from>
                  <to>
                    <xdr:col>2</xdr:col>
                    <xdr:colOff>205740</xdr:colOff>
                    <xdr:row>5</xdr:row>
                    <xdr:rowOff>716280</xdr:rowOff>
                  </to>
                </anchor>
              </controlPr>
            </control>
          </mc:Choice>
        </mc:AlternateContent>
        <mc:AlternateContent xmlns:mc="http://schemas.openxmlformats.org/markup-compatibility/2006">
          <mc:Choice Requires="x14">
            <control shapeId="1056" r:id="rId10" name="Group Box 32">
              <controlPr locked="0" defaultSize="0" autoFill="0" autoPict="0" altText="Back Plates">
                <anchor moveWithCells="1">
                  <from>
                    <xdr:col>1</xdr:col>
                    <xdr:colOff>45720</xdr:colOff>
                    <xdr:row>5</xdr:row>
                    <xdr:rowOff>861060</xdr:rowOff>
                  </from>
                  <to>
                    <xdr:col>2</xdr:col>
                    <xdr:colOff>220980</xdr:colOff>
                    <xdr:row>7</xdr:row>
                    <xdr:rowOff>182880</xdr:rowOff>
                  </to>
                </anchor>
              </controlPr>
            </control>
          </mc:Choice>
        </mc:AlternateContent>
        <mc:AlternateContent xmlns:mc="http://schemas.openxmlformats.org/markup-compatibility/2006">
          <mc:Choice Requires="x14">
            <control shapeId="1062" r:id="rId11" name="Option Button 38">
              <controlPr defaultSize="0" autoFill="0" autoLine="0" autoPict="0" altText="None">
                <anchor moveWithCells="1">
                  <from>
                    <xdr:col>4</xdr:col>
                    <xdr:colOff>76200</xdr:colOff>
                    <xdr:row>5</xdr:row>
                    <xdr:rowOff>76200</xdr:rowOff>
                  </from>
                  <to>
                    <xdr:col>4</xdr:col>
                    <xdr:colOff>655320</xdr:colOff>
                    <xdr:row>5</xdr:row>
                    <xdr:rowOff>281940</xdr:rowOff>
                  </to>
                </anchor>
              </controlPr>
            </control>
          </mc:Choice>
        </mc:AlternateContent>
        <mc:AlternateContent xmlns:mc="http://schemas.openxmlformats.org/markup-compatibility/2006">
          <mc:Choice Requires="x14">
            <control shapeId="1063" r:id="rId12" name="Option Button 39">
              <controlPr defaultSize="0" autoFill="0" autoLine="0" autoPict="0" altText="3 Head">
                <anchor moveWithCells="1">
                  <from>
                    <xdr:col>4</xdr:col>
                    <xdr:colOff>76200</xdr:colOff>
                    <xdr:row>5</xdr:row>
                    <xdr:rowOff>266700</xdr:rowOff>
                  </from>
                  <to>
                    <xdr:col>4</xdr:col>
                    <xdr:colOff>655320</xdr:colOff>
                    <xdr:row>5</xdr:row>
                    <xdr:rowOff>472440</xdr:rowOff>
                  </to>
                </anchor>
              </controlPr>
            </control>
          </mc:Choice>
        </mc:AlternateContent>
        <mc:AlternateContent xmlns:mc="http://schemas.openxmlformats.org/markup-compatibility/2006">
          <mc:Choice Requires="x14">
            <control shapeId="1064" r:id="rId13" name="Option Button 40">
              <controlPr defaultSize="0" autoFill="0" autoLine="0" autoPict="0" altText="4 Head">
                <anchor moveWithCells="1">
                  <from>
                    <xdr:col>4</xdr:col>
                    <xdr:colOff>76200</xdr:colOff>
                    <xdr:row>5</xdr:row>
                    <xdr:rowOff>464820</xdr:rowOff>
                  </from>
                  <to>
                    <xdr:col>4</xdr:col>
                    <xdr:colOff>655320</xdr:colOff>
                    <xdr:row>5</xdr:row>
                    <xdr:rowOff>678180</xdr:rowOff>
                  </to>
                </anchor>
              </controlPr>
            </control>
          </mc:Choice>
        </mc:AlternateContent>
        <mc:AlternateContent xmlns:mc="http://schemas.openxmlformats.org/markup-compatibility/2006">
          <mc:Choice Requires="x14">
            <control shapeId="1065" r:id="rId14" name="Option Button 41">
              <controlPr defaultSize="0" autoFill="0" autoLine="0" autoPict="0" altText="5 Head">
                <anchor moveWithCells="1">
                  <from>
                    <xdr:col>4</xdr:col>
                    <xdr:colOff>76200</xdr:colOff>
                    <xdr:row>5</xdr:row>
                    <xdr:rowOff>662940</xdr:rowOff>
                  </from>
                  <to>
                    <xdr:col>4</xdr:col>
                    <xdr:colOff>662940</xdr:colOff>
                    <xdr:row>5</xdr:row>
                    <xdr:rowOff>876300</xdr:rowOff>
                  </to>
                </anchor>
              </controlPr>
            </control>
          </mc:Choice>
        </mc:AlternateContent>
        <mc:AlternateContent xmlns:mc="http://schemas.openxmlformats.org/markup-compatibility/2006">
          <mc:Choice Requires="x14">
            <control shapeId="1069" r:id="rId15" name="Option Button 45">
              <controlPr defaultSize="0" autoFill="0" autoLine="0" autoPict="0" altText="Dog House">
                <anchor moveWithCells="1">
                  <from>
                    <xdr:col>4</xdr:col>
                    <xdr:colOff>76200</xdr:colOff>
                    <xdr:row>5</xdr:row>
                    <xdr:rowOff>876300</xdr:rowOff>
                  </from>
                  <to>
                    <xdr:col>4</xdr:col>
                    <xdr:colOff>662940</xdr:colOff>
                    <xdr:row>5</xdr:row>
                    <xdr:rowOff>1089660</xdr:rowOff>
                  </to>
                </anchor>
              </controlPr>
            </control>
          </mc:Choice>
        </mc:AlternateContent>
        <mc:AlternateContent xmlns:mc="http://schemas.openxmlformats.org/markup-compatibility/2006">
          <mc:Choice Requires="x14">
            <control shapeId="1107" r:id="rId16" name="Option Button 83">
              <controlPr defaultSize="0" autoFill="0" autoLine="0" autoPict="0" altText="None">
                <anchor moveWithCells="1">
                  <from>
                    <xdr:col>5</xdr:col>
                    <xdr:colOff>91440</xdr:colOff>
                    <xdr:row>5</xdr:row>
                    <xdr:rowOff>76200</xdr:rowOff>
                  </from>
                  <to>
                    <xdr:col>5</xdr:col>
                    <xdr:colOff>662940</xdr:colOff>
                    <xdr:row>5</xdr:row>
                    <xdr:rowOff>312420</xdr:rowOff>
                  </to>
                </anchor>
              </controlPr>
            </control>
          </mc:Choice>
        </mc:AlternateContent>
        <mc:AlternateContent xmlns:mc="http://schemas.openxmlformats.org/markup-compatibility/2006">
          <mc:Choice Requires="x14">
            <control shapeId="1108" r:id="rId17" name="Option Button 84">
              <controlPr defaultSize="0" autoFill="0" autoLine="0" autoPict="0" altText="3 Head">
                <anchor moveWithCells="1">
                  <from>
                    <xdr:col>5</xdr:col>
                    <xdr:colOff>91440</xdr:colOff>
                    <xdr:row>5</xdr:row>
                    <xdr:rowOff>266700</xdr:rowOff>
                  </from>
                  <to>
                    <xdr:col>5</xdr:col>
                    <xdr:colOff>662940</xdr:colOff>
                    <xdr:row>5</xdr:row>
                    <xdr:rowOff>510540</xdr:rowOff>
                  </to>
                </anchor>
              </controlPr>
            </control>
          </mc:Choice>
        </mc:AlternateContent>
        <mc:AlternateContent xmlns:mc="http://schemas.openxmlformats.org/markup-compatibility/2006">
          <mc:Choice Requires="x14">
            <control shapeId="1109" r:id="rId18" name="Option Button 85">
              <controlPr defaultSize="0" autoFill="0" autoLine="0" autoPict="0" altText="4 Head">
                <anchor moveWithCells="1">
                  <from>
                    <xdr:col>5</xdr:col>
                    <xdr:colOff>91440</xdr:colOff>
                    <xdr:row>5</xdr:row>
                    <xdr:rowOff>472440</xdr:rowOff>
                  </from>
                  <to>
                    <xdr:col>5</xdr:col>
                    <xdr:colOff>662940</xdr:colOff>
                    <xdr:row>5</xdr:row>
                    <xdr:rowOff>708660</xdr:rowOff>
                  </to>
                </anchor>
              </controlPr>
            </control>
          </mc:Choice>
        </mc:AlternateContent>
        <mc:AlternateContent xmlns:mc="http://schemas.openxmlformats.org/markup-compatibility/2006">
          <mc:Choice Requires="x14">
            <control shapeId="1110" r:id="rId19" name="Option Button 86">
              <controlPr defaultSize="0" autoFill="0" autoLine="0" autoPict="0" altText="5 Head">
                <anchor moveWithCells="1">
                  <from>
                    <xdr:col>5</xdr:col>
                    <xdr:colOff>91440</xdr:colOff>
                    <xdr:row>5</xdr:row>
                    <xdr:rowOff>670560</xdr:rowOff>
                  </from>
                  <to>
                    <xdr:col>5</xdr:col>
                    <xdr:colOff>662940</xdr:colOff>
                    <xdr:row>5</xdr:row>
                    <xdr:rowOff>914400</xdr:rowOff>
                  </to>
                </anchor>
              </controlPr>
            </control>
          </mc:Choice>
        </mc:AlternateContent>
        <mc:AlternateContent xmlns:mc="http://schemas.openxmlformats.org/markup-compatibility/2006">
          <mc:Choice Requires="x14">
            <control shapeId="1111" r:id="rId20" name="Option Button 87">
              <controlPr defaultSize="0" autoFill="0" autoLine="0" autoPict="0" altText="Dog House">
                <anchor moveWithCells="1">
                  <from>
                    <xdr:col>5</xdr:col>
                    <xdr:colOff>91440</xdr:colOff>
                    <xdr:row>5</xdr:row>
                    <xdr:rowOff>883920</xdr:rowOff>
                  </from>
                  <to>
                    <xdr:col>5</xdr:col>
                    <xdr:colOff>662940</xdr:colOff>
                    <xdr:row>5</xdr:row>
                    <xdr:rowOff>1127760</xdr:rowOff>
                  </to>
                </anchor>
              </controlPr>
            </control>
          </mc:Choice>
        </mc:AlternateContent>
        <mc:AlternateContent xmlns:mc="http://schemas.openxmlformats.org/markup-compatibility/2006">
          <mc:Choice Requires="x14">
            <control shapeId="1114" r:id="rId21" name="Option Button 90">
              <controlPr defaultSize="0" autoFill="0" autoLine="0" autoPict="0" altText="None">
                <anchor moveWithCells="1">
                  <from>
                    <xdr:col>6</xdr:col>
                    <xdr:colOff>91440</xdr:colOff>
                    <xdr:row>5</xdr:row>
                    <xdr:rowOff>76200</xdr:rowOff>
                  </from>
                  <to>
                    <xdr:col>6</xdr:col>
                    <xdr:colOff>678180</xdr:colOff>
                    <xdr:row>5</xdr:row>
                    <xdr:rowOff>312420</xdr:rowOff>
                  </to>
                </anchor>
              </controlPr>
            </control>
          </mc:Choice>
        </mc:AlternateContent>
        <mc:AlternateContent xmlns:mc="http://schemas.openxmlformats.org/markup-compatibility/2006">
          <mc:Choice Requires="x14">
            <control shapeId="1115" r:id="rId22" name="Option Button 91">
              <controlPr defaultSize="0" autoFill="0" autoLine="0" autoPict="0" altText="3 Head">
                <anchor moveWithCells="1">
                  <from>
                    <xdr:col>6</xdr:col>
                    <xdr:colOff>91440</xdr:colOff>
                    <xdr:row>5</xdr:row>
                    <xdr:rowOff>266700</xdr:rowOff>
                  </from>
                  <to>
                    <xdr:col>6</xdr:col>
                    <xdr:colOff>678180</xdr:colOff>
                    <xdr:row>5</xdr:row>
                    <xdr:rowOff>510540</xdr:rowOff>
                  </to>
                </anchor>
              </controlPr>
            </control>
          </mc:Choice>
        </mc:AlternateContent>
        <mc:AlternateContent xmlns:mc="http://schemas.openxmlformats.org/markup-compatibility/2006">
          <mc:Choice Requires="x14">
            <control shapeId="1116" r:id="rId23" name="Option Button 92">
              <controlPr defaultSize="0" autoFill="0" autoLine="0" autoPict="0" altText="4 Head">
                <anchor moveWithCells="1">
                  <from>
                    <xdr:col>6</xdr:col>
                    <xdr:colOff>91440</xdr:colOff>
                    <xdr:row>5</xdr:row>
                    <xdr:rowOff>472440</xdr:rowOff>
                  </from>
                  <to>
                    <xdr:col>6</xdr:col>
                    <xdr:colOff>678180</xdr:colOff>
                    <xdr:row>5</xdr:row>
                    <xdr:rowOff>708660</xdr:rowOff>
                  </to>
                </anchor>
              </controlPr>
            </control>
          </mc:Choice>
        </mc:AlternateContent>
        <mc:AlternateContent xmlns:mc="http://schemas.openxmlformats.org/markup-compatibility/2006">
          <mc:Choice Requires="x14">
            <control shapeId="1117" r:id="rId24" name="Option Button 93">
              <controlPr defaultSize="0" autoFill="0" autoLine="0" autoPict="0" altText="5 Head">
                <anchor moveWithCells="1">
                  <from>
                    <xdr:col>6</xdr:col>
                    <xdr:colOff>91440</xdr:colOff>
                    <xdr:row>5</xdr:row>
                    <xdr:rowOff>670560</xdr:rowOff>
                  </from>
                  <to>
                    <xdr:col>6</xdr:col>
                    <xdr:colOff>678180</xdr:colOff>
                    <xdr:row>5</xdr:row>
                    <xdr:rowOff>914400</xdr:rowOff>
                  </to>
                </anchor>
              </controlPr>
            </control>
          </mc:Choice>
        </mc:AlternateContent>
        <mc:AlternateContent xmlns:mc="http://schemas.openxmlformats.org/markup-compatibility/2006">
          <mc:Choice Requires="x14">
            <control shapeId="1118" r:id="rId25" name="Option Button 94">
              <controlPr defaultSize="0" autoFill="0" autoLine="0" autoPict="0" altText="Dog House">
                <anchor moveWithCells="1">
                  <from>
                    <xdr:col>6</xdr:col>
                    <xdr:colOff>91440</xdr:colOff>
                    <xdr:row>5</xdr:row>
                    <xdr:rowOff>883920</xdr:rowOff>
                  </from>
                  <to>
                    <xdr:col>6</xdr:col>
                    <xdr:colOff>678180</xdr:colOff>
                    <xdr:row>5</xdr:row>
                    <xdr:rowOff>1127760</xdr:rowOff>
                  </to>
                </anchor>
              </controlPr>
            </control>
          </mc:Choice>
        </mc:AlternateContent>
        <mc:AlternateContent xmlns:mc="http://schemas.openxmlformats.org/markup-compatibility/2006">
          <mc:Choice Requires="x14">
            <control shapeId="1133" r:id="rId26" name="Option Button 109">
              <controlPr defaultSize="0" autoFill="0" autoLine="0" autoPict="0" altText="None">
                <anchor moveWithCells="1">
                  <from>
                    <xdr:col>7</xdr:col>
                    <xdr:colOff>99060</xdr:colOff>
                    <xdr:row>5</xdr:row>
                    <xdr:rowOff>76200</xdr:rowOff>
                  </from>
                  <to>
                    <xdr:col>7</xdr:col>
                    <xdr:colOff>662940</xdr:colOff>
                    <xdr:row>5</xdr:row>
                    <xdr:rowOff>335280</xdr:rowOff>
                  </to>
                </anchor>
              </controlPr>
            </control>
          </mc:Choice>
        </mc:AlternateContent>
        <mc:AlternateContent xmlns:mc="http://schemas.openxmlformats.org/markup-compatibility/2006">
          <mc:Choice Requires="x14">
            <control shapeId="1134" r:id="rId27" name="Option Button 110">
              <controlPr defaultSize="0" autoFill="0" autoLine="0" autoPict="0" altText="3 Head">
                <anchor moveWithCells="1">
                  <from>
                    <xdr:col>7</xdr:col>
                    <xdr:colOff>99060</xdr:colOff>
                    <xdr:row>5</xdr:row>
                    <xdr:rowOff>281940</xdr:rowOff>
                  </from>
                  <to>
                    <xdr:col>7</xdr:col>
                    <xdr:colOff>662940</xdr:colOff>
                    <xdr:row>5</xdr:row>
                    <xdr:rowOff>518160</xdr:rowOff>
                  </to>
                </anchor>
              </controlPr>
            </control>
          </mc:Choice>
        </mc:AlternateContent>
        <mc:AlternateContent xmlns:mc="http://schemas.openxmlformats.org/markup-compatibility/2006">
          <mc:Choice Requires="x14">
            <control shapeId="1135" r:id="rId28" name="Option Button 111">
              <controlPr defaultSize="0" autoFill="0" autoLine="0" autoPict="0" altText="4 Head">
                <anchor moveWithCells="1">
                  <from>
                    <xdr:col>7</xdr:col>
                    <xdr:colOff>99060</xdr:colOff>
                    <xdr:row>5</xdr:row>
                    <xdr:rowOff>472440</xdr:rowOff>
                  </from>
                  <to>
                    <xdr:col>7</xdr:col>
                    <xdr:colOff>662940</xdr:colOff>
                    <xdr:row>5</xdr:row>
                    <xdr:rowOff>716280</xdr:rowOff>
                  </to>
                </anchor>
              </controlPr>
            </control>
          </mc:Choice>
        </mc:AlternateContent>
        <mc:AlternateContent xmlns:mc="http://schemas.openxmlformats.org/markup-compatibility/2006">
          <mc:Choice Requires="x14">
            <control shapeId="1136" r:id="rId29" name="Option Button 112">
              <controlPr defaultSize="0" autoFill="0" autoLine="0" autoPict="0" altText="5 Head">
                <anchor moveWithCells="1">
                  <from>
                    <xdr:col>7</xdr:col>
                    <xdr:colOff>99060</xdr:colOff>
                    <xdr:row>5</xdr:row>
                    <xdr:rowOff>670560</xdr:rowOff>
                  </from>
                  <to>
                    <xdr:col>7</xdr:col>
                    <xdr:colOff>662940</xdr:colOff>
                    <xdr:row>5</xdr:row>
                    <xdr:rowOff>906780</xdr:rowOff>
                  </to>
                </anchor>
              </controlPr>
            </control>
          </mc:Choice>
        </mc:AlternateContent>
        <mc:AlternateContent xmlns:mc="http://schemas.openxmlformats.org/markup-compatibility/2006">
          <mc:Choice Requires="x14">
            <control shapeId="1137" r:id="rId30" name="Option Button 113">
              <controlPr defaultSize="0" autoFill="0" autoLine="0" autoPict="0" altText="Dog House">
                <anchor moveWithCells="1">
                  <from>
                    <xdr:col>7</xdr:col>
                    <xdr:colOff>106680</xdr:colOff>
                    <xdr:row>5</xdr:row>
                    <xdr:rowOff>891540</xdr:rowOff>
                  </from>
                  <to>
                    <xdr:col>7</xdr:col>
                    <xdr:colOff>662940</xdr:colOff>
                    <xdr:row>5</xdr:row>
                    <xdr:rowOff>1120140</xdr:rowOff>
                  </to>
                </anchor>
              </controlPr>
            </control>
          </mc:Choice>
        </mc:AlternateContent>
        <mc:AlternateContent xmlns:mc="http://schemas.openxmlformats.org/markup-compatibility/2006">
          <mc:Choice Requires="x14">
            <control shapeId="1221" r:id="rId31" name="Group Box 197">
              <controlPr defaultSize="0" autoFill="0" autoPict="0">
                <anchor moveWithCells="1">
                  <from>
                    <xdr:col>5</xdr:col>
                    <xdr:colOff>7620</xdr:colOff>
                    <xdr:row>5</xdr:row>
                    <xdr:rowOff>0</xdr:rowOff>
                  </from>
                  <to>
                    <xdr:col>6</xdr:col>
                    <xdr:colOff>0</xdr:colOff>
                    <xdr:row>6</xdr:row>
                    <xdr:rowOff>0</xdr:rowOff>
                  </to>
                </anchor>
              </controlPr>
            </control>
          </mc:Choice>
        </mc:AlternateContent>
        <mc:AlternateContent xmlns:mc="http://schemas.openxmlformats.org/markup-compatibility/2006">
          <mc:Choice Requires="x14">
            <control shapeId="1223" r:id="rId32" name="Group Box 199">
              <controlPr defaultSize="0" autoFill="0" autoPict="0">
                <anchor moveWithCells="1">
                  <from>
                    <xdr:col>6</xdr:col>
                    <xdr:colOff>0</xdr:colOff>
                    <xdr:row>5</xdr:row>
                    <xdr:rowOff>0</xdr:rowOff>
                  </from>
                  <to>
                    <xdr:col>6</xdr:col>
                    <xdr:colOff>746760</xdr:colOff>
                    <xdr:row>6</xdr:row>
                    <xdr:rowOff>0</xdr:rowOff>
                  </to>
                </anchor>
              </controlPr>
            </control>
          </mc:Choice>
        </mc:AlternateContent>
        <mc:AlternateContent xmlns:mc="http://schemas.openxmlformats.org/markup-compatibility/2006">
          <mc:Choice Requires="x14">
            <control shapeId="1262" r:id="rId33" name="Group Box 238">
              <controlPr defaultSize="0" autoFill="0" autoPict="0">
                <anchor moveWithCells="1">
                  <from>
                    <xdr:col>7</xdr:col>
                    <xdr:colOff>746760</xdr:colOff>
                    <xdr:row>5</xdr:row>
                    <xdr:rowOff>0</xdr:rowOff>
                  </from>
                  <to>
                    <xdr:col>8</xdr:col>
                    <xdr:colOff>746760</xdr:colOff>
                    <xdr:row>6</xdr:row>
                    <xdr:rowOff>0</xdr:rowOff>
                  </to>
                </anchor>
              </controlPr>
            </control>
          </mc:Choice>
        </mc:AlternateContent>
        <mc:AlternateContent xmlns:mc="http://schemas.openxmlformats.org/markup-compatibility/2006">
          <mc:Choice Requires="x14">
            <control shapeId="1277" r:id="rId34" name="Group Box 253">
              <controlPr defaultSize="0" autoFill="0" autoPict="0">
                <anchor moveWithCells="1">
                  <from>
                    <xdr:col>6</xdr:col>
                    <xdr:colOff>739140</xdr:colOff>
                    <xdr:row>5</xdr:row>
                    <xdr:rowOff>0</xdr:rowOff>
                  </from>
                  <to>
                    <xdr:col>8</xdr:col>
                    <xdr:colOff>0</xdr:colOff>
                    <xdr:row>6</xdr:row>
                    <xdr:rowOff>0</xdr:rowOff>
                  </to>
                </anchor>
              </controlPr>
            </control>
          </mc:Choice>
        </mc:AlternateContent>
        <mc:AlternateContent xmlns:mc="http://schemas.openxmlformats.org/markup-compatibility/2006">
          <mc:Choice Requires="x14">
            <control shapeId="1282" r:id="rId35" name="Option Button 258">
              <controlPr defaultSize="0" autoFill="0" autoLine="0" autoPict="0" altText="None">
                <anchor moveWithCells="1">
                  <from>
                    <xdr:col>8</xdr:col>
                    <xdr:colOff>91440</xdr:colOff>
                    <xdr:row>5</xdr:row>
                    <xdr:rowOff>76200</xdr:rowOff>
                  </from>
                  <to>
                    <xdr:col>8</xdr:col>
                    <xdr:colOff>678180</xdr:colOff>
                    <xdr:row>5</xdr:row>
                    <xdr:rowOff>304800</xdr:rowOff>
                  </to>
                </anchor>
              </controlPr>
            </control>
          </mc:Choice>
        </mc:AlternateContent>
        <mc:AlternateContent xmlns:mc="http://schemas.openxmlformats.org/markup-compatibility/2006">
          <mc:Choice Requires="x14">
            <control shapeId="1283" r:id="rId36" name="Option Button 259">
              <controlPr defaultSize="0" autoFill="0" autoLine="0" autoPict="0" altText="3 Head">
                <anchor moveWithCells="1">
                  <from>
                    <xdr:col>8</xdr:col>
                    <xdr:colOff>91440</xdr:colOff>
                    <xdr:row>5</xdr:row>
                    <xdr:rowOff>266700</xdr:rowOff>
                  </from>
                  <to>
                    <xdr:col>8</xdr:col>
                    <xdr:colOff>678180</xdr:colOff>
                    <xdr:row>5</xdr:row>
                    <xdr:rowOff>495300</xdr:rowOff>
                  </to>
                </anchor>
              </controlPr>
            </control>
          </mc:Choice>
        </mc:AlternateContent>
        <mc:AlternateContent xmlns:mc="http://schemas.openxmlformats.org/markup-compatibility/2006">
          <mc:Choice Requires="x14">
            <control shapeId="1284" r:id="rId37" name="Option Button 260">
              <controlPr defaultSize="0" autoFill="0" autoLine="0" autoPict="0" altText="4 Head">
                <anchor moveWithCells="1">
                  <from>
                    <xdr:col>8</xdr:col>
                    <xdr:colOff>91440</xdr:colOff>
                    <xdr:row>5</xdr:row>
                    <xdr:rowOff>464820</xdr:rowOff>
                  </from>
                  <to>
                    <xdr:col>8</xdr:col>
                    <xdr:colOff>678180</xdr:colOff>
                    <xdr:row>5</xdr:row>
                    <xdr:rowOff>693420</xdr:rowOff>
                  </to>
                </anchor>
              </controlPr>
            </control>
          </mc:Choice>
        </mc:AlternateContent>
        <mc:AlternateContent xmlns:mc="http://schemas.openxmlformats.org/markup-compatibility/2006">
          <mc:Choice Requires="x14">
            <control shapeId="1285" r:id="rId38" name="Option Button 261">
              <controlPr defaultSize="0" autoFill="0" autoLine="0" autoPict="0" altText="5 Head">
                <anchor moveWithCells="1">
                  <from>
                    <xdr:col>8</xdr:col>
                    <xdr:colOff>91440</xdr:colOff>
                    <xdr:row>5</xdr:row>
                    <xdr:rowOff>662940</xdr:rowOff>
                  </from>
                  <to>
                    <xdr:col>8</xdr:col>
                    <xdr:colOff>678180</xdr:colOff>
                    <xdr:row>5</xdr:row>
                    <xdr:rowOff>891540</xdr:rowOff>
                  </to>
                </anchor>
              </controlPr>
            </control>
          </mc:Choice>
        </mc:AlternateContent>
        <mc:AlternateContent xmlns:mc="http://schemas.openxmlformats.org/markup-compatibility/2006">
          <mc:Choice Requires="x14">
            <control shapeId="1286" r:id="rId39" name="Option Button 262">
              <controlPr defaultSize="0" autoFill="0" autoLine="0" autoPict="0" altText="Dog House">
                <anchor moveWithCells="1">
                  <from>
                    <xdr:col>8</xdr:col>
                    <xdr:colOff>91440</xdr:colOff>
                    <xdr:row>5</xdr:row>
                    <xdr:rowOff>853440</xdr:rowOff>
                  </from>
                  <to>
                    <xdr:col>8</xdr:col>
                    <xdr:colOff>678180</xdr:colOff>
                    <xdr:row>5</xdr:row>
                    <xdr:rowOff>1097280</xdr:rowOff>
                  </to>
                </anchor>
              </controlPr>
            </control>
          </mc:Choice>
        </mc:AlternateContent>
        <mc:AlternateContent xmlns:mc="http://schemas.openxmlformats.org/markup-compatibility/2006">
          <mc:Choice Requires="x14">
            <control shapeId="1289" r:id="rId40" name="Group Box 265">
              <controlPr defaultSize="0" autoFill="0" autoPict="0">
                <anchor moveWithCells="1">
                  <from>
                    <xdr:col>8</xdr:col>
                    <xdr:colOff>746760</xdr:colOff>
                    <xdr:row>5</xdr:row>
                    <xdr:rowOff>0</xdr:rowOff>
                  </from>
                  <to>
                    <xdr:col>10</xdr:col>
                    <xdr:colOff>22860</xdr:colOff>
                    <xdr:row>6</xdr:row>
                    <xdr:rowOff>0</xdr:rowOff>
                  </to>
                </anchor>
              </controlPr>
            </control>
          </mc:Choice>
        </mc:AlternateContent>
        <mc:AlternateContent xmlns:mc="http://schemas.openxmlformats.org/markup-compatibility/2006">
          <mc:Choice Requires="x14">
            <control shapeId="1290" r:id="rId41" name="Option Button 266">
              <controlPr defaultSize="0" autoFill="0" autoLine="0" autoPict="0" altText="None">
                <anchor moveWithCells="1">
                  <from>
                    <xdr:col>9</xdr:col>
                    <xdr:colOff>91440</xdr:colOff>
                    <xdr:row>5</xdr:row>
                    <xdr:rowOff>68580</xdr:rowOff>
                  </from>
                  <to>
                    <xdr:col>9</xdr:col>
                    <xdr:colOff>662940</xdr:colOff>
                    <xdr:row>5</xdr:row>
                    <xdr:rowOff>266700</xdr:rowOff>
                  </to>
                </anchor>
              </controlPr>
            </control>
          </mc:Choice>
        </mc:AlternateContent>
        <mc:AlternateContent xmlns:mc="http://schemas.openxmlformats.org/markup-compatibility/2006">
          <mc:Choice Requires="x14">
            <control shapeId="1291" r:id="rId42" name="Option Button 267">
              <controlPr defaultSize="0" autoFill="0" autoLine="0" autoPict="0" altText="3 Head">
                <anchor moveWithCells="1">
                  <from>
                    <xdr:col>9</xdr:col>
                    <xdr:colOff>91440</xdr:colOff>
                    <xdr:row>5</xdr:row>
                    <xdr:rowOff>259080</xdr:rowOff>
                  </from>
                  <to>
                    <xdr:col>9</xdr:col>
                    <xdr:colOff>662940</xdr:colOff>
                    <xdr:row>5</xdr:row>
                    <xdr:rowOff>464820</xdr:rowOff>
                  </to>
                </anchor>
              </controlPr>
            </control>
          </mc:Choice>
        </mc:AlternateContent>
        <mc:AlternateContent xmlns:mc="http://schemas.openxmlformats.org/markup-compatibility/2006">
          <mc:Choice Requires="x14">
            <control shapeId="1292" r:id="rId43" name="Option Button 268">
              <controlPr defaultSize="0" autoFill="0" autoLine="0" autoPict="0" altText="4 Head">
                <anchor moveWithCells="1">
                  <from>
                    <xdr:col>9</xdr:col>
                    <xdr:colOff>91440</xdr:colOff>
                    <xdr:row>5</xdr:row>
                    <xdr:rowOff>464820</xdr:rowOff>
                  </from>
                  <to>
                    <xdr:col>9</xdr:col>
                    <xdr:colOff>662940</xdr:colOff>
                    <xdr:row>5</xdr:row>
                    <xdr:rowOff>670560</xdr:rowOff>
                  </to>
                </anchor>
              </controlPr>
            </control>
          </mc:Choice>
        </mc:AlternateContent>
        <mc:AlternateContent xmlns:mc="http://schemas.openxmlformats.org/markup-compatibility/2006">
          <mc:Choice Requires="x14">
            <control shapeId="1293" r:id="rId44" name="Option Button 269">
              <controlPr defaultSize="0" autoFill="0" autoLine="0" autoPict="0" altText="5 Head">
                <anchor moveWithCells="1">
                  <from>
                    <xdr:col>9</xdr:col>
                    <xdr:colOff>91440</xdr:colOff>
                    <xdr:row>5</xdr:row>
                    <xdr:rowOff>670560</xdr:rowOff>
                  </from>
                  <to>
                    <xdr:col>9</xdr:col>
                    <xdr:colOff>662940</xdr:colOff>
                    <xdr:row>5</xdr:row>
                    <xdr:rowOff>868680</xdr:rowOff>
                  </to>
                </anchor>
              </controlPr>
            </control>
          </mc:Choice>
        </mc:AlternateContent>
        <mc:AlternateContent xmlns:mc="http://schemas.openxmlformats.org/markup-compatibility/2006">
          <mc:Choice Requires="x14">
            <control shapeId="1294" r:id="rId45" name="Option Button 270">
              <controlPr defaultSize="0" autoFill="0" autoLine="0" autoPict="0" altText="Dog House">
                <anchor moveWithCells="1">
                  <from>
                    <xdr:col>9</xdr:col>
                    <xdr:colOff>91440</xdr:colOff>
                    <xdr:row>5</xdr:row>
                    <xdr:rowOff>868680</xdr:rowOff>
                  </from>
                  <to>
                    <xdr:col>9</xdr:col>
                    <xdr:colOff>662940</xdr:colOff>
                    <xdr:row>5</xdr:row>
                    <xdr:rowOff>1082040</xdr:rowOff>
                  </to>
                </anchor>
              </controlPr>
            </control>
          </mc:Choice>
        </mc:AlternateContent>
        <mc:AlternateContent xmlns:mc="http://schemas.openxmlformats.org/markup-compatibility/2006">
          <mc:Choice Requires="x14">
            <control shapeId="1296" r:id="rId46" name="Group Box 272">
              <controlPr defaultSize="0" autoFill="0" autoPict="0">
                <anchor moveWithCells="1">
                  <from>
                    <xdr:col>10</xdr:col>
                    <xdr:colOff>15240</xdr:colOff>
                    <xdr:row>5</xdr:row>
                    <xdr:rowOff>0</xdr:rowOff>
                  </from>
                  <to>
                    <xdr:col>11</xdr:col>
                    <xdr:colOff>0</xdr:colOff>
                    <xdr:row>6</xdr:row>
                    <xdr:rowOff>0</xdr:rowOff>
                  </to>
                </anchor>
              </controlPr>
            </control>
          </mc:Choice>
        </mc:AlternateContent>
        <mc:AlternateContent xmlns:mc="http://schemas.openxmlformats.org/markup-compatibility/2006">
          <mc:Choice Requires="x14">
            <control shapeId="1297" r:id="rId47" name="Option Button 273">
              <controlPr defaultSize="0" autoFill="0" autoLine="0" autoPict="0" altText="None">
                <anchor moveWithCells="1">
                  <from>
                    <xdr:col>10</xdr:col>
                    <xdr:colOff>91440</xdr:colOff>
                    <xdr:row>5</xdr:row>
                    <xdr:rowOff>76200</xdr:rowOff>
                  </from>
                  <to>
                    <xdr:col>10</xdr:col>
                    <xdr:colOff>647700</xdr:colOff>
                    <xdr:row>5</xdr:row>
                    <xdr:rowOff>312420</xdr:rowOff>
                  </to>
                </anchor>
              </controlPr>
            </control>
          </mc:Choice>
        </mc:AlternateContent>
        <mc:AlternateContent xmlns:mc="http://schemas.openxmlformats.org/markup-compatibility/2006">
          <mc:Choice Requires="x14">
            <control shapeId="1298" r:id="rId48" name="Option Button 274">
              <controlPr defaultSize="0" autoFill="0" autoLine="0" autoPict="0" altText="3 Head">
                <anchor moveWithCells="1">
                  <from>
                    <xdr:col>10</xdr:col>
                    <xdr:colOff>91440</xdr:colOff>
                    <xdr:row>5</xdr:row>
                    <xdr:rowOff>266700</xdr:rowOff>
                  </from>
                  <to>
                    <xdr:col>10</xdr:col>
                    <xdr:colOff>647700</xdr:colOff>
                    <xdr:row>5</xdr:row>
                    <xdr:rowOff>502920</xdr:rowOff>
                  </to>
                </anchor>
              </controlPr>
            </control>
          </mc:Choice>
        </mc:AlternateContent>
        <mc:AlternateContent xmlns:mc="http://schemas.openxmlformats.org/markup-compatibility/2006">
          <mc:Choice Requires="x14">
            <control shapeId="1299" r:id="rId49" name="Option Button 275">
              <controlPr defaultSize="0" autoFill="0" autoLine="0" autoPict="0" altText="4 Head">
                <anchor moveWithCells="1">
                  <from>
                    <xdr:col>10</xdr:col>
                    <xdr:colOff>91440</xdr:colOff>
                    <xdr:row>5</xdr:row>
                    <xdr:rowOff>464820</xdr:rowOff>
                  </from>
                  <to>
                    <xdr:col>10</xdr:col>
                    <xdr:colOff>647700</xdr:colOff>
                    <xdr:row>5</xdr:row>
                    <xdr:rowOff>701040</xdr:rowOff>
                  </to>
                </anchor>
              </controlPr>
            </control>
          </mc:Choice>
        </mc:AlternateContent>
        <mc:AlternateContent xmlns:mc="http://schemas.openxmlformats.org/markup-compatibility/2006">
          <mc:Choice Requires="x14">
            <control shapeId="1300" r:id="rId50" name="Option Button 276">
              <controlPr defaultSize="0" autoFill="0" autoLine="0" autoPict="0" altText="5 Head">
                <anchor moveWithCells="1">
                  <from>
                    <xdr:col>10</xdr:col>
                    <xdr:colOff>91440</xdr:colOff>
                    <xdr:row>5</xdr:row>
                    <xdr:rowOff>662940</xdr:rowOff>
                  </from>
                  <to>
                    <xdr:col>10</xdr:col>
                    <xdr:colOff>647700</xdr:colOff>
                    <xdr:row>5</xdr:row>
                    <xdr:rowOff>899160</xdr:rowOff>
                  </to>
                </anchor>
              </controlPr>
            </control>
          </mc:Choice>
        </mc:AlternateContent>
        <mc:AlternateContent xmlns:mc="http://schemas.openxmlformats.org/markup-compatibility/2006">
          <mc:Choice Requires="x14">
            <control shapeId="1301" r:id="rId51" name="Option Button 277">
              <controlPr defaultSize="0" autoFill="0" autoLine="0" autoPict="0" altText="Dog House">
                <anchor moveWithCells="1">
                  <from>
                    <xdr:col>10</xdr:col>
                    <xdr:colOff>91440</xdr:colOff>
                    <xdr:row>5</xdr:row>
                    <xdr:rowOff>861060</xdr:rowOff>
                  </from>
                  <to>
                    <xdr:col>10</xdr:col>
                    <xdr:colOff>647700</xdr:colOff>
                    <xdr:row>5</xdr:row>
                    <xdr:rowOff>1104900</xdr:rowOff>
                  </to>
                </anchor>
              </controlPr>
            </control>
          </mc:Choice>
        </mc:AlternateContent>
        <mc:AlternateContent xmlns:mc="http://schemas.openxmlformats.org/markup-compatibility/2006">
          <mc:Choice Requires="x14">
            <control shapeId="1303" r:id="rId52" name="Group Box 279">
              <controlPr defaultSize="0" autoFill="0" autoPict="0">
                <anchor moveWithCells="1">
                  <from>
                    <xdr:col>10</xdr:col>
                    <xdr:colOff>746760</xdr:colOff>
                    <xdr:row>5</xdr:row>
                    <xdr:rowOff>0</xdr:rowOff>
                  </from>
                  <to>
                    <xdr:col>12</xdr:col>
                    <xdr:colOff>0</xdr:colOff>
                    <xdr:row>6</xdr:row>
                    <xdr:rowOff>0</xdr:rowOff>
                  </to>
                </anchor>
              </controlPr>
            </control>
          </mc:Choice>
        </mc:AlternateContent>
        <mc:AlternateContent xmlns:mc="http://schemas.openxmlformats.org/markup-compatibility/2006">
          <mc:Choice Requires="x14">
            <control shapeId="1304" r:id="rId53" name="Option Button 280">
              <controlPr defaultSize="0" autoFill="0" autoLine="0" autoPict="0" altText="None">
                <anchor moveWithCells="1">
                  <from>
                    <xdr:col>11</xdr:col>
                    <xdr:colOff>99060</xdr:colOff>
                    <xdr:row>5</xdr:row>
                    <xdr:rowOff>99060</xdr:rowOff>
                  </from>
                  <to>
                    <xdr:col>11</xdr:col>
                    <xdr:colOff>647700</xdr:colOff>
                    <xdr:row>5</xdr:row>
                    <xdr:rowOff>350520</xdr:rowOff>
                  </to>
                </anchor>
              </controlPr>
            </control>
          </mc:Choice>
        </mc:AlternateContent>
        <mc:AlternateContent xmlns:mc="http://schemas.openxmlformats.org/markup-compatibility/2006">
          <mc:Choice Requires="x14">
            <control shapeId="1305" r:id="rId54" name="Option Button 281">
              <controlPr defaultSize="0" autoFill="0" autoLine="0" autoPict="0" altText="3 Head">
                <anchor moveWithCells="1">
                  <from>
                    <xdr:col>11</xdr:col>
                    <xdr:colOff>99060</xdr:colOff>
                    <xdr:row>5</xdr:row>
                    <xdr:rowOff>304800</xdr:rowOff>
                  </from>
                  <to>
                    <xdr:col>11</xdr:col>
                    <xdr:colOff>647700</xdr:colOff>
                    <xdr:row>5</xdr:row>
                    <xdr:rowOff>525780</xdr:rowOff>
                  </to>
                </anchor>
              </controlPr>
            </control>
          </mc:Choice>
        </mc:AlternateContent>
        <mc:AlternateContent xmlns:mc="http://schemas.openxmlformats.org/markup-compatibility/2006">
          <mc:Choice Requires="x14">
            <control shapeId="1306" r:id="rId55" name="Option Button 282">
              <controlPr defaultSize="0" autoFill="0" autoLine="0" autoPict="0" altText="4 Head">
                <anchor moveWithCells="1">
                  <from>
                    <xdr:col>11</xdr:col>
                    <xdr:colOff>99060</xdr:colOff>
                    <xdr:row>5</xdr:row>
                    <xdr:rowOff>487680</xdr:rowOff>
                  </from>
                  <to>
                    <xdr:col>11</xdr:col>
                    <xdr:colOff>647700</xdr:colOff>
                    <xdr:row>5</xdr:row>
                    <xdr:rowOff>716280</xdr:rowOff>
                  </to>
                </anchor>
              </controlPr>
            </control>
          </mc:Choice>
        </mc:AlternateContent>
        <mc:AlternateContent xmlns:mc="http://schemas.openxmlformats.org/markup-compatibility/2006">
          <mc:Choice Requires="x14">
            <control shapeId="1307" r:id="rId56" name="Option Button 283">
              <controlPr defaultSize="0" autoFill="0" autoLine="0" autoPict="0" altText="5 Head">
                <anchor moveWithCells="1">
                  <from>
                    <xdr:col>11</xdr:col>
                    <xdr:colOff>99060</xdr:colOff>
                    <xdr:row>5</xdr:row>
                    <xdr:rowOff>662940</xdr:rowOff>
                  </from>
                  <to>
                    <xdr:col>11</xdr:col>
                    <xdr:colOff>647700</xdr:colOff>
                    <xdr:row>5</xdr:row>
                    <xdr:rowOff>891540</xdr:rowOff>
                  </to>
                </anchor>
              </controlPr>
            </control>
          </mc:Choice>
        </mc:AlternateContent>
        <mc:AlternateContent xmlns:mc="http://schemas.openxmlformats.org/markup-compatibility/2006">
          <mc:Choice Requires="x14">
            <control shapeId="1308" r:id="rId57" name="Option Button 284">
              <controlPr defaultSize="0" autoFill="0" autoLine="0" autoPict="0" altText="Dog House">
                <anchor moveWithCells="1">
                  <from>
                    <xdr:col>11</xdr:col>
                    <xdr:colOff>99060</xdr:colOff>
                    <xdr:row>5</xdr:row>
                    <xdr:rowOff>853440</xdr:rowOff>
                  </from>
                  <to>
                    <xdr:col>11</xdr:col>
                    <xdr:colOff>647700</xdr:colOff>
                    <xdr:row>5</xdr:row>
                    <xdr:rowOff>1089660</xdr:rowOff>
                  </to>
                </anchor>
              </controlPr>
            </control>
          </mc:Choice>
        </mc:AlternateContent>
        <mc:AlternateContent xmlns:mc="http://schemas.openxmlformats.org/markup-compatibility/2006">
          <mc:Choice Requires="x14">
            <control shapeId="1311" r:id="rId58" name="Option Button 287">
              <controlPr defaultSize="0" autoFill="0" autoLine="0" autoPict="0" altText="3 Head">
                <anchor moveWithCells="1">
                  <from>
                    <xdr:col>12</xdr:col>
                    <xdr:colOff>68580</xdr:colOff>
                    <xdr:row>5</xdr:row>
                    <xdr:rowOff>91440</xdr:rowOff>
                  </from>
                  <to>
                    <xdr:col>12</xdr:col>
                    <xdr:colOff>655320</xdr:colOff>
                    <xdr:row>5</xdr:row>
                    <xdr:rowOff>335280</xdr:rowOff>
                  </to>
                </anchor>
              </controlPr>
            </control>
          </mc:Choice>
        </mc:AlternateContent>
        <mc:AlternateContent xmlns:mc="http://schemas.openxmlformats.org/markup-compatibility/2006">
          <mc:Choice Requires="x14">
            <control shapeId="1312" r:id="rId59" name="Option Button 288">
              <controlPr defaultSize="0" autoFill="0" autoLine="0" autoPict="0" altText="4 Head">
                <anchor moveWithCells="1">
                  <from>
                    <xdr:col>12</xdr:col>
                    <xdr:colOff>68580</xdr:colOff>
                    <xdr:row>5</xdr:row>
                    <xdr:rowOff>274320</xdr:rowOff>
                  </from>
                  <to>
                    <xdr:col>12</xdr:col>
                    <xdr:colOff>655320</xdr:colOff>
                    <xdr:row>5</xdr:row>
                    <xdr:rowOff>525780</xdr:rowOff>
                  </to>
                </anchor>
              </controlPr>
            </control>
          </mc:Choice>
        </mc:AlternateContent>
        <mc:AlternateContent xmlns:mc="http://schemas.openxmlformats.org/markup-compatibility/2006">
          <mc:Choice Requires="x14">
            <control shapeId="1313" r:id="rId60" name="Option Button 289">
              <controlPr defaultSize="0" autoFill="0" autoLine="0" autoPict="0" altText="5 Head">
                <anchor moveWithCells="1">
                  <from>
                    <xdr:col>12</xdr:col>
                    <xdr:colOff>68580</xdr:colOff>
                    <xdr:row>5</xdr:row>
                    <xdr:rowOff>464820</xdr:rowOff>
                  </from>
                  <to>
                    <xdr:col>12</xdr:col>
                    <xdr:colOff>662940</xdr:colOff>
                    <xdr:row>5</xdr:row>
                    <xdr:rowOff>708660</xdr:rowOff>
                  </to>
                </anchor>
              </controlPr>
            </control>
          </mc:Choice>
        </mc:AlternateContent>
        <mc:AlternateContent xmlns:mc="http://schemas.openxmlformats.org/markup-compatibility/2006">
          <mc:Choice Requires="x14">
            <control shapeId="1314" r:id="rId61" name="Option Button 290">
              <controlPr defaultSize="0" autoFill="0" autoLine="0" autoPict="0" altText="Dog House">
                <anchor moveWithCells="1">
                  <from>
                    <xdr:col>12</xdr:col>
                    <xdr:colOff>68580</xdr:colOff>
                    <xdr:row>5</xdr:row>
                    <xdr:rowOff>647700</xdr:rowOff>
                  </from>
                  <to>
                    <xdr:col>12</xdr:col>
                    <xdr:colOff>662940</xdr:colOff>
                    <xdr:row>5</xdr:row>
                    <xdr:rowOff>906780</xdr:rowOff>
                  </to>
                </anchor>
              </controlPr>
            </control>
          </mc:Choice>
        </mc:AlternateContent>
        <mc:AlternateContent xmlns:mc="http://schemas.openxmlformats.org/markup-compatibility/2006">
          <mc:Choice Requires="x14">
            <control shapeId="1316" r:id="rId62" name="Group Box 292">
              <controlPr defaultSize="0" autoFill="0" autoPict="0">
                <anchor moveWithCells="1">
                  <from>
                    <xdr:col>13</xdr:col>
                    <xdr:colOff>7620</xdr:colOff>
                    <xdr:row>5</xdr:row>
                    <xdr:rowOff>0</xdr:rowOff>
                  </from>
                  <to>
                    <xdr:col>14</xdr:col>
                    <xdr:colOff>22860</xdr:colOff>
                    <xdr:row>5</xdr:row>
                    <xdr:rowOff>1211580</xdr:rowOff>
                  </to>
                </anchor>
              </controlPr>
            </control>
          </mc:Choice>
        </mc:AlternateContent>
        <mc:AlternateContent xmlns:mc="http://schemas.openxmlformats.org/markup-compatibility/2006">
          <mc:Choice Requires="x14">
            <control shapeId="1317" r:id="rId63" name="Option Button 293">
              <controlPr defaultSize="0" autoFill="0" autoLine="0" autoPict="0" altText="None">
                <anchor moveWithCells="1">
                  <from>
                    <xdr:col>13</xdr:col>
                    <xdr:colOff>91440</xdr:colOff>
                    <xdr:row>5</xdr:row>
                    <xdr:rowOff>76200</xdr:rowOff>
                  </from>
                  <to>
                    <xdr:col>13</xdr:col>
                    <xdr:colOff>655320</xdr:colOff>
                    <xdr:row>5</xdr:row>
                    <xdr:rowOff>312420</xdr:rowOff>
                  </to>
                </anchor>
              </controlPr>
            </control>
          </mc:Choice>
        </mc:AlternateContent>
        <mc:AlternateContent xmlns:mc="http://schemas.openxmlformats.org/markup-compatibility/2006">
          <mc:Choice Requires="x14">
            <control shapeId="1318" r:id="rId64" name="Option Button 294">
              <controlPr defaultSize="0" autoFill="0" autoLine="0" autoPict="0" altText="3 Head">
                <anchor moveWithCells="1">
                  <from>
                    <xdr:col>13</xdr:col>
                    <xdr:colOff>91440</xdr:colOff>
                    <xdr:row>5</xdr:row>
                    <xdr:rowOff>266700</xdr:rowOff>
                  </from>
                  <to>
                    <xdr:col>13</xdr:col>
                    <xdr:colOff>655320</xdr:colOff>
                    <xdr:row>5</xdr:row>
                    <xdr:rowOff>502920</xdr:rowOff>
                  </to>
                </anchor>
              </controlPr>
            </control>
          </mc:Choice>
        </mc:AlternateContent>
        <mc:AlternateContent xmlns:mc="http://schemas.openxmlformats.org/markup-compatibility/2006">
          <mc:Choice Requires="x14">
            <control shapeId="1319" r:id="rId65" name="Option Button 295">
              <controlPr defaultSize="0" autoFill="0" autoLine="0" autoPict="0" altText="4 Head">
                <anchor moveWithCells="1">
                  <from>
                    <xdr:col>13</xdr:col>
                    <xdr:colOff>91440</xdr:colOff>
                    <xdr:row>5</xdr:row>
                    <xdr:rowOff>464820</xdr:rowOff>
                  </from>
                  <to>
                    <xdr:col>13</xdr:col>
                    <xdr:colOff>655320</xdr:colOff>
                    <xdr:row>5</xdr:row>
                    <xdr:rowOff>701040</xdr:rowOff>
                  </to>
                </anchor>
              </controlPr>
            </control>
          </mc:Choice>
        </mc:AlternateContent>
        <mc:AlternateContent xmlns:mc="http://schemas.openxmlformats.org/markup-compatibility/2006">
          <mc:Choice Requires="x14">
            <control shapeId="1320" r:id="rId66" name="Option Button 296">
              <controlPr defaultSize="0" autoFill="0" autoLine="0" autoPict="0" altText="5 Head">
                <anchor moveWithCells="1">
                  <from>
                    <xdr:col>13</xdr:col>
                    <xdr:colOff>91440</xdr:colOff>
                    <xdr:row>5</xdr:row>
                    <xdr:rowOff>662940</xdr:rowOff>
                  </from>
                  <to>
                    <xdr:col>13</xdr:col>
                    <xdr:colOff>662940</xdr:colOff>
                    <xdr:row>5</xdr:row>
                    <xdr:rowOff>899160</xdr:rowOff>
                  </to>
                </anchor>
              </controlPr>
            </control>
          </mc:Choice>
        </mc:AlternateContent>
        <mc:AlternateContent xmlns:mc="http://schemas.openxmlformats.org/markup-compatibility/2006">
          <mc:Choice Requires="x14">
            <control shapeId="1321" r:id="rId67" name="Option Button 297">
              <controlPr defaultSize="0" autoFill="0" autoLine="0" autoPict="0" altText="Dog House">
                <anchor moveWithCells="1">
                  <from>
                    <xdr:col>13</xdr:col>
                    <xdr:colOff>91440</xdr:colOff>
                    <xdr:row>5</xdr:row>
                    <xdr:rowOff>861060</xdr:rowOff>
                  </from>
                  <to>
                    <xdr:col>13</xdr:col>
                    <xdr:colOff>662940</xdr:colOff>
                    <xdr:row>5</xdr:row>
                    <xdr:rowOff>1104900</xdr:rowOff>
                  </to>
                </anchor>
              </controlPr>
            </control>
          </mc:Choice>
        </mc:AlternateContent>
        <mc:AlternateContent xmlns:mc="http://schemas.openxmlformats.org/markup-compatibility/2006">
          <mc:Choice Requires="x14">
            <control shapeId="1310" r:id="rId68" name="Option Button 286">
              <controlPr defaultSize="0" autoFill="0" autoLine="0" autoPict="0" altText="None">
                <anchor moveWithCells="1">
                  <from>
                    <xdr:col>12</xdr:col>
                    <xdr:colOff>68580</xdr:colOff>
                    <xdr:row>5</xdr:row>
                    <xdr:rowOff>845820</xdr:rowOff>
                  </from>
                  <to>
                    <xdr:col>12</xdr:col>
                    <xdr:colOff>662940</xdr:colOff>
                    <xdr:row>5</xdr:row>
                    <xdr:rowOff>1097280</xdr:rowOff>
                  </to>
                </anchor>
              </controlPr>
            </control>
          </mc:Choice>
        </mc:AlternateContent>
        <mc:AlternateContent xmlns:mc="http://schemas.openxmlformats.org/markup-compatibility/2006">
          <mc:Choice Requires="x14">
            <control shapeId="1323" r:id="rId69" name="Group Box 299">
              <controlPr defaultSize="0" autoFill="0" autoPict="0">
                <anchor moveWithCells="1">
                  <from>
                    <xdr:col>2</xdr:col>
                    <xdr:colOff>297180</xdr:colOff>
                    <xdr:row>5</xdr:row>
                    <xdr:rowOff>68580</xdr:rowOff>
                  </from>
                  <to>
                    <xdr:col>3</xdr:col>
                    <xdr:colOff>632460</xdr:colOff>
                    <xdr:row>5</xdr:row>
                    <xdr:rowOff>1203960</xdr:rowOff>
                  </to>
                </anchor>
              </controlPr>
            </control>
          </mc:Choice>
        </mc:AlternateContent>
        <mc:AlternateContent xmlns:mc="http://schemas.openxmlformats.org/markup-compatibility/2006">
          <mc:Choice Requires="x14">
            <control shapeId="1325" r:id="rId70" name="List Box 301">
              <controlPr locked="0" defaultSize="0" autoLine="0" autoPict="0">
                <anchor moveWithCells="1">
                  <from>
                    <xdr:col>3</xdr:col>
                    <xdr:colOff>38100</xdr:colOff>
                    <xdr:row>5</xdr:row>
                    <xdr:rowOff>182880</xdr:rowOff>
                  </from>
                  <to>
                    <xdr:col>3</xdr:col>
                    <xdr:colOff>556260</xdr:colOff>
                    <xdr:row>5</xdr:row>
                    <xdr:rowOff>1120140</xdr:rowOff>
                  </to>
                </anchor>
              </controlPr>
            </control>
          </mc:Choice>
        </mc:AlternateContent>
        <mc:AlternateContent xmlns:mc="http://schemas.openxmlformats.org/markup-compatibility/2006">
          <mc:Choice Requires="x14">
            <control shapeId="1331" r:id="rId71" name="Group Box 307">
              <controlPr defaultSize="0" autoFill="0" autoPict="0">
                <anchor moveWithCells="1">
                  <from>
                    <xdr:col>12</xdr:col>
                    <xdr:colOff>7620</xdr:colOff>
                    <xdr:row>5</xdr:row>
                    <xdr:rowOff>0</xdr:rowOff>
                  </from>
                  <to>
                    <xdr:col>13</xdr:col>
                    <xdr:colOff>0</xdr:colOff>
                    <xdr:row>6</xdr:row>
                    <xdr:rowOff>0</xdr:rowOff>
                  </to>
                </anchor>
              </controlPr>
            </control>
          </mc:Choice>
        </mc:AlternateContent>
        <mc:AlternateContent xmlns:mc="http://schemas.openxmlformats.org/markup-compatibility/2006">
          <mc:Choice Requires="x14">
            <control shapeId="1364" r:id="rId72" name="Option Button 340">
              <controlPr locked="0" defaultSize="0" autoFill="0" autoLine="0" autoPict="0">
                <anchor moveWithCells="1">
                  <from>
                    <xdr:col>1</xdr:col>
                    <xdr:colOff>198120</xdr:colOff>
                    <xdr:row>5</xdr:row>
                    <xdr:rowOff>1211580</xdr:rowOff>
                  </from>
                  <to>
                    <xdr:col>2</xdr:col>
                    <xdr:colOff>7620</xdr:colOff>
                    <xdr:row>6</xdr:row>
                    <xdr:rowOff>160020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pageSetUpPr fitToPage="1"/>
  </sheetPr>
  <dimension ref="A1:AI32"/>
  <sheetViews>
    <sheetView zoomScale="75" zoomScaleNormal="75" workbookViewId="0"/>
  </sheetViews>
  <sheetFormatPr defaultColWidth="9.109375" defaultRowHeight="14.4" x14ac:dyDescent="0.3"/>
  <cols>
    <col min="1" max="1" width="9.109375" style="3"/>
    <col min="2" max="2" width="10.6640625" style="3" customWidth="1"/>
    <col min="3" max="3" width="7.6640625" style="3" customWidth="1"/>
    <col min="4" max="6" width="5.6640625" style="3" customWidth="1"/>
    <col min="7" max="16" width="16.77734375" style="4" customWidth="1"/>
    <col min="17" max="17" width="14.109375" style="3" customWidth="1"/>
    <col min="18" max="18" width="13.44140625" style="3" customWidth="1"/>
    <col min="19" max="22" width="8.77734375" style="3" customWidth="1"/>
    <col min="23" max="24" width="9.33203125" style="3" customWidth="1"/>
    <col min="25" max="25" width="11.109375" style="3" customWidth="1"/>
    <col min="26" max="33" width="5.6640625" style="3" customWidth="1"/>
    <col min="34" max="34" width="32" style="3" customWidth="1"/>
    <col min="35" max="16384" width="9.109375" style="3"/>
  </cols>
  <sheetData>
    <row r="1" spans="1:35" ht="237" customHeight="1" thickBot="1" x14ac:dyDescent="0.35">
      <c r="A1" s="54"/>
      <c r="B1" s="54"/>
      <c r="C1" s="54"/>
      <c r="D1" s="54"/>
      <c r="E1" s="54"/>
      <c r="F1" s="54"/>
      <c r="G1" s="55"/>
      <c r="H1" s="55"/>
      <c r="I1" s="55"/>
      <c r="J1" s="55"/>
      <c r="K1" s="55"/>
      <c r="L1" s="55"/>
      <c r="M1" s="55"/>
      <c r="N1" s="55"/>
      <c r="O1" s="55"/>
      <c r="P1" s="55"/>
      <c r="Q1" s="54"/>
      <c r="R1" s="54"/>
      <c r="S1" s="54"/>
      <c r="T1" s="54"/>
      <c r="U1" s="54"/>
      <c r="V1" s="54"/>
      <c r="W1" s="54"/>
      <c r="X1" s="54"/>
      <c r="Y1" s="54"/>
    </row>
    <row r="2" spans="1:35" ht="35.1" customHeight="1" thickBot="1" x14ac:dyDescent="0.35">
      <c r="A2" s="413" t="s">
        <v>61</v>
      </c>
      <c r="B2" s="414"/>
      <c r="C2" s="414"/>
      <c r="D2" s="414"/>
      <c r="E2" s="414"/>
      <c r="F2" s="415"/>
      <c r="G2" s="412" t="s">
        <v>94</v>
      </c>
      <c r="H2" s="410"/>
      <c r="I2" s="410"/>
      <c r="J2" s="410"/>
      <c r="K2" s="410"/>
      <c r="L2" s="410"/>
      <c r="M2" s="410"/>
      <c r="N2" s="410"/>
      <c r="O2" s="410"/>
      <c r="P2" s="410"/>
      <c r="Q2" s="409" t="s">
        <v>192</v>
      </c>
      <c r="R2" s="410"/>
      <c r="S2" s="410"/>
      <c r="T2" s="410"/>
      <c r="U2" s="410"/>
      <c r="V2" s="410"/>
      <c r="W2" s="410"/>
      <c r="X2" s="410"/>
      <c r="Y2" s="411"/>
      <c r="AI2" s="52"/>
    </row>
    <row r="3" spans="1:35" ht="118.5" customHeight="1" thickBot="1" x14ac:dyDescent="0.35">
      <c r="A3" s="156" t="s">
        <v>48</v>
      </c>
      <c r="B3" s="124" t="s">
        <v>50</v>
      </c>
      <c r="C3" s="58" t="s">
        <v>72</v>
      </c>
      <c r="D3" s="58" t="s">
        <v>107</v>
      </c>
      <c r="E3" s="58" t="s">
        <v>73</v>
      </c>
      <c r="F3" s="125" t="s">
        <v>49</v>
      </c>
      <c r="G3" s="124" t="s">
        <v>71</v>
      </c>
      <c r="H3" s="124" t="s">
        <v>70</v>
      </c>
      <c r="I3" s="124" t="s">
        <v>69</v>
      </c>
      <c r="J3" s="124" t="s">
        <v>68</v>
      </c>
      <c r="K3" s="124" t="s">
        <v>67</v>
      </c>
      <c r="L3" s="124" t="s">
        <v>66</v>
      </c>
      <c r="M3" s="124" t="s">
        <v>65</v>
      </c>
      <c r="N3" s="124" t="s">
        <v>64</v>
      </c>
      <c r="O3" s="124" t="s">
        <v>63</v>
      </c>
      <c r="P3" s="126" t="s">
        <v>62</v>
      </c>
      <c r="Q3" s="156" t="s">
        <v>95</v>
      </c>
      <c r="R3" s="124" t="s">
        <v>181</v>
      </c>
      <c r="S3" s="126" t="s">
        <v>185</v>
      </c>
      <c r="T3" s="126" t="s">
        <v>189</v>
      </c>
      <c r="U3" s="126" t="s">
        <v>190</v>
      </c>
      <c r="V3" s="126" t="s">
        <v>186</v>
      </c>
      <c r="W3" s="126" t="s">
        <v>187</v>
      </c>
      <c r="X3" s="126" t="s">
        <v>188</v>
      </c>
      <c r="Y3" s="157" t="s">
        <v>184</v>
      </c>
      <c r="AI3" s="53"/>
    </row>
    <row r="4" spans="1:35" ht="32.1" customHeight="1" x14ac:dyDescent="0.3">
      <c r="A4" s="165"/>
      <c r="B4" s="160"/>
      <c r="C4" s="127" t="str">
        <f>IF(Dimensions!$C$37=1,"Vert.","Horiz.")</f>
        <v>Horiz.</v>
      </c>
      <c r="D4" s="127" t="str">
        <f>IF(Dimensions!$C$40=2,"No",IF(Dimensions!$C$40=1,"6 in","2.5in"))</f>
        <v>6 in</v>
      </c>
      <c r="E4" s="127"/>
      <c r="F4" s="127">
        <f>Dimensions!$D$38</f>
        <v>50</v>
      </c>
      <c r="G4" s="56" t="str">
        <f>IF(ArmEvaluation!$E$6=1,"","Dist="&amp;ArmEvaluation!$E$7&amp;"'"&amp;CHAR(10)&amp;IF(ArmEvaluation!$E$6=2,"Signal: 3 Head",IF(ArmEvaluation!$E$6=3,"Signal: 4 Head",IF(ArmEvaluation!$E$6=4,"Signal: 5 Head","Sign: "&amp;ArmEvaluation!$E$8/12&amp;"'"&amp;"x"&amp;ArmEvaluation!$E$9/12&amp;"'"))))</f>
        <v/>
      </c>
      <c r="H4" s="56" t="str">
        <f>IF(ArmEvaluation!$F$6=1,"","Dist="&amp;ArmEvaluation!$F$7&amp;"'"&amp;CHAR(10)&amp;IF(ArmEvaluation!$F$6=2,"Signal: 3 Head",IF(ArmEvaluation!$F$6=3,"Signal: 4 Head",IF(ArmEvaluation!$F$6=4,"Signal: 5 Head","Sign: "&amp;ArmEvaluation!$F$8/12&amp;"'"&amp;"x"&amp;ArmEvaluation!$F$9/12&amp;"'"))))</f>
        <v/>
      </c>
      <c r="I4" s="56" t="str">
        <f>IF(ArmEvaluation!$G$6=1,"","Dist="&amp;ArmEvaluation!$G$7&amp;"'"&amp;CHAR(10)&amp;IF(ArmEvaluation!$G$6=2,"Signal: 3 Head",IF(ArmEvaluation!$G$6=3,"Signal: 4 Head",IF(ArmEvaluation!$G$6=4,"Signal: 5 Head","Sign: "&amp;ArmEvaluation!$G$8/12&amp;"'"&amp;"x"&amp;ArmEvaluation!$G$9/12&amp;"'"))))</f>
        <v/>
      </c>
      <c r="J4" s="56" t="str">
        <f>IF(ArmEvaluation!$H$6=1,"","Dist="&amp;ArmEvaluation!$H$7&amp;"'"&amp;CHAR(10)&amp;IF(ArmEvaluation!$H$6=2,"Signal: 3 Head",IF(ArmEvaluation!$H$6=3,"Signal: 4 Head",IF(ArmEvaluation!$H$6=4,"Signal: 5 Head","Sign: "&amp;ArmEvaluation!$H$8/12&amp;"'"&amp;"x"&amp;ArmEvaluation!$H$9/12&amp;"'"))))</f>
        <v/>
      </c>
      <c r="K4" s="56" t="str">
        <f>IF(ArmEvaluation!$I$6=1,"","Dist="&amp;ArmEvaluation!$I$7&amp;"'"&amp;CHAR(10)&amp;IF(ArmEvaluation!$I$6=2,"Signal: 3 Head",IF(ArmEvaluation!$I$6=3,"Signal: 4 Head",IF(ArmEvaluation!$I$6=4,"Signal: 5 Head","Sign: "&amp;ArmEvaluation!$I$8/12&amp;"'"&amp;"x"&amp;ArmEvaluation!$I$9/12&amp;"'"))))</f>
        <v>Dist=48'
Sign: 3'x3'</v>
      </c>
      <c r="L4" s="56" t="str">
        <f>IF(ArmEvaluation!$J$6=1,"","Dist="&amp;ArmEvaluation!$J$7&amp;"'"&amp;CHAR(10)&amp;IF(ArmEvaluation!$J$6=2,"Signal: 3 Head",IF(ArmEvaluation!$J$6=3,"Signal: 4 Head",IF(ArmEvaluation!$J$6=4,"Signal: 5 Head","Sign: "&amp;ArmEvaluation!$J$8/12&amp;"'"&amp;"x"&amp;ArmEvaluation!$J$9/12&amp;"'"))))</f>
        <v>Dist=41'
Signal: 5 Head</v>
      </c>
      <c r="M4" s="56" t="str">
        <f>IF(ArmEvaluation!$K$6=1,"","Dist="&amp;ArmEvaluation!$K$7&amp;"'"&amp;CHAR(10)&amp;IF(ArmEvaluation!$K$6=2,"Signal: 3 Head",IF(ArmEvaluation!$K$6=3,"Signal: 4 Head",IF(ArmEvaluation!$K$6=4,"Signal: 5 Head","Sign: "&amp;ArmEvaluation!$K$8/12&amp;"'"&amp;"x"&amp;ArmEvaluation!$K$9/12&amp;"'"))))</f>
        <v>Dist=34'
Sign: 3'x3'</v>
      </c>
      <c r="N4" s="56" t="str">
        <f>IF(ArmEvaluation!$L$6=1,"","Dist="&amp;ArmEvaluation!$L$7&amp;"'"&amp;CHAR(10)&amp;IF(ArmEvaluation!$L$6=2,"Signal: 3 Head",IF(ArmEvaluation!$L$6=3,"Signal: 4 Head",IF(ArmEvaluation!$L$6=4,"Signal: 5 Head","Sign: "&amp;ArmEvaluation!$L$8/12&amp;"'"&amp;"x"&amp;ArmEvaluation!$L$9/12&amp;"'"))))</f>
        <v>Dist=28'
Signal: 5 Head</v>
      </c>
      <c r="O4" s="56" t="str">
        <f>IF(ArmEvaluation!$M$6=1,"","Dist="&amp;ArmEvaluation!$M$7&amp;"'"&amp;CHAR(10)&amp;IF(ArmEvaluation!$M$6=2,"Signal: 3 Head",IF(ArmEvaluation!$M$6=3,"Signal: 4 Head",IF(ArmEvaluation!$M$6=4,"Signal: 5 Head","Sign: "&amp;ArmEvaluation!$M$8/12&amp;"'"&amp;"x"&amp;ArmEvaluation!$M$9/12&amp;"'"))))</f>
        <v>Dist=18'
Signal: 3 Head</v>
      </c>
      <c r="P4" s="56" t="str">
        <f>IF(ArmEvaluation!$N$6=1,"","Dist="&amp;ArmEvaluation!$N$7&amp;"'"&amp;CHAR(10)&amp;IF(ArmEvaluation!$N$6=2,"Signal: 3 Head",IF(ArmEvaluation!$N$6=3,"Signal: 4 Head",IF(ArmEvaluation!$N$6=4,"Signal: 5 Head","Sign: "&amp;ArmEvaluation!$N$8/12&amp;"'"&amp;"x"&amp;ArmEvaluation!$N$9/12&amp;"'"))))</f>
        <v>Dist=7'
Sign: 10'x2'</v>
      </c>
      <c r="Q4" s="158" t="str">
        <f>'CFI&amp;Designation'!C71</f>
        <v>A50</v>
      </c>
      <c r="R4" s="160" t="str">
        <f>ArmEvaluation!E26</f>
        <v>2017-Pres.</v>
      </c>
      <c r="S4" s="161">
        <f>ArmEvaluation!C5</f>
        <v>165</v>
      </c>
      <c r="T4" s="163">
        <f>ArmEvaluation!E27</f>
        <v>14</v>
      </c>
      <c r="U4" s="161">
        <f>ArmEvaluation!E28</f>
        <v>0.313</v>
      </c>
      <c r="V4" s="161">
        <f>ArmEvaluation!C10</f>
        <v>50</v>
      </c>
      <c r="W4" s="163">
        <f>ArmEvaluation!E29</f>
        <v>215.994</v>
      </c>
      <c r="X4" s="163">
        <f>ArmEvaluation!J29</f>
        <v>217.16720147076541</v>
      </c>
      <c r="Y4" s="164" t="str">
        <f>_xlfn.TEXTAFTER(ArmEvaluation!N27,"=")</f>
        <v xml:space="preserve"> 1.01</v>
      </c>
      <c r="AI4" s="53"/>
    </row>
    <row r="5" spans="1:35" ht="32.1" customHeight="1" thickBot="1" x14ac:dyDescent="0.35">
      <c r="A5" s="128"/>
      <c r="B5" s="129"/>
      <c r="C5" s="129"/>
      <c r="D5" s="129"/>
      <c r="E5" s="129"/>
      <c r="F5" s="59"/>
      <c r="G5" s="57"/>
      <c r="H5" s="57"/>
      <c r="I5" s="57"/>
      <c r="J5" s="57"/>
      <c r="K5" s="57"/>
      <c r="L5" s="57"/>
      <c r="M5" s="57"/>
      <c r="N5" s="57"/>
      <c r="O5" s="57"/>
      <c r="P5" s="57"/>
      <c r="Q5" s="159"/>
      <c r="R5" s="130"/>
      <c r="S5" s="162"/>
      <c r="T5" s="162"/>
      <c r="U5" s="162"/>
      <c r="V5" s="162"/>
      <c r="W5" s="162"/>
      <c r="X5" s="162"/>
      <c r="Y5" s="131"/>
      <c r="AI5" s="53"/>
    </row>
    <row r="6" spans="1:35" ht="32.1" customHeight="1" x14ac:dyDescent="0.3">
      <c r="A6" s="55"/>
      <c r="B6" s="55"/>
      <c r="C6" s="55"/>
      <c r="D6" s="55"/>
      <c r="E6" s="55"/>
      <c r="F6" s="55"/>
      <c r="G6" s="55"/>
      <c r="H6" s="55"/>
      <c r="I6" s="55"/>
      <c r="J6" s="55"/>
      <c r="K6" s="55"/>
      <c r="L6" s="55"/>
      <c r="M6" s="55"/>
      <c r="N6" s="55"/>
      <c r="O6" s="55"/>
      <c r="P6" s="55"/>
      <c r="Q6" s="55"/>
      <c r="R6" s="55"/>
      <c r="S6" s="55"/>
      <c r="T6" s="55"/>
      <c r="U6" s="55"/>
      <c r="V6" s="55"/>
      <c r="W6" s="55"/>
      <c r="X6" s="55"/>
      <c r="Y6" s="55"/>
      <c r="AI6" s="53"/>
    </row>
    <row r="7" spans="1:35" ht="32.1" customHeight="1" x14ac:dyDescent="0.3">
      <c r="A7" s="55"/>
      <c r="B7" s="55"/>
      <c r="C7" s="55"/>
      <c r="D7" s="55"/>
      <c r="E7" s="55"/>
      <c r="F7" s="55"/>
      <c r="G7" s="55"/>
      <c r="H7" s="55"/>
      <c r="I7" s="55"/>
      <c r="J7" s="55"/>
      <c r="K7" s="55"/>
      <c r="L7" s="55"/>
      <c r="M7" s="55"/>
      <c r="N7" s="55"/>
      <c r="O7" s="55"/>
      <c r="P7" s="55"/>
      <c r="Q7" s="55"/>
      <c r="R7" s="55"/>
      <c r="S7" s="55"/>
      <c r="T7" s="55"/>
      <c r="U7" s="55"/>
      <c r="V7" s="55"/>
      <c r="W7" s="55"/>
      <c r="X7" s="55"/>
      <c r="Y7" s="55"/>
      <c r="AI7" s="53"/>
    </row>
    <row r="8" spans="1:35" ht="32.1" customHeight="1" x14ac:dyDescent="0.3">
      <c r="A8" s="55"/>
      <c r="B8" s="55"/>
      <c r="C8" s="55"/>
      <c r="D8" s="55"/>
      <c r="E8" s="55"/>
      <c r="F8" s="55"/>
      <c r="G8" s="55"/>
      <c r="H8" s="55"/>
      <c r="I8" s="55"/>
      <c r="J8" s="55"/>
      <c r="K8" s="55"/>
      <c r="L8" s="55"/>
      <c r="M8" s="55"/>
      <c r="N8" s="55"/>
      <c r="O8" s="55"/>
      <c r="P8" s="55"/>
      <c r="Q8" s="55"/>
      <c r="R8" s="55"/>
      <c r="S8" s="55"/>
      <c r="T8" s="55"/>
      <c r="U8" s="55"/>
      <c r="V8" s="55"/>
      <c r="W8" s="55"/>
      <c r="X8" s="55"/>
      <c r="Y8" s="55"/>
      <c r="AI8" s="53"/>
    </row>
    <row r="9" spans="1:35" ht="32.1" customHeight="1" x14ac:dyDescent="0.3">
      <c r="A9" s="55"/>
      <c r="B9" s="55"/>
      <c r="C9" s="55"/>
      <c r="D9" s="55"/>
      <c r="E9" s="55"/>
      <c r="F9" s="55"/>
      <c r="G9" s="55"/>
      <c r="H9" s="55"/>
      <c r="I9" s="55"/>
      <c r="J9" s="55"/>
      <c r="K9" s="55"/>
      <c r="L9" s="55"/>
      <c r="M9" s="55"/>
      <c r="N9" s="55"/>
      <c r="O9" s="55"/>
      <c r="P9" s="55"/>
      <c r="Q9" s="55"/>
      <c r="R9" s="55"/>
      <c r="S9" s="55"/>
      <c r="T9" s="55"/>
      <c r="U9" s="55"/>
      <c r="V9" s="55"/>
      <c r="W9" s="55"/>
      <c r="X9" s="55"/>
      <c r="Y9" s="55"/>
      <c r="AI9" s="53"/>
    </row>
    <row r="10" spans="1:35" ht="32.1" customHeight="1" x14ac:dyDescent="0.3">
      <c r="A10" s="55"/>
      <c r="B10" s="55"/>
      <c r="C10" s="55"/>
      <c r="D10" s="55"/>
      <c r="E10" s="55"/>
      <c r="F10" s="55"/>
      <c r="G10" s="55"/>
      <c r="H10" s="55"/>
      <c r="I10" s="55"/>
      <c r="J10" s="55"/>
      <c r="K10" s="55"/>
      <c r="L10" s="55"/>
      <c r="M10" s="55"/>
      <c r="N10" s="55"/>
      <c r="O10" s="55"/>
      <c r="P10" s="55"/>
      <c r="Q10" s="55"/>
      <c r="R10" s="55"/>
      <c r="S10" s="55"/>
      <c r="T10" s="55"/>
      <c r="U10" s="55"/>
      <c r="V10" s="55"/>
      <c r="W10" s="55"/>
      <c r="X10" s="55"/>
      <c r="Y10" s="55"/>
      <c r="AI10" s="53"/>
    </row>
    <row r="11" spans="1:35" ht="32.1" customHeight="1" x14ac:dyDescent="0.3">
      <c r="A11" s="55"/>
      <c r="B11" s="55"/>
      <c r="C11" s="55"/>
      <c r="D11" s="55"/>
      <c r="E11" s="55"/>
      <c r="F11" s="55"/>
      <c r="G11" s="55"/>
      <c r="H11" s="55"/>
      <c r="I11" s="55"/>
      <c r="J11" s="55"/>
      <c r="K11" s="55"/>
      <c r="L11" s="55"/>
      <c r="M11" s="55"/>
      <c r="N11" s="55"/>
      <c r="O11" s="55"/>
      <c r="P11" s="55"/>
      <c r="Q11" s="55"/>
      <c r="R11" s="55"/>
      <c r="S11" s="55"/>
      <c r="T11" s="55"/>
      <c r="U11" s="55"/>
      <c r="V11" s="55"/>
      <c r="W11" s="55"/>
      <c r="X11" s="55"/>
      <c r="Y11" s="55"/>
      <c r="AI11" s="53"/>
    </row>
    <row r="12" spans="1:35" ht="32.1" customHeight="1" x14ac:dyDescent="0.3">
      <c r="A12" s="55"/>
      <c r="B12" s="55"/>
      <c r="C12" s="55"/>
      <c r="D12" s="55"/>
      <c r="E12" s="55"/>
      <c r="F12" s="55"/>
      <c r="G12" s="55"/>
      <c r="H12" s="55"/>
      <c r="I12" s="55"/>
      <c r="J12" s="55"/>
      <c r="K12" s="55"/>
      <c r="L12" s="55"/>
      <c r="M12" s="55"/>
      <c r="N12" s="55"/>
      <c r="O12" s="55"/>
      <c r="P12" s="55"/>
      <c r="Q12" s="55"/>
      <c r="R12" s="55"/>
      <c r="S12" s="55"/>
      <c r="T12" s="55"/>
      <c r="U12" s="55"/>
      <c r="V12" s="55"/>
      <c r="W12" s="55"/>
      <c r="X12" s="55"/>
      <c r="Y12" s="55"/>
      <c r="AI12" s="53"/>
    </row>
    <row r="13" spans="1:35" ht="32.1" customHeight="1" x14ac:dyDescent="0.3">
      <c r="A13" s="55"/>
      <c r="B13" s="55"/>
      <c r="C13" s="55"/>
      <c r="D13" s="55"/>
      <c r="E13" s="55"/>
      <c r="F13" s="55"/>
      <c r="G13" s="55"/>
      <c r="H13" s="55"/>
      <c r="I13" s="55"/>
      <c r="J13" s="55"/>
      <c r="K13" s="55"/>
      <c r="L13" s="55"/>
      <c r="M13" s="55"/>
      <c r="N13" s="55"/>
      <c r="O13" s="55"/>
      <c r="P13" s="55"/>
      <c r="Q13" s="55"/>
      <c r="R13" s="55"/>
      <c r="S13" s="55"/>
      <c r="T13" s="55"/>
      <c r="U13" s="55"/>
      <c r="V13" s="55"/>
      <c r="W13" s="55"/>
      <c r="X13" s="55"/>
      <c r="Y13" s="55"/>
      <c r="AI13" s="53"/>
    </row>
    <row r="14" spans="1:35" ht="32.1" customHeight="1" x14ac:dyDescent="0.3">
      <c r="A14" s="55"/>
      <c r="B14" s="55"/>
      <c r="C14" s="55"/>
      <c r="D14" s="55"/>
      <c r="E14" s="55"/>
      <c r="F14" s="55"/>
      <c r="G14" s="55"/>
      <c r="H14" s="55"/>
      <c r="I14" s="55"/>
      <c r="J14" s="55"/>
      <c r="K14" s="55"/>
      <c r="L14" s="55"/>
      <c r="M14" s="55"/>
      <c r="N14" s="55"/>
      <c r="O14" s="55"/>
      <c r="P14" s="55"/>
      <c r="Q14" s="55"/>
      <c r="R14" s="55"/>
      <c r="S14" s="55"/>
      <c r="T14" s="55"/>
      <c r="U14" s="55"/>
      <c r="V14" s="55"/>
      <c r="W14" s="55"/>
      <c r="X14" s="55"/>
      <c r="Y14" s="55"/>
      <c r="AI14" s="53"/>
    </row>
    <row r="15" spans="1:35" ht="32.1" customHeight="1" x14ac:dyDescent="0.3">
      <c r="A15" s="55"/>
      <c r="B15" s="55"/>
      <c r="C15" s="55"/>
      <c r="D15" s="55"/>
      <c r="E15" s="55"/>
      <c r="F15" s="55"/>
      <c r="G15" s="55"/>
      <c r="H15" s="55"/>
      <c r="I15" s="55"/>
      <c r="J15" s="55"/>
      <c r="K15" s="55"/>
      <c r="L15" s="55"/>
      <c r="M15" s="55"/>
      <c r="N15" s="55"/>
      <c r="O15" s="55"/>
      <c r="P15" s="55"/>
      <c r="Q15" s="55"/>
      <c r="R15" s="55"/>
      <c r="S15" s="55"/>
      <c r="T15" s="55"/>
      <c r="U15" s="55"/>
      <c r="V15" s="55"/>
      <c r="W15" s="55"/>
      <c r="X15" s="55"/>
      <c r="Y15" s="55"/>
      <c r="AI15" s="53"/>
    </row>
    <row r="16" spans="1:35" ht="32.1" customHeight="1" x14ac:dyDescent="0.3">
      <c r="A16" s="55"/>
      <c r="B16" s="55"/>
      <c r="C16" s="55"/>
      <c r="D16" s="55"/>
      <c r="E16" s="55"/>
      <c r="F16" s="55"/>
      <c r="G16" s="55"/>
      <c r="H16" s="55"/>
      <c r="I16" s="55"/>
      <c r="J16" s="55"/>
      <c r="K16" s="55"/>
      <c r="L16" s="55"/>
      <c r="M16" s="55"/>
      <c r="N16" s="55"/>
      <c r="O16" s="55"/>
      <c r="P16" s="55"/>
      <c r="Q16" s="55"/>
      <c r="R16" s="55"/>
      <c r="S16" s="55"/>
      <c r="T16" s="55"/>
      <c r="U16" s="55"/>
      <c r="V16" s="55"/>
      <c r="W16" s="55"/>
      <c r="X16" s="55"/>
      <c r="Y16" s="55"/>
      <c r="AI16" s="53"/>
    </row>
    <row r="17" spans="1:35" ht="32.1" customHeight="1" x14ac:dyDescent="0.3">
      <c r="A17" s="55"/>
      <c r="B17" s="55"/>
      <c r="C17" s="55"/>
      <c r="D17" s="55"/>
      <c r="E17" s="55"/>
      <c r="F17" s="55"/>
      <c r="G17" s="55"/>
      <c r="H17" s="55"/>
      <c r="I17" s="55"/>
      <c r="J17" s="55"/>
      <c r="K17" s="55"/>
      <c r="L17" s="55"/>
      <c r="M17" s="55"/>
      <c r="N17" s="55"/>
      <c r="O17" s="55"/>
      <c r="P17" s="55"/>
      <c r="Q17" s="55"/>
      <c r="R17" s="55"/>
      <c r="S17" s="55"/>
      <c r="T17" s="55"/>
      <c r="U17" s="55"/>
      <c r="V17" s="55"/>
      <c r="W17" s="55"/>
      <c r="X17" s="55"/>
      <c r="Y17" s="55"/>
      <c r="AI17" s="53"/>
    </row>
    <row r="18" spans="1:35" ht="32.1" customHeight="1" x14ac:dyDescent="0.3">
      <c r="A18" s="55"/>
      <c r="B18" s="55"/>
      <c r="C18" s="55"/>
      <c r="D18" s="55"/>
      <c r="E18" s="55"/>
      <c r="F18" s="55"/>
      <c r="G18" s="55"/>
      <c r="H18" s="55"/>
      <c r="I18" s="55"/>
      <c r="J18" s="55"/>
      <c r="K18" s="55"/>
      <c r="L18" s="55"/>
      <c r="M18" s="55"/>
      <c r="N18" s="55"/>
      <c r="O18" s="55"/>
      <c r="P18" s="55"/>
      <c r="Q18" s="55"/>
      <c r="R18" s="55"/>
      <c r="S18" s="55"/>
      <c r="T18" s="55"/>
      <c r="U18" s="55"/>
      <c r="V18" s="55"/>
      <c r="W18" s="55"/>
      <c r="X18" s="55"/>
      <c r="Y18" s="55"/>
      <c r="AI18" s="53"/>
    </row>
    <row r="19" spans="1:35" ht="32.1" customHeight="1" x14ac:dyDescent="0.3">
      <c r="A19" s="55"/>
      <c r="B19" s="55"/>
      <c r="C19" s="55"/>
      <c r="D19" s="55"/>
      <c r="E19" s="55"/>
      <c r="F19" s="55"/>
      <c r="G19" s="55"/>
      <c r="H19" s="55"/>
      <c r="I19" s="55"/>
      <c r="J19" s="55"/>
      <c r="K19" s="55"/>
      <c r="L19" s="55"/>
      <c r="M19" s="55"/>
      <c r="N19" s="55"/>
      <c r="O19" s="55"/>
      <c r="P19" s="55"/>
      <c r="Q19" s="55"/>
      <c r="R19" s="55"/>
      <c r="S19" s="55"/>
      <c r="T19" s="55"/>
      <c r="U19" s="55"/>
      <c r="V19" s="55"/>
      <c r="W19" s="55"/>
      <c r="X19" s="55"/>
      <c r="Y19" s="55"/>
      <c r="AI19" s="53"/>
    </row>
    <row r="20" spans="1:35" ht="15.6" x14ac:dyDescent="0.3">
      <c r="A20" s="55"/>
      <c r="B20" s="55"/>
      <c r="C20" s="55"/>
      <c r="D20" s="55"/>
      <c r="E20" s="55"/>
      <c r="F20" s="55"/>
      <c r="G20" s="55"/>
      <c r="H20" s="55"/>
      <c r="I20" s="55"/>
      <c r="J20" s="55"/>
      <c r="K20" s="55"/>
      <c r="L20" s="55"/>
      <c r="M20" s="55"/>
      <c r="N20" s="55"/>
      <c r="O20" s="55"/>
      <c r="P20" s="55"/>
      <c r="Q20" s="55"/>
      <c r="R20" s="55"/>
      <c r="S20" s="55"/>
      <c r="T20" s="55"/>
      <c r="U20" s="55"/>
      <c r="V20" s="55"/>
      <c r="W20" s="55"/>
      <c r="X20" s="55"/>
      <c r="Y20" s="55"/>
    </row>
    <row r="21" spans="1:35" ht="15.6" x14ac:dyDescent="0.3">
      <c r="A21" s="55"/>
      <c r="B21" s="55"/>
      <c r="C21" s="55"/>
      <c r="D21" s="55"/>
      <c r="E21" s="55"/>
      <c r="F21" s="55"/>
      <c r="G21" s="55"/>
      <c r="H21" s="55"/>
      <c r="I21" s="55"/>
      <c r="J21" s="55"/>
      <c r="K21" s="55"/>
      <c r="L21" s="55"/>
      <c r="M21" s="55"/>
      <c r="N21" s="55"/>
      <c r="O21" s="55"/>
      <c r="P21" s="55"/>
      <c r="Q21" s="55"/>
      <c r="R21" s="55"/>
      <c r="S21" s="55"/>
      <c r="T21" s="55"/>
      <c r="U21" s="55"/>
      <c r="V21" s="55"/>
      <c r="W21" s="55"/>
      <c r="X21" s="55"/>
      <c r="Y21" s="55"/>
    </row>
    <row r="22" spans="1:35" ht="24" customHeight="1" x14ac:dyDescent="0.3">
      <c r="A22" s="55"/>
      <c r="B22" s="55"/>
      <c r="C22" s="55"/>
      <c r="D22" s="55"/>
      <c r="E22" s="55"/>
      <c r="F22" s="55"/>
      <c r="G22" s="55"/>
      <c r="H22" s="55"/>
      <c r="I22" s="55"/>
      <c r="J22" s="55"/>
      <c r="K22" s="55"/>
      <c r="L22" s="55"/>
      <c r="M22" s="55"/>
      <c r="N22" s="55"/>
      <c r="O22" s="55"/>
      <c r="P22" s="55"/>
      <c r="Q22" s="55"/>
      <c r="R22" s="55"/>
      <c r="S22" s="55"/>
      <c r="T22" s="55"/>
      <c r="U22" s="55"/>
      <c r="V22" s="55"/>
      <c r="W22" s="55"/>
      <c r="X22" s="55"/>
      <c r="Y22" s="55"/>
    </row>
    <row r="23" spans="1:35" ht="24" customHeight="1" x14ac:dyDescent="0.3">
      <c r="A23" s="55"/>
      <c r="B23" s="55"/>
      <c r="C23" s="55"/>
      <c r="D23" s="55"/>
      <c r="E23" s="55"/>
      <c r="F23" s="55"/>
      <c r="G23" s="55"/>
      <c r="H23" s="55"/>
      <c r="I23" s="55"/>
      <c r="J23" s="55"/>
      <c r="K23" s="55"/>
      <c r="L23" s="55"/>
      <c r="M23" s="55"/>
      <c r="N23" s="55"/>
      <c r="O23" s="55"/>
      <c r="P23" s="55"/>
      <c r="Q23" s="55"/>
      <c r="R23" s="55"/>
      <c r="S23" s="55"/>
      <c r="T23" s="55"/>
      <c r="U23" s="55"/>
      <c r="V23" s="55"/>
      <c r="W23" s="55"/>
      <c r="X23" s="55"/>
      <c r="Y23" s="55"/>
    </row>
    <row r="24" spans="1:35" ht="101.25" customHeight="1" x14ac:dyDescent="0.3">
      <c r="A24" s="54"/>
      <c r="B24" s="55"/>
      <c r="C24" s="55"/>
      <c r="D24" s="55"/>
      <c r="E24" s="55"/>
      <c r="F24" s="55"/>
      <c r="G24" s="55"/>
      <c r="H24" s="55"/>
      <c r="I24" s="55"/>
      <c r="J24" s="55"/>
      <c r="K24" s="55"/>
      <c r="L24" s="55"/>
      <c r="M24" s="55"/>
      <c r="N24" s="55"/>
      <c r="O24" s="55"/>
      <c r="P24" s="55"/>
      <c r="Q24" s="54"/>
      <c r="R24" s="54"/>
      <c r="S24" s="54"/>
      <c r="T24" s="54"/>
      <c r="U24" s="54"/>
      <c r="V24" s="54"/>
      <c r="W24" s="54"/>
      <c r="X24" s="54"/>
      <c r="Y24" s="54"/>
    </row>
    <row r="25" spans="1:35" ht="32.1" customHeight="1" x14ac:dyDescent="0.3">
      <c r="A25" s="54"/>
      <c r="B25" s="55"/>
      <c r="C25" s="55"/>
      <c r="D25" s="55"/>
      <c r="E25" s="55"/>
      <c r="F25" s="55"/>
      <c r="G25" s="55"/>
      <c r="H25" s="55"/>
      <c r="I25" s="55"/>
      <c r="J25" s="55"/>
      <c r="K25" s="55"/>
      <c r="L25" s="55"/>
      <c r="M25" s="55"/>
      <c r="N25" s="55"/>
      <c r="O25" s="55"/>
      <c r="P25" s="55"/>
      <c r="Q25" s="54"/>
      <c r="R25" s="54"/>
      <c r="S25" s="54"/>
      <c r="T25" s="54"/>
      <c r="U25" s="54"/>
      <c r="V25" s="54"/>
      <c r="W25" s="54"/>
      <c r="X25" s="54"/>
      <c r="Y25" s="54"/>
    </row>
    <row r="26" spans="1:35" ht="32.1" customHeight="1" x14ac:dyDescent="0.3">
      <c r="A26" s="54"/>
      <c r="B26" s="55"/>
      <c r="C26" s="55"/>
      <c r="D26" s="55"/>
      <c r="E26" s="55"/>
      <c r="F26" s="55"/>
      <c r="G26" s="55"/>
      <c r="H26" s="55"/>
      <c r="I26" s="55"/>
      <c r="J26" s="55"/>
      <c r="K26" s="55"/>
      <c r="L26" s="55"/>
      <c r="M26" s="55"/>
      <c r="N26" s="55"/>
      <c r="O26" s="55"/>
      <c r="P26" s="55"/>
      <c r="Q26" s="54"/>
      <c r="R26" s="54"/>
      <c r="S26" s="54"/>
      <c r="T26" s="54"/>
      <c r="U26" s="54"/>
      <c r="V26" s="54"/>
      <c r="W26" s="54"/>
      <c r="X26" s="54"/>
      <c r="Y26" s="54"/>
    </row>
    <row r="27" spans="1:35" ht="32.1" customHeight="1" x14ac:dyDescent="0.3">
      <c r="A27" s="54"/>
      <c r="B27" s="55"/>
      <c r="C27" s="55"/>
      <c r="D27" s="55"/>
      <c r="E27" s="55"/>
      <c r="F27" s="55"/>
      <c r="G27" s="55"/>
      <c r="H27" s="55"/>
      <c r="I27" s="55"/>
      <c r="J27" s="55"/>
      <c r="K27" s="55"/>
      <c r="L27" s="55"/>
      <c r="M27" s="55"/>
      <c r="N27" s="55"/>
      <c r="O27" s="55"/>
      <c r="P27" s="55"/>
      <c r="Q27" s="54"/>
      <c r="R27" s="54"/>
      <c r="S27" s="54"/>
      <c r="T27" s="54"/>
      <c r="U27" s="54"/>
      <c r="V27" s="54"/>
      <c r="W27" s="54"/>
      <c r="X27" s="54"/>
      <c r="Y27" s="54"/>
    </row>
    <row r="28" spans="1:35" ht="32.1" customHeight="1" x14ac:dyDescent="0.3">
      <c r="A28" s="54"/>
      <c r="B28" s="55"/>
      <c r="C28" s="55"/>
      <c r="D28" s="55"/>
      <c r="E28" s="55"/>
      <c r="F28" s="55"/>
      <c r="G28" s="55"/>
      <c r="H28" s="55"/>
      <c r="I28" s="55"/>
      <c r="J28" s="55"/>
      <c r="K28" s="55"/>
      <c r="L28" s="55"/>
      <c r="M28" s="55"/>
      <c r="N28" s="55"/>
      <c r="O28" s="55"/>
      <c r="P28" s="55"/>
      <c r="Q28" s="54"/>
      <c r="R28" s="54"/>
      <c r="S28" s="54"/>
      <c r="T28" s="54"/>
      <c r="U28" s="54"/>
      <c r="V28" s="54"/>
      <c r="W28" s="54"/>
      <c r="X28" s="54"/>
      <c r="Y28" s="54"/>
    </row>
    <row r="29" spans="1:35" ht="32.1" customHeight="1" x14ac:dyDescent="0.3">
      <c r="A29" s="54"/>
      <c r="B29" s="55"/>
      <c r="C29" s="55"/>
      <c r="D29" s="55"/>
      <c r="E29" s="55"/>
      <c r="F29" s="55"/>
      <c r="G29" s="55"/>
      <c r="H29" s="55"/>
      <c r="I29" s="55"/>
      <c r="J29" s="55"/>
      <c r="K29" s="55"/>
      <c r="L29" s="55"/>
      <c r="M29" s="55"/>
      <c r="N29" s="55"/>
      <c r="O29" s="55"/>
      <c r="P29" s="55"/>
      <c r="Q29" s="54"/>
      <c r="R29" s="54"/>
      <c r="S29" s="54"/>
      <c r="T29" s="54"/>
      <c r="U29" s="54"/>
      <c r="V29" s="54"/>
      <c r="W29" s="54"/>
      <c r="X29" s="54"/>
      <c r="Y29" s="54"/>
    </row>
    <row r="30" spans="1:35" ht="32.1" customHeight="1" x14ac:dyDescent="0.3">
      <c r="A30" s="54"/>
      <c r="B30" s="55"/>
      <c r="C30" s="55"/>
      <c r="D30" s="55"/>
      <c r="E30" s="55"/>
      <c r="F30" s="55"/>
      <c r="G30" s="55"/>
      <c r="H30" s="55"/>
      <c r="I30" s="55"/>
      <c r="J30" s="55"/>
      <c r="K30" s="55"/>
      <c r="L30" s="55"/>
      <c r="M30" s="55"/>
      <c r="N30" s="55"/>
      <c r="O30" s="55"/>
      <c r="P30" s="55"/>
      <c r="Q30" s="54"/>
      <c r="R30" s="54"/>
      <c r="S30" s="54"/>
      <c r="T30" s="54"/>
      <c r="U30" s="54"/>
      <c r="V30" s="54"/>
      <c r="W30" s="54"/>
      <c r="X30" s="54"/>
      <c r="Y30" s="54"/>
    </row>
    <row r="31" spans="1:35" ht="32.1" customHeight="1" x14ac:dyDescent="0.3">
      <c r="A31" s="54"/>
      <c r="B31" s="55"/>
      <c r="C31" s="55"/>
      <c r="D31" s="55"/>
      <c r="E31" s="55"/>
      <c r="F31" s="55"/>
      <c r="G31" s="55"/>
      <c r="H31" s="55"/>
      <c r="I31" s="55"/>
      <c r="J31" s="55"/>
      <c r="K31" s="55"/>
      <c r="L31" s="55"/>
      <c r="M31" s="55"/>
      <c r="N31" s="55"/>
      <c r="O31" s="55"/>
      <c r="P31" s="55"/>
      <c r="Q31" s="54"/>
      <c r="R31" s="54"/>
      <c r="S31" s="54"/>
      <c r="T31" s="54"/>
      <c r="U31" s="54"/>
      <c r="V31" s="54"/>
      <c r="W31" s="54"/>
      <c r="X31" s="54"/>
      <c r="Y31" s="54"/>
    </row>
    <row r="32" spans="1:35" ht="32.1" customHeight="1" x14ac:dyDescent="0.3">
      <c r="A32" s="54"/>
      <c r="B32" s="55"/>
      <c r="C32" s="55"/>
      <c r="D32" s="55"/>
      <c r="E32" s="55"/>
      <c r="F32" s="55"/>
      <c r="G32" s="55"/>
      <c r="H32" s="55"/>
      <c r="I32" s="55"/>
      <c r="J32" s="55"/>
      <c r="K32" s="55"/>
      <c r="L32" s="55"/>
      <c r="M32" s="55"/>
      <c r="N32" s="55"/>
      <c r="O32" s="55"/>
      <c r="P32" s="55"/>
      <c r="Q32" s="54"/>
      <c r="R32" s="54"/>
      <c r="S32" s="54"/>
      <c r="T32" s="54"/>
      <c r="U32" s="54"/>
      <c r="V32" s="54"/>
      <c r="W32" s="54"/>
      <c r="X32" s="54"/>
      <c r="Y32" s="54"/>
    </row>
  </sheetData>
  <mergeCells count="3">
    <mergeCell ref="Q2:Y2"/>
    <mergeCell ref="G2:P2"/>
    <mergeCell ref="A2:F2"/>
  </mergeCells>
  <pageMargins left="0.7" right="0.7" top="0.75" bottom="0.75" header="0.3" footer="0.3"/>
  <pageSetup paperSize="3" scale="56" orientation="landscape" r:id="rId1"/>
  <colBreaks count="1" manualBreakCount="1">
    <brk id="3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tint="0.79998168889431442"/>
  </sheetPr>
  <dimension ref="A1:Z76"/>
  <sheetViews>
    <sheetView workbookViewId="0"/>
  </sheetViews>
  <sheetFormatPr defaultRowHeight="14.4" x14ac:dyDescent="0.3"/>
  <cols>
    <col min="1" max="1" width="4.44140625" customWidth="1"/>
    <col min="2" max="2" width="24" bestFit="1" customWidth="1"/>
    <col min="3" max="9" width="7.77734375" customWidth="1"/>
    <col min="10" max="10" width="7.77734375" style="3" customWidth="1"/>
    <col min="11" max="11" width="3.5546875" customWidth="1"/>
    <col min="12" max="12" width="4.109375" bestFit="1" customWidth="1"/>
    <col min="13" max="19" width="7.77734375" customWidth="1"/>
    <col min="20" max="20" width="7.77734375" style="3" customWidth="1"/>
    <col min="21" max="21" width="7.44140625" style="3" customWidth="1"/>
    <col min="23" max="23" width="12" bestFit="1" customWidth="1"/>
    <col min="24" max="24" width="12" style="3" customWidth="1"/>
    <col min="26" max="26" width="12" bestFit="1" customWidth="1"/>
  </cols>
  <sheetData>
    <row r="1" spans="1:24" ht="15" thickBot="1" x14ac:dyDescent="0.35">
      <c r="V1" s="3"/>
      <c r="W1" s="3"/>
      <c r="X1"/>
    </row>
    <row r="2" spans="1:24" ht="29.4" thickBot="1" x14ac:dyDescent="0.35">
      <c r="A2" s="421" t="s">
        <v>193</v>
      </c>
      <c r="B2" s="422"/>
      <c r="C2" s="168" t="s">
        <v>8</v>
      </c>
      <c r="D2" s="169" t="s">
        <v>9</v>
      </c>
      <c r="E2" s="169" t="s">
        <v>10</v>
      </c>
      <c r="F2" s="169" t="s">
        <v>11</v>
      </c>
      <c r="G2" s="169" t="s">
        <v>12</v>
      </c>
      <c r="H2" s="169" t="s">
        <v>13</v>
      </c>
      <c r="I2" s="169" t="s">
        <v>20</v>
      </c>
      <c r="J2" s="170" t="s">
        <v>36</v>
      </c>
      <c r="K2" s="171"/>
      <c r="L2" s="171"/>
      <c r="M2" s="168" t="s">
        <v>8</v>
      </c>
      <c r="N2" s="169" t="s">
        <v>9</v>
      </c>
      <c r="O2" s="169" t="s">
        <v>10</v>
      </c>
      <c r="P2" s="169" t="s">
        <v>11</v>
      </c>
      <c r="Q2" s="169" t="s">
        <v>12</v>
      </c>
      <c r="R2" s="169" t="s">
        <v>13</v>
      </c>
      <c r="S2" s="169" t="s">
        <v>20</v>
      </c>
      <c r="T2" s="170" t="s">
        <v>36</v>
      </c>
      <c r="U2" s="34"/>
      <c r="V2" s="3"/>
      <c r="W2" s="3"/>
      <c r="X2"/>
    </row>
    <row r="3" spans="1:24" ht="14.4" customHeight="1" x14ac:dyDescent="0.3">
      <c r="A3" s="419" t="s">
        <v>25</v>
      </c>
      <c r="B3" s="27" t="s">
        <v>100</v>
      </c>
      <c r="C3" s="43">
        <f>C4+6*2</f>
        <v>26.04</v>
      </c>
      <c r="D3" s="43">
        <f>D4+6*2</f>
        <v>54.12</v>
      </c>
      <c r="E3" s="43">
        <f t="shared" ref="E3:F8" si="0">C3/2</f>
        <v>13.02</v>
      </c>
      <c r="F3" s="43">
        <f t="shared" si="0"/>
        <v>27.06</v>
      </c>
      <c r="G3" s="43">
        <f>IF(AND(Dimensions!C40=3,Dimensions!C37=1),-E7/12,IF(AND(Dimensions!C40=1,Dimensions!C37=2),-E5/12,IF(AND(Dimensions!C40=1,Dimensions!C37=1),-E3/12,IF(AND(Dimensions!C40=3,Dimensions!C37=2),-E8/12,IF(AND(Dimensions!C40=2,Dimensions!C37=2),-E6/12,IF(AND(Dimensions!C40=2,Dimensions!C37=1),-E4/12))))))</f>
        <v>-2.2549999999999999</v>
      </c>
      <c r="H3" s="43">
        <f>IF(AND(Dimensions!C40=1,Dimensions!C37=2),-F5/12,IF(AND(Dimensions!C40=1,Dimensions!C37=1),-F3/12,IF(AND(Dimensions!C40=2,Dimensions!C37=2),-F6/12,IF(AND(Dimensions!C40=2,Dimensions!C37=1),-F4/12,IF(AND(Dimensions!C40=3,Dimensions!C37=2),-F8/12,IF(AND(Dimensions!C40=3,Dimensions!C37=1),-F7/12))))))</f>
        <v>-1.085</v>
      </c>
      <c r="I3" s="43">
        <f>(IF(Dimensions!C40=1,C3*D3,IF(Dimensions!C40=2,C4*D4,C7*C8))/144)</f>
        <v>9.7866999999999997</v>
      </c>
      <c r="J3" s="28">
        <v>50</v>
      </c>
      <c r="L3" s="416" t="s">
        <v>194</v>
      </c>
      <c r="M3" s="7">
        <f>ArmEvaluation!$E$8</f>
        <v>36</v>
      </c>
      <c r="N3" s="7">
        <f>ArmEvaluation!$E$9</f>
        <v>36</v>
      </c>
      <c r="O3" s="34">
        <f>M3/2</f>
        <v>18</v>
      </c>
      <c r="P3" s="34">
        <f>N3/2</f>
        <v>18</v>
      </c>
      <c r="Q3" s="43">
        <f>-O3/12</f>
        <v>-1.5</v>
      </c>
      <c r="R3" s="43">
        <f>-P3/12</f>
        <v>-1.5</v>
      </c>
      <c r="S3" s="34">
        <f>(M3*N3)/144</f>
        <v>9</v>
      </c>
      <c r="T3" s="35">
        <f>4*S3</f>
        <v>36</v>
      </c>
      <c r="U3" s="34"/>
      <c r="V3" s="3"/>
      <c r="W3" s="3"/>
      <c r="X3"/>
    </row>
    <row r="4" spans="1:24" x14ac:dyDescent="0.3">
      <c r="A4" s="419"/>
      <c r="B4" s="27" t="s">
        <v>101</v>
      </c>
      <c r="C4" s="43">
        <f>14.04*1</f>
        <v>14.04</v>
      </c>
      <c r="D4" s="43">
        <f>14.04*3</f>
        <v>42.12</v>
      </c>
      <c r="E4" s="43">
        <f t="shared" si="0"/>
        <v>7.02</v>
      </c>
      <c r="F4" s="43">
        <f t="shared" si="0"/>
        <v>21.06</v>
      </c>
      <c r="G4" s="43">
        <f>-G3</f>
        <v>2.2549999999999999</v>
      </c>
      <c r="H4" s="43">
        <f>H3</f>
        <v>-1.085</v>
      </c>
      <c r="I4" s="43"/>
      <c r="J4" s="44"/>
      <c r="L4" s="417"/>
      <c r="M4" s="34"/>
      <c r="N4" s="34"/>
      <c r="O4" s="34"/>
      <c r="P4" s="34"/>
      <c r="Q4" s="43">
        <f>O3/12</f>
        <v>1.5</v>
      </c>
      <c r="R4" s="43">
        <f>-P3/12</f>
        <v>-1.5</v>
      </c>
      <c r="S4" s="34"/>
      <c r="T4" s="35"/>
      <c r="U4" s="34"/>
      <c r="V4" s="3"/>
      <c r="W4" s="3"/>
      <c r="X4"/>
    </row>
    <row r="5" spans="1:24" x14ac:dyDescent="0.3">
      <c r="A5" s="419"/>
      <c r="B5" s="27" t="s">
        <v>102</v>
      </c>
      <c r="C5" s="43">
        <f>C6+6*2</f>
        <v>54.12</v>
      </c>
      <c r="D5" s="43">
        <f>D6+6*2</f>
        <v>26.04</v>
      </c>
      <c r="E5" s="43">
        <f t="shared" si="0"/>
        <v>27.06</v>
      </c>
      <c r="F5" s="43">
        <f t="shared" si="0"/>
        <v>13.02</v>
      </c>
      <c r="G5" s="43">
        <f>G4</f>
        <v>2.2549999999999999</v>
      </c>
      <c r="H5" s="43">
        <f>-H3</f>
        <v>1.085</v>
      </c>
      <c r="I5" s="43"/>
      <c r="J5" s="44"/>
      <c r="L5" s="417"/>
      <c r="M5" s="34"/>
      <c r="N5" s="34"/>
      <c r="O5" s="34"/>
      <c r="P5" s="34"/>
      <c r="Q5" s="43">
        <f>O3/12</f>
        <v>1.5</v>
      </c>
      <c r="R5" s="43">
        <f>P3/12</f>
        <v>1.5</v>
      </c>
      <c r="S5" s="34"/>
      <c r="T5" s="35"/>
      <c r="U5" s="34"/>
      <c r="V5" s="3"/>
      <c r="W5" s="3"/>
      <c r="X5"/>
    </row>
    <row r="6" spans="1:24" x14ac:dyDescent="0.3">
      <c r="A6" s="419"/>
      <c r="B6" s="27" t="s">
        <v>103</v>
      </c>
      <c r="C6" s="43">
        <f>14.04*3</f>
        <v>42.12</v>
      </c>
      <c r="D6" s="43">
        <f>14.04*1</f>
        <v>14.04</v>
      </c>
      <c r="E6" s="43">
        <f t="shared" si="0"/>
        <v>21.06</v>
      </c>
      <c r="F6" s="43">
        <f t="shared" si="0"/>
        <v>7.02</v>
      </c>
      <c r="G6" s="43">
        <f>G3</f>
        <v>-2.2549999999999999</v>
      </c>
      <c r="H6" s="43">
        <f>-H3</f>
        <v>1.085</v>
      </c>
      <c r="I6" s="43"/>
      <c r="J6" s="44"/>
      <c r="L6" s="417"/>
      <c r="M6" s="34"/>
      <c r="N6" s="34"/>
      <c r="O6" s="34"/>
      <c r="P6" s="34"/>
      <c r="Q6" s="43">
        <f>-O3/12</f>
        <v>-1.5</v>
      </c>
      <c r="R6" s="43">
        <f>P3/12</f>
        <v>1.5</v>
      </c>
      <c r="S6" s="34"/>
      <c r="T6" s="35"/>
      <c r="U6" s="34"/>
      <c r="V6" s="3"/>
      <c r="W6" s="3"/>
      <c r="X6"/>
    </row>
    <row r="7" spans="1:24" s="3" customFormat="1" ht="15" thickBot="1" x14ac:dyDescent="0.35">
      <c r="A7" s="419"/>
      <c r="B7" s="27" t="s">
        <v>104</v>
      </c>
      <c r="C7" s="43">
        <f>C4+2.5*2</f>
        <v>19.04</v>
      </c>
      <c r="D7" s="43">
        <f>D4+6*2</f>
        <v>54.12</v>
      </c>
      <c r="E7" s="43">
        <f t="shared" si="0"/>
        <v>9.52</v>
      </c>
      <c r="F7" s="43">
        <f t="shared" si="0"/>
        <v>27.06</v>
      </c>
      <c r="G7" s="43">
        <f>G3</f>
        <v>-2.2549999999999999</v>
      </c>
      <c r="H7" s="43">
        <f>H3</f>
        <v>-1.085</v>
      </c>
      <c r="I7" s="43"/>
      <c r="J7" s="44"/>
      <c r="L7" s="418"/>
      <c r="M7" s="36"/>
      <c r="N7" s="36"/>
      <c r="O7" s="36"/>
      <c r="P7" s="36"/>
      <c r="Q7" s="45">
        <f>-O3/12</f>
        <v>-1.5</v>
      </c>
      <c r="R7" s="45">
        <f>-P3/12</f>
        <v>-1.5</v>
      </c>
      <c r="S7" s="36"/>
      <c r="T7" s="37"/>
      <c r="U7" s="34"/>
    </row>
    <row r="8" spans="1:24" s="3" customFormat="1" x14ac:dyDescent="0.3">
      <c r="A8" s="419"/>
      <c r="B8" s="27" t="s">
        <v>105</v>
      </c>
      <c r="C8" s="43">
        <f>C6+6*2</f>
        <v>54.12</v>
      </c>
      <c r="D8" s="43">
        <f>D6+2.5*2</f>
        <v>19.04</v>
      </c>
      <c r="E8" s="43">
        <f t="shared" si="0"/>
        <v>27.06</v>
      </c>
      <c r="F8" s="43">
        <f t="shared" si="0"/>
        <v>9.52</v>
      </c>
      <c r="G8" s="43">
        <f>-G3</f>
        <v>2.2549999999999999</v>
      </c>
      <c r="H8" s="43">
        <f>-H3</f>
        <v>1.085</v>
      </c>
      <c r="I8" s="43"/>
      <c r="J8" s="44"/>
      <c r="L8" s="416" t="s">
        <v>195</v>
      </c>
      <c r="M8" s="7">
        <f>ArmEvaluation!$F$8</f>
        <v>24</v>
      </c>
      <c r="N8" s="7">
        <f>ArmEvaluation!$F$9</f>
        <v>36</v>
      </c>
      <c r="O8" s="34">
        <f>M8/2</f>
        <v>12</v>
      </c>
      <c r="P8" s="34">
        <f>N8/2</f>
        <v>18</v>
      </c>
      <c r="Q8" s="43">
        <f>-O8/12</f>
        <v>-1</v>
      </c>
      <c r="R8" s="43">
        <f>-P8/12</f>
        <v>-1.5</v>
      </c>
      <c r="S8" s="34">
        <f>(M8*N8)/144</f>
        <v>6</v>
      </c>
      <c r="T8" s="35">
        <f>4*S8</f>
        <v>24</v>
      </c>
      <c r="U8" s="34"/>
    </row>
    <row r="9" spans="1:24" ht="15" thickBot="1" x14ac:dyDescent="0.35">
      <c r="A9" s="420"/>
      <c r="B9" s="32"/>
      <c r="C9" s="45"/>
      <c r="D9" s="45"/>
      <c r="E9" s="45"/>
      <c r="F9" s="45"/>
      <c r="G9" s="45"/>
      <c r="H9" s="45"/>
      <c r="I9" s="45"/>
      <c r="J9" s="46"/>
      <c r="L9" s="417"/>
      <c r="M9" s="34"/>
      <c r="N9" s="34"/>
      <c r="O9" s="34"/>
      <c r="P9" s="34"/>
      <c r="Q9" s="43">
        <f>O8/12</f>
        <v>1</v>
      </c>
      <c r="R9" s="43">
        <f>-P8/12</f>
        <v>-1.5</v>
      </c>
      <c r="S9" s="34"/>
      <c r="T9" s="35"/>
      <c r="U9" s="34"/>
      <c r="V9" s="3"/>
      <c r="W9" s="3"/>
      <c r="X9"/>
    </row>
    <row r="10" spans="1:24" x14ac:dyDescent="0.3">
      <c r="A10" s="416" t="s">
        <v>27</v>
      </c>
      <c r="B10" s="25" t="s">
        <v>100</v>
      </c>
      <c r="C10" s="166">
        <f>C11+6*2</f>
        <v>26.04</v>
      </c>
      <c r="D10" s="166">
        <f>D11+6*2</f>
        <v>68.16</v>
      </c>
      <c r="E10" s="166">
        <f t="shared" ref="E10:F15" si="1">C10/2</f>
        <v>13.02</v>
      </c>
      <c r="F10" s="166">
        <f t="shared" si="1"/>
        <v>34.08</v>
      </c>
      <c r="G10" s="166">
        <f>IF(AND(Dimensions!C40=1,Dimensions!C37=2),-E12/12,IF(AND(Dimensions!C40=1,Dimensions!C37=1),-E10/12,IF(AND(Dimensions!C40=2,Dimensions!C37=2),-E13/12,IF(AND(Dimensions!C40=2,Dimensions!C37=1),-E11/12,IF(AND(Dimensions!C40=3,Dimensions!C37=2),-E15/12,IF(AND(Dimensions!C40=3,Dimensions!C37=1),-E14/12))))))</f>
        <v>-2.84</v>
      </c>
      <c r="H10" s="166">
        <f>IF(AND(Dimensions!C40=1,Dimensions!C37=2),-F12/12,IF(AND(Dimensions!C40=1,Dimensions!C37=1),-F10/12,IF(AND(Dimensions!C40=2,Dimensions!C37=2),-F13/12,IF(AND(Dimensions!C40=2,Dimensions!C37=1),-F11/12,IF(AND(Dimensions!C40=3,Dimensions!C37=2),-F15/12,IF(AND(Dimensions!C40=3,Dimensions!C37=1),-F14/12))))))</f>
        <v>-1.085</v>
      </c>
      <c r="I10" s="166">
        <f>(IF(Dimensions!C40=1,C10*D10,IF(Dimensions!C40=2,C11*D11,C14*D14))/144)</f>
        <v>12.3256</v>
      </c>
      <c r="J10" s="167">
        <v>65</v>
      </c>
      <c r="L10" s="417"/>
      <c r="M10" s="34"/>
      <c r="N10" s="34"/>
      <c r="O10" s="34"/>
      <c r="P10" s="34"/>
      <c r="Q10" s="43">
        <f>O8/12</f>
        <v>1</v>
      </c>
      <c r="R10" s="43">
        <f>P8/12</f>
        <v>1.5</v>
      </c>
      <c r="S10" s="34"/>
      <c r="T10" s="35"/>
      <c r="U10" s="4"/>
      <c r="V10" s="3"/>
      <c r="W10" s="3"/>
      <c r="X10"/>
    </row>
    <row r="11" spans="1:24" x14ac:dyDescent="0.3">
      <c r="A11" s="417"/>
      <c r="B11" s="27" t="s">
        <v>101</v>
      </c>
      <c r="C11" s="43">
        <f>14.04*1</f>
        <v>14.04</v>
      </c>
      <c r="D11" s="43">
        <f>14.04*4</f>
        <v>56.16</v>
      </c>
      <c r="E11" s="43">
        <f t="shared" si="1"/>
        <v>7.02</v>
      </c>
      <c r="F11" s="43">
        <f t="shared" si="1"/>
        <v>28.08</v>
      </c>
      <c r="G11" s="43">
        <f>-G10</f>
        <v>2.84</v>
      </c>
      <c r="H11" s="43">
        <f>H10</f>
        <v>-1.085</v>
      </c>
      <c r="I11" s="43"/>
      <c r="J11" s="44"/>
      <c r="L11" s="417"/>
      <c r="M11" s="34"/>
      <c r="N11" s="34"/>
      <c r="O11" s="34"/>
      <c r="P11" s="34"/>
      <c r="Q11" s="43">
        <f>-O8/12</f>
        <v>-1</v>
      </c>
      <c r="R11" s="43">
        <f>P8/12</f>
        <v>1.5</v>
      </c>
      <c r="S11" s="34"/>
      <c r="T11" s="35"/>
      <c r="U11" s="34"/>
      <c r="V11" s="3"/>
      <c r="W11" s="3"/>
      <c r="X11"/>
    </row>
    <row r="12" spans="1:24" ht="15" thickBot="1" x14ac:dyDescent="0.35">
      <c r="A12" s="417"/>
      <c r="B12" s="27" t="s">
        <v>26</v>
      </c>
      <c r="C12" s="43">
        <f>C13+6*2</f>
        <v>68.16</v>
      </c>
      <c r="D12" s="43">
        <f>D13+6*2</f>
        <v>26.04</v>
      </c>
      <c r="E12" s="43">
        <f t="shared" si="1"/>
        <v>34.08</v>
      </c>
      <c r="F12" s="43">
        <f t="shared" si="1"/>
        <v>13.02</v>
      </c>
      <c r="G12" s="43">
        <f>-G10</f>
        <v>2.84</v>
      </c>
      <c r="H12" s="43">
        <f>-H10</f>
        <v>1.085</v>
      </c>
      <c r="I12" s="43"/>
      <c r="J12" s="44"/>
      <c r="L12" s="418"/>
      <c r="M12" s="36"/>
      <c r="N12" s="36"/>
      <c r="O12" s="36"/>
      <c r="P12" s="36"/>
      <c r="Q12" s="45">
        <f>-O8/12</f>
        <v>-1</v>
      </c>
      <c r="R12" s="45">
        <f>-P8/12</f>
        <v>-1.5</v>
      </c>
      <c r="S12" s="36"/>
      <c r="T12" s="37"/>
      <c r="U12" s="34"/>
      <c r="V12" s="3"/>
      <c r="W12" s="3"/>
      <c r="X12"/>
    </row>
    <row r="13" spans="1:24" x14ac:dyDescent="0.3">
      <c r="A13" s="417"/>
      <c r="B13" s="27" t="s">
        <v>103</v>
      </c>
      <c r="C13" s="43">
        <f>14.04*4</f>
        <v>56.16</v>
      </c>
      <c r="D13" s="43">
        <f>14.04*1</f>
        <v>14.04</v>
      </c>
      <c r="E13" s="43">
        <f t="shared" si="1"/>
        <v>28.08</v>
      </c>
      <c r="F13" s="43">
        <f t="shared" si="1"/>
        <v>7.02</v>
      </c>
      <c r="G13" s="43">
        <f>G10</f>
        <v>-2.84</v>
      </c>
      <c r="H13" s="43">
        <f>-H10</f>
        <v>1.085</v>
      </c>
      <c r="I13" s="43"/>
      <c r="J13" s="44"/>
      <c r="L13" s="416" t="s">
        <v>196</v>
      </c>
      <c r="M13" s="7">
        <f>ArmEvaluation!$G$8</f>
        <v>36</v>
      </c>
      <c r="N13" s="7">
        <f>ArmEvaluation!$G$9</f>
        <v>36</v>
      </c>
      <c r="O13" s="34">
        <f>M13/2</f>
        <v>18</v>
      </c>
      <c r="P13" s="34">
        <f>N13/2</f>
        <v>18</v>
      </c>
      <c r="Q13" s="43">
        <f>-O13/12</f>
        <v>-1.5</v>
      </c>
      <c r="R13" s="43">
        <f>-P13/12</f>
        <v>-1.5</v>
      </c>
      <c r="S13" s="34">
        <f>(M13*N13)/144</f>
        <v>9</v>
      </c>
      <c r="T13" s="35">
        <f>4*S13</f>
        <v>36</v>
      </c>
      <c r="U13" s="34"/>
      <c r="V13" s="3"/>
      <c r="W13" s="3"/>
      <c r="X13"/>
    </row>
    <row r="14" spans="1:24" x14ac:dyDescent="0.3">
      <c r="A14" s="417"/>
      <c r="B14" s="27" t="s">
        <v>104</v>
      </c>
      <c r="C14" s="43">
        <f>C11+2.5*2</f>
        <v>19.04</v>
      </c>
      <c r="D14" s="43">
        <f>D11+6*2</f>
        <v>68.16</v>
      </c>
      <c r="E14" s="43">
        <f t="shared" si="1"/>
        <v>9.52</v>
      </c>
      <c r="F14" s="43">
        <f t="shared" si="1"/>
        <v>34.08</v>
      </c>
      <c r="G14" s="43">
        <f>G10</f>
        <v>-2.84</v>
      </c>
      <c r="H14" s="43">
        <f>H10</f>
        <v>-1.085</v>
      </c>
      <c r="I14" s="43"/>
      <c r="J14" s="44"/>
      <c r="L14" s="417"/>
      <c r="M14" s="34"/>
      <c r="N14" s="34"/>
      <c r="O14" s="34"/>
      <c r="P14" s="34"/>
      <c r="Q14" s="43">
        <f>O13/12</f>
        <v>1.5</v>
      </c>
      <c r="R14" s="43">
        <f>-P13/12</f>
        <v>-1.5</v>
      </c>
      <c r="S14" s="34"/>
      <c r="T14" s="35"/>
      <c r="U14" s="34"/>
      <c r="V14" s="3"/>
      <c r="W14" s="3"/>
      <c r="X14"/>
    </row>
    <row r="15" spans="1:24" x14ac:dyDescent="0.3">
      <c r="A15" s="417"/>
      <c r="B15" s="27" t="s">
        <v>105</v>
      </c>
      <c r="C15" s="43">
        <f>C13+6*2</f>
        <v>68.16</v>
      </c>
      <c r="D15" s="43">
        <f>D13+2.5*2</f>
        <v>19.04</v>
      </c>
      <c r="E15" s="43">
        <f t="shared" si="1"/>
        <v>34.08</v>
      </c>
      <c r="F15" s="43">
        <f t="shared" si="1"/>
        <v>9.52</v>
      </c>
      <c r="G15" s="43">
        <f>-G10</f>
        <v>2.84</v>
      </c>
      <c r="H15" s="43">
        <f>-H10</f>
        <v>1.085</v>
      </c>
      <c r="I15" s="43"/>
      <c r="J15" s="44"/>
      <c r="L15" s="417"/>
      <c r="M15" s="34"/>
      <c r="N15" s="34"/>
      <c r="O15" s="34"/>
      <c r="P15" s="34"/>
      <c r="Q15" s="43">
        <f>O13/12</f>
        <v>1.5</v>
      </c>
      <c r="R15" s="43">
        <f>P13/12</f>
        <v>1.5</v>
      </c>
      <c r="S15" s="34"/>
      <c r="T15" s="35"/>
      <c r="U15" s="34"/>
      <c r="V15" s="3"/>
      <c r="W15" s="3"/>
      <c r="X15"/>
    </row>
    <row r="16" spans="1:24" s="3" customFormat="1" ht="15" thickBot="1" x14ac:dyDescent="0.35">
      <c r="A16" s="418"/>
      <c r="B16" s="32"/>
      <c r="C16" s="45"/>
      <c r="D16" s="45"/>
      <c r="E16" s="45"/>
      <c r="F16" s="45"/>
      <c r="G16" s="45"/>
      <c r="H16" s="45"/>
      <c r="I16" s="45"/>
      <c r="J16" s="46"/>
      <c r="L16" s="417"/>
      <c r="M16" s="34"/>
      <c r="N16" s="34"/>
      <c r="O16" s="34"/>
      <c r="P16" s="34"/>
      <c r="Q16" s="43">
        <f>-O13/12</f>
        <v>-1.5</v>
      </c>
      <c r="R16" s="43">
        <f>P13/12</f>
        <v>1.5</v>
      </c>
      <c r="S16" s="34"/>
      <c r="T16" s="35"/>
      <c r="U16" s="34"/>
    </row>
    <row r="17" spans="1:26" s="3" customFormat="1" ht="15" thickBot="1" x14ac:dyDescent="0.35">
      <c r="A17" s="416" t="s">
        <v>28</v>
      </c>
      <c r="B17" s="25" t="s">
        <v>100</v>
      </c>
      <c r="C17" s="166">
        <f>C18+6*2</f>
        <v>26.04</v>
      </c>
      <c r="D17" s="166">
        <f>D18+6*2</f>
        <v>82.199999999999989</v>
      </c>
      <c r="E17" s="166">
        <f t="shared" ref="E17:F22" si="2">C17/2</f>
        <v>13.02</v>
      </c>
      <c r="F17" s="166">
        <f t="shared" si="2"/>
        <v>41.099999999999994</v>
      </c>
      <c r="G17" s="166">
        <f>IF(AND(Dimensions!C40=1,Dimensions!C37=2),-E19/12,IF(AND(Dimensions!C40=1,Dimensions!C37=1),-E17/12,IF(AND(Dimensions!C40=2,Dimensions!C37=2),-E20/12,IF(AND(Dimensions!C40=2,Dimensions!C37=1),-E18/12,IF(AND(Dimensions!C40=3,Dimensions!C37=2),-E22/12,IF(AND(Dimensions!C40=3,Dimensions!C37=1),-E21/12))))))</f>
        <v>-3.4249999999999994</v>
      </c>
      <c r="H17" s="166">
        <f>IF(AND(Dimensions!C40=1,Dimensions!C37=2),-F19/12,IF(AND(Dimensions!C40=1,Dimensions!C37=1),-F17/12,IF(AND(Dimensions!C40=2,Dimensions!C37=2),-F20/12,IF(AND(Dimensions!C40=2,Dimensions!C37=1),-F18/12,IF(AND(Dimensions!C40=3,Dimensions!C37=2),-F22/12,IF(AND(Dimensions!C40=3,Dimensions!C37=1),-F21/12))))))</f>
        <v>-1.085</v>
      </c>
      <c r="I17" s="166">
        <f>(IF(Dimensions!C40=1,C17*D17,IF(Dimensions!C40=2,C18*D18,C21*D21))/144)</f>
        <v>14.8645</v>
      </c>
      <c r="J17" s="167">
        <v>80</v>
      </c>
      <c r="L17" s="418"/>
      <c r="M17" s="36"/>
      <c r="N17" s="36"/>
      <c r="O17" s="36"/>
      <c r="P17" s="36"/>
      <c r="Q17" s="45">
        <f>-O13/12</f>
        <v>-1.5</v>
      </c>
      <c r="R17" s="45">
        <f>-P13/12</f>
        <v>-1.5</v>
      </c>
      <c r="S17" s="36"/>
      <c r="T17" s="37"/>
      <c r="U17" s="34"/>
    </row>
    <row r="18" spans="1:26" x14ac:dyDescent="0.3">
      <c r="A18" s="417"/>
      <c r="B18" s="27" t="s">
        <v>101</v>
      </c>
      <c r="C18" s="43">
        <f>14.04*1</f>
        <v>14.04</v>
      </c>
      <c r="D18" s="43">
        <f>14.04*5</f>
        <v>70.199999999999989</v>
      </c>
      <c r="E18" s="43">
        <f t="shared" si="2"/>
        <v>7.02</v>
      </c>
      <c r="F18" s="43">
        <f t="shared" si="2"/>
        <v>35.099999999999994</v>
      </c>
      <c r="G18" s="43">
        <f>-G17</f>
        <v>3.4249999999999994</v>
      </c>
      <c r="H18" s="43">
        <f>H17</f>
        <v>-1.085</v>
      </c>
      <c r="I18" s="43"/>
      <c r="J18" s="44"/>
      <c r="L18" s="416" t="s">
        <v>197</v>
      </c>
      <c r="M18" s="7">
        <f>ArmEvaluation!$H$8</f>
        <v>36</v>
      </c>
      <c r="N18" s="7">
        <f>ArmEvaluation!$H$9</f>
        <v>36</v>
      </c>
      <c r="O18" s="34">
        <f>M18/2</f>
        <v>18</v>
      </c>
      <c r="P18" s="34">
        <f>N18/2</f>
        <v>18</v>
      </c>
      <c r="Q18" s="43">
        <f>-O18/12</f>
        <v>-1.5</v>
      </c>
      <c r="R18" s="43">
        <f>-P18/12</f>
        <v>-1.5</v>
      </c>
      <c r="S18" s="34">
        <f>(M18*N18)/144</f>
        <v>9</v>
      </c>
      <c r="T18" s="35">
        <f>4*S18</f>
        <v>36</v>
      </c>
      <c r="U18" s="34"/>
      <c r="V18" s="3"/>
      <c r="W18" s="3"/>
      <c r="X18"/>
    </row>
    <row r="19" spans="1:26" x14ac:dyDescent="0.3">
      <c r="A19" s="417"/>
      <c r="B19" s="27" t="s">
        <v>102</v>
      </c>
      <c r="C19" s="43">
        <f>C20+6*2</f>
        <v>82.199999999999989</v>
      </c>
      <c r="D19" s="43">
        <f>D20+6*2</f>
        <v>26.04</v>
      </c>
      <c r="E19" s="43">
        <f t="shared" si="2"/>
        <v>41.099999999999994</v>
      </c>
      <c r="F19" s="43">
        <f t="shared" si="2"/>
        <v>13.02</v>
      </c>
      <c r="G19" s="43">
        <f>-G17</f>
        <v>3.4249999999999994</v>
      </c>
      <c r="H19" s="43">
        <f>-H17</f>
        <v>1.085</v>
      </c>
      <c r="I19" s="43"/>
      <c r="J19" s="44"/>
      <c r="L19" s="417"/>
      <c r="M19" s="34"/>
      <c r="N19" s="34"/>
      <c r="O19" s="34"/>
      <c r="P19" s="34"/>
      <c r="Q19" s="43">
        <f>O18/12</f>
        <v>1.5</v>
      </c>
      <c r="R19" s="43">
        <f>-P18/12</f>
        <v>-1.5</v>
      </c>
      <c r="S19" s="34"/>
      <c r="T19" s="35"/>
      <c r="U19" s="4"/>
      <c r="V19" s="3"/>
      <c r="W19" s="3"/>
      <c r="Y19" s="3"/>
      <c r="Z19" s="3"/>
    </row>
    <row r="20" spans="1:26" x14ac:dyDescent="0.3">
      <c r="A20" s="417"/>
      <c r="B20" s="27" t="s">
        <v>103</v>
      </c>
      <c r="C20" s="43">
        <f>14.04*5</f>
        <v>70.199999999999989</v>
      </c>
      <c r="D20" s="43">
        <f>14.04*1</f>
        <v>14.04</v>
      </c>
      <c r="E20" s="43">
        <f t="shared" si="2"/>
        <v>35.099999999999994</v>
      </c>
      <c r="F20" s="43">
        <f t="shared" si="2"/>
        <v>7.02</v>
      </c>
      <c r="G20" s="43">
        <f>G17</f>
        <v>-3.4249999999999994</v>
      </c>
      <c r="H20" s="43">
        <f>-H17</f>
        <v>1.085</v>
      </c>
      <c r="I20" s="43"/>
      <c r="J20" s="44"/>
      <c r="L20" s="417"/>
      <c r="M20" s="34"/>
      <c r="N20" s="34"/>
      <c r="O20" s="34"/>
      <c r="P20" s="34"/>
      <c r="Q20" s="43">
        <f>O18/12</f>
        <v>1.5</v>
      </c>
      <c r="R20" s="43">
        <f>P18/12</f>
        <v>1.5</v>
      </c>
      <c r="S20" s="34"/>
      <c r="T20" s="35"/>
      <c r="U20" s="34"/>
      <c r="V20" s="3"/>
      <c r="W20" s="3"/>
      <c r="Y20" s="3"/>
      <c r="Z20" s="3"/>
    </row>
    <row r="21" spans="1:26" x14ac:dyDescent="0.3">
      <c r="A21" s="417"/>
      <c r="B21" s="27" t="s">
        <v>104</v>
      </c>
      <c r="C21" s="43">
        <f>C18+2.5*2</f>
        <v>19.04</v>
      </c>
      <c r="D21" s="43">
        <f>D18+6*2</f>
        <v>82.199999999999989</v>
      </c>
      <c r="E21" s="43">
        <f t="shared" si="2"/>
        <v>9.52</v>
      </c>
      <c r="F21" s="43">
        <f t="shared" si="2"/>
        <v>41.099999999999994</v>
      </c>
      <c r="G21" s="43">
        <f>G17</f>
        <v>-3.4249999999999994</v>
      </c>
      <c r="H21" s="43">
        <f>H17</f>
        <v>-1.085</v>
      </c>
      <c r="I21" s="43"/>
      <c r="J21" s="44"/>
      <c r="L21" s="417"/>
      <c r="M21" s="34"/>
      <c r="N21" s="34"/>
      <c r="O21" s="34"/>
      <c r="P21" s="34"/>
      <c r="Q21" s="43">
        <f>-O18/12</f>
        <v>-1.5</v>
      </c>
      <c r="R21" s="43">
        <f>P18/12</f>
        <v>1.5</v>
      </c>
      <c r="S21" s="34"/>
      <c r="T21" s="35"/>
      <c r="U21" s="34"/>
      <c r="Y21" s="3"/>
      <c r="Z21" s="3"/>
    </row>
    <row r="22" spans="1:26" ht="15" thickBot="1" x14ac:dyDescent="0.35">
      <c r="A22" s="417"/>
      <c r="B22" s="27" t="s">
        <v>105</v>
      </c>
      <c r="C22" s="43">
        <f>C20+6*2</f>
        <v>82.199999999999989</v>
      </c>
      <c r="D22" s="43">
        <f>D20+2.5*2</f>
        <v>19.04</v>
      </c>
      <c r="E22" s="43">
        <f t="shared" si="2"/>
        <v>41.099999999999994</v>
      </c>
      <c r="F22" s="43">
        <f t="shared" si="2"/>
        <v>9.52</v>
      </c>
      <c r="G22" s="43">
        <f>-G17</f>
        <v>3.4249999999999994</v>
      </c>
      <c r="H22" s="43">
        <f>-H17</f>
        <v>1.085</v>
      </c>
      <c r="I22" s="43"/>
      <c r="J22" s="44"/>
      <c r="L22" s="418"/>
      <c r="M22" s="36"/>
      <c r="N22" s="36"/>
      <c r="O22" s="36"/>
      <c r="P22" s="36"/>
      <c r="Q22" s="45">
        <f>-O18/12</f>
        <v>-1.5</v>
      </c>
      <c r="R22" s="45">
        <f>-P18/12</f>
        <v>-1.5</v>
      </c>
      <c r="S22" s="36"/>
      <c r="T22" s="37"/>
      <c r="U22" s="34"/>
      <c r="Y22" s="3"/>
      <c r="Z22" s="3"/>
    </row>
    <row r="23" spans="1:26" ht="15" thickBot="1" x14ac:dyDescent="0.35">
      <c r="A23" s="418"/>
      <c r="B23" s="32"/>
      <c r="C23" s="45"/>
      <c r="D23" s="45"/>
      <c r="E23" s="45"/>
      <c r="F23" s="45"/>
      <c r="G23" s="45"/>
      <c r="H23" s="45"/>
      <c r="I23" s="45"/>
      <c r="J23" s="46"/>
      <c r="L23" s="416" t="s">
        <v>198</v>
      </c>
      <c r="M23" s="7">
        <f>ArmEvaluation!$I$8</f>
        <v>36</v>
      </c>
      <c r="N23" s="7">
        <f>ArmEvaluation!$I$9</f>
        <v>36</v>
      </c>
      <c r="O23" s="34">
        <f>M23/2</f>
        <v>18</v>
      </c>
      <c r="P23" s="34">
        <f>N23/2</f>
        <v>18</v>
      </c>
      <c r="Q23" s="43">
        <f>-O23/12</f>
        <v>-1.5</v>
      </c>
      <c r="R23" s="43">
        <f>-P23/12</f>
        <v>-1.5</v>
      </c>
      <c r="S23" s="34">
        <f>(M23*N23)/144</f>
        <v>9</v>
      </c>
      <c r="T23" s="35">
        <f>4*S23</f>
        <v>36</v>
      </c>
      <c r="U23" s="34"/>
      <c r="Y23" s="3"/>
      <c r="Z23" s="3"/>
    </row>
    <row r="24" spans="1:26" x14ac:dyDescent="0.3">
      <c r="A24" s="416" t="s">
        <v>29</v>
      </c>
      <c r="B24" s="25" t="s">
        <v>100</v>
      </c>
      <c r="C24" s="166">
        <f>14.04*2+6*2</f>
        <v>40.08</v>
      </c>
      <c r="D24" s="166">
        <f>14.04*3+6*2</f>
        <v>54.12</v>
      </c>
      <c r="E24" s="166">
        <f>C24/2</f>
        <v>20.04</v>
      </c>
      <c r="F24" s="166">
        <f>D24/2</f>
        <v>27.06</v>
      </c>
      <c r="G24" s="166">
        <f>IF(AND(Dimensions!C40=1,Dimensions!C37=2),0,IF(AND(Dimensions!C40=1,Dimensions!C37=1),-E24/12,IF(AND(Dimensions!C40=2,Dimensions!C37=2),0,IF(AND(Dimensions!C40=2,Dimensions!C37=1),-E25/12))))</f>
        <v>0</v>
      </c>
      <c r="H24" s="166">
        <f>IF(AND(Dimensions!C40=1,Dimensions!C37=2),-F26/12,IF(AND(Dimensions!C40=1,Dimensions!C37=1),-F24/12,IF(AND(Dimensions!C40=2,Dimensions!C37=2),-F27/12,IF(AND(Dimensions!C40=2,Dimensions!C37=1),-F25/12))))</f>
        <v>0</v>
      </c>
      <c r="I24" s="166">
        <f>(IF(Dimensions!C40=1,((D24*(C24-20))+((14+6)*(14+6*2))),((D25-14)*(C25))+(14*14)))/144</f>
        <v>11.157844444444443</v>
      </c>
      <c r="J24" s="167">
        <v>80</v>
      </c>
      <c r="L24" s="417"/>
      <c r="M24" s="34"/>
      <c r="N24" s="34"/>
      <c r="O24" s="34"/>
      <c r="P24" s="34"/>
      <c r="Q24" s="43">
        <f>O23/12</f>
        <v>1.5</v>
      </c>
      <c r="R24" s="43">
        <f>-P23/12</f>
        <v>-1.5</v>
      </c>
      <c r="S24" s="34"/>
      <c r="T24" s="35"/>
      <c r="U24" s="34"/>
      <c r="Y24" s="3"/>
      <c r="Z24" s="3"/>
    </row>
    <row r="25" spans="1:26" s="3" customFormat="1" x14ac:dyDescent="0.3">
      <c r="A25" s="417"/>
      <c r="B25" s="27" t="s">
        <v>101</v>
      </c>
      <c r="C25" s="43">
        <f>C24-6*2</f>
        <v>28.08</v>
      </c>
      <c r="D25" s="43">
        <f>D24-6*2</f>
        <v>42.12</v>
      </c>
      <c r="E25" s="43">
        <f>C25/2</f>
        <v>14.04</v>
      </c>
      <c r="F25" s="43">
        <f>D25/2</f>
        <v>21.06</v>
      </c>
      <c r="G25" s="43">
        <f>IF(AND(Dimensions!C40=1,Dimensions!C37=2),E26/12,IF(AND(Dimensions!C40=1,Dimensions!C37=1),E24/12,IF(AND(Dimensions!C40=2,Dimensions!C37=2),E27/12,IF(AND(Dimensions!C40=2,Dimensions!C37=1),E25/12))))</f>
        <v>0</v>
      </c>
      <c r="H25" s="43">
        <f>IF(AND(Dimensions!C40=1,Dimensions!C37=2),-F26/12,IF(AND(Dimensions!C40=1,Dimensions!C37=1),-F24/12,IF(AND(Dimensions!C40=2,Dimensions!C37=2),-F27/12,IF(AND(Dimensions!C40=2,Dimensions!C37=1),-F25/12))))</f>
        <v>0</v>
      </c>
      <c r="I25" s="43"/>
      <c r="J25" s="44"/>
      <c r="L25" s="417"/>
      <c r="M25" s="34"/>
      <c r="N25" s="34"/>
      <c r="O25" s="34"/>
      <c r="P25" s="34"/>
      <c r="Q25" s="43">
        <f>O23/12</f>
        <v>1.5</v>
      </c>
      <c r="R25" s="43">
        <f>P23/12</f>
        <v>1.5</v>
      </c>
      <c r="S25" s="34"/>
      <c r="T25" s="35"/>
      <c r="U25" s="34"/>
      <c r="V25"/>
      <c r="W25"/>
    </row>
    <row r="26" spans="1:26" s="3" customFormat="1" x14ac:dyDescent="0.3">
      <c r="A26" s="417"/>
      <c r="B26" s="27" t="s">
        <v>102</v>
      </c>
      <c r="C26" s="43">
        <v>0</v>
      </c>
      <c r="D26" s="43">
        <v>0</v>
      </c>
      <c r="E26" s="43">
        <v>0</v>
      </c>
      <c r="F26" s="43">
        <v>0</v>
      </c>
      <c r="G26" s="43">
        <f>IF(AND(Dimensions!C40=1,Dimensions!C37=2),E26/12,IF(AND(Dimensions!C40=1,Dimensions!C37=1),E24/12,IF(AND(Dimensions!C40=2,Dimensions!C37=2),E27/12,IF(AND(Dimensions!C40=2,Dimensions!C37=1),E25/12))))</f>
        <v>0</v>
      </c>
      <c r="H26" s="43">
        <f>IF(AND(Dimensions!C40=1,Dimensions!C37=2),F26/12,IF(AND(Dimensions!C40=1,Dimensions!C37=1),(((D24*2)/3)-F24)/12,IF(AND(Dimensions!C40=2,Dimensions!C37=2),F27/12,IF(AND(Dimensions!C40=2,Dimensions!C37=1),(((D25*2)/3)-F25)/12))))</f>
        <v>0</v>
      </c>
      <c r="I26" s="43"/>
      <c r="J26" s="44"/>
      <c r="L26" s="417"/>
      <c r="M26" s="34"/>
      <c r="N26" s="34"/>
      <c r="O26" s="34"/>
      <c r="P26" s="34"/>
      <c r="Q26" s="43">
        <f>-O23/12</f>
        <v>-1.5</v>
      </c>
      <c r="R26" s="43">
        <f>P23/12</f>
        <v>1.5</v>
      </c>
      <c r="S26" s="34"/>
      <c r="T26" s="35"/>
      <c r="U26" s="34"/>
      <c r="V26"/>
      <c r="W26"/>
    </row>
    <row r="27" spans="1:26" ht="15" thickBot="1" x14ac:dyDescent="0.35">
      <c r="A27" s="417"/>
      <c r="B27" s="27" t="s">
        <v>103</v>
      </c>
      <c r="C27" s="43">
        <v>0</v>
      </c>
      <c r="D27" s="43">
        <v>0</v>
      </c>
      <c r="E27" s="43">
        <v>0</v>
      </c>
      <c r="F27" s="43">
        <v>0</v>
      </c>
      <c r="G27" s="43">
        <f>IF(AND(Dimensions!C40=1,Dimensions!C37=2),0,IF(AND(Dimensions!C40=1,Dimensions!C37=1),(E24-7)/12,IF(AND(Dimensions!C40=2,Dimensions!C37=2),0,IF(AND(Dimensions!C40=2,Dimensions!C37=1),(E25-7)/12))))</f>
        <v>0</v>
      </c>
      <c r="H27" s="43">
        <f>IF(AND(Dimensions!C40=1,Dimensions!C37=2),F26/12,IF(AND(Dimensions!C40=1,Dimensions!C37=1),(((D24*2)/3)-F24)/12,IF(AND(Dimensions!C40=2,Dimensions!C37=2),F27/12,IF(AND(Dimensions!C40=2,Dimensions!C37=1),(((D25*2)/3)-F25)/12))))</f>
        <v>0</v>
      </c>
      <c r="I27" s="43"/>
      <c r="J27" s="44"/>
      <c r="L27" s="418"/>
      <c r="M27" s="36"/>
      <c r="N27" s="36"/>
      <c r="O27" s="36"/>
      <c r="P27" s="36"/>
      <c r="Q27" s="45">
        <f>-O23/12</f>
        <v>-1.5</v>
      </c>
      <c r="R27" s="45">
        <f>-P23/12</f>
        <v>-1.5</v>
      </c>
      <c r="S27" s="36"/>
      <c r="T27" s="37"/>
      <c r="U27" s="34"/>
      <c r="X27"/>
    </row>
    <row r="28" spans="1:26" x14ac:dyDescent="0.3">
      <c r="A28" s="417"/>
      <c r="B28" s="33"/>
      <c r="C28" s="43"/>
      <c r="D28" s="43"/>
      <c r="E28" s="43"/>
      <c r="F28" s="43"/>
      <c r="G28" s="43">
        <f>IF(AND(Dimensions!C40=1,Dimensions!C37=2),0,IF(AND(Dimensions!C40=1,Dimensions!C37=1),(E24-7)/12,IF(AND(Dimensions!C40=2,Dimensions!C37=2),0,IF(AND(Dimensions!C40=2,Dimensions!C37=1),(E25-7)/12))))</f>
        <v>0</v>
      </c>
      <c r="H28" s="43">
        <f>IF(AND(Dimensions!C40=1,Dimensions!C37=2),F26/12,IF(AND(Dimensions!C40=1,Dimensions!C37=1),F24/12,IF(AND(Dimensions!C40=2,Dimensions!C37=2),F27/12,IF(AND(Dimensions!C40=2,Dimensions!C37=1),F25/12))))</f>
        <v>0</v>
      </c>
      <c r="I28" s="43"/>
      <c r="J28" s="44"/>
      <c r="L28" s="416" t="s">
        <v>199</v>
      </c>
      <c r="M28" s="7">
        <f>ArmEvaluation!$J$8</f>
        <v>36</v>
      </c>
      <c r="N28" s="7">
        <f>ArmEvaluation!$J$9</f>
        <v>36</v>
      </c>
      <c r="O28" s="34">
        <f>M28/2</f>
        <v>18</v>
      </c>
      <c r="P28" s="34">
        <f>N28/2</f>
        <v>18</v>
      </c>
      <c r="Q28" s="43">
        <f>-O28/12</f>
        <v>-1.5</v>
      </c>
      <c r="R28" s="43">
        <f>-P28/12</f>
        <v>-1.5</v>
      </c>
      <c r="S28" s="34">
        <f>(M28*N28)/144</f>
        <v>9</v>
      </c>
      <c r="T28" s="35">
        <f>4*S28</f>
        <v>36</v>
      </c>
      <c r="U28" s="4"/>
      <c r="X28"/>
    </row>
    <row r="29" spans="1:26" x14ac:dyDescent="0.3">
      <c r="A29" s="417"/>
      <c r="B29" s="33"/>
      <c r="C29" s="43"/>
      <c r="D29" s="43"/>
      <c r="E29" s="43"/>
      <c r="F29" s="43"/>
      <c r="G29" s="43">
        <f>IF(AND(Dimensions!C40=1,Dimensions!C37=2),0,IF(AND(Dimensions!C40=1,Dimensions!C37=1),(-E24+7)/12,IF(AND(Dimensions!C40=2,Dimensions!C37=2),0,IF(AND(Dimensions!C40=2,Dimensions!C37=1),(-E25+7)/12))))</f>
        <v>0</v>
      </c>
      <c r="H29" s="43">
        <f>IF(AND(Dimensions!C40=1,Dimensions!C37=2),F26/12,IF(AND(Dimensions!C40=1,Dimensions!C37=1),F24/12,IF(AND(Dimensions!C40=2,Dimensions!C37=2),F27/12,IF(AND(Dimensions!C40=2,Dimensions!C37=1),F25/12))))</f>
        <v>0</v>
      </c>
      <c r="I29" s="43"/>
      <c r="J29" s="44"/>
      <c r="L29" s="417"/>
      <c r="M29" s="34"/>
      <c r="N29" s="34"/>
      <c r="O29" s="34"/>
      <c r="P29" s="34"/>
      <c r="Q29" s="43">
        <f>O28/12</f>
        <v>1.5</v>
      </c>
      <c r="R29" s="43">
        <f>-P28/12</f>
        <v>-1.5</v>
      </c>
      <c r="S29" s="34"/>
      <c r="T29" s="35"/>
      <c r="U29" s="34"/>
      <c r="X29"/>
    </row>
    <row r="30" spans="1:26" x14ac:dyDescent="0.3">
      <c r="A30" s="417"/>
      <c r="B30" s="33"/>
      <c r="C30" s="43"/>
      <c r="D30" s="43"/>
      <c r="E30" s="43"/>
      <c r="F30" s="43"/>
      <c r="G30" s="43">
        <f>IF(AND(Dimensions!C40=1,Dimensions!C37=2),0,IF(AND(Dimensions!C40=1,Dimensions!C37=1),(-E24+7)/12,IF(AND(Dimensions!C40=2,Dimensions!C37=2),0,IF(AND(Dimensions!C40=2,Dimensions!C37=1),(-E25+7)/12))))</f>
        <v>0</v>
      </c>
      <c r="H30" s="43">
        <f>IF(AND(Dimensions!C40=1,Dimensions!C37=2),F26/12,IF(AND(Dimensions!C40=1,Dimensions!C37=1),(((D24*2)/3)-F24)/12,IF(AND(Dimensions!C40=2,Dimensions!C37=2),F27/12,IF(AND(Dimensions!C40=2,Dimensions!C37=1),(((D25*2)/3)-F25)/12))))</f>
        <v>0</v>
      </c>
      <c r="I30" s="43"/>
      <c r="J30" s="44"/>
      <c r="L30" s="417"/>
      <c r="M30" s="34"/>
      <c r="N30" s="34"/>
      <c r="O30" s="34"/>
      <c r="P30" s="34"/>
      <c r="Q30" s="43">
        <f>O28/12</f>
        <v>1.5</v>
      </c>
      <c r="R30" s="43">
        <f>P28/12</f>
        <v>1.5</v>
      </c>
      <c r="S30" s="34"/>
      <c r="T30" s="35"/>
      <c r="U30" s="34"/>
      <c r="X30"/>
    </row>
    <row r="31" spans="1:26" x14ac:dyDescent="0.3">
      <c r="A31" s="417"/>
      <c r="B31" s="33"/>
      <c r="C31" s="43"/>
      <c r="D31" s="43"/>
      <c r="E31" s="43"/>
      <c r="F31" s="43"/>
      <c r="G31" s="43">
        <f>IF(AND(Dimensions!C40=1,Dimensions!C37=2),-E26/12,IF(AND(Dimensions!C40=1,Dimensions!C37=1),-E24/12,IF(AND(Dimensions!C40=2,Dimensions!C37=2),-E27/12,IF(AND(Dimensions!C40=2,Dimensions!C37=1),-E25/12))))</f>
        <v>0</v>
      </c>
      <c r="H31" s="43">
        <f>IF(AND(Dimensions!C40=1,Dimensions!C37=2),F26/12,IF(AND(Dimensions!C40=1,Dimensions!C37=1),(((D24*2)/3)-F24)/12,IF(AND(Dimensions!C40=2,Dimensions!C37=2),F27/12,IF(AND(Dimensions!C40=2,Dimensions!C37=1),(((D25*2)/3)-F25)/12))))</f>
        <v>0</v>
      </c>
      <c r="I31" s="43"/>
      <c r="J31" s="44"/>
      <c r="L31" s="417"/>
      <c r="M31" s="34"/>
      <c r="N31" s="34"/>
      <c r="O31" s="34"/>
      <c r="P31" s="34"/>
      <c r="Q31" s="43">
        <f>-O28/12</f>
        <v>-1.5</v>
      </c>
      <c r="R31" s="43">
        <f>P28/12</f>
        <v>1.5</v>
      </c>
      <c r="S31" s="34"/>
      <c r="T31" s="35"/>
      <c r="U31" s="34"/>
      <c r="X31"/>
    </row>
    <row r="32" spans="1:26" ht="15" thickBot="1" x14ac:dyDescent="0.35">
      <c r="A32" s="418"/>
      <c r="B32" s="32"/>
      <c r="C32" s="30"/>
      <c r="D32" s="30"/>
      <c r="E32" s="30"/>
      <c r="F32" s="30"/>
      <c r="G32" s="51">
        <f>IF(AND(Dimensions!C40=1,Dimensions!C37=2),-E26/12,IF(AND(Dimensions!C40=1,Dimensions!C37=1),-E24/12,IF(AND(Dimensions!C40=2,Dimensions!C37=2),-E27/12,IF(AND(Dimensions!C40=2,Dimensions!C37=1),-E25/12))))</f>
        <v>0</v>
      </c>
      <c r="H32" s="51">
        <f>IF(AND(Dimensions!C40=1,Dimensions!C37=2),-F26/12,IF(AND(Dimensions!C40=1,Dimensions!C37=1),-F24/12,IF(AND(Dimensions!C40=2,Dimensions!C37=2),-F27/12,IF(AND(Dimensions!C40=2,Dimensions!C37=1),-F25/12))))</f>
        <v>0</v>
      </c>
      <c r="I32" s="30"/>
      <c r="J32" s="31"/>
      <c r="L32" s="418"/>
      <c r="M32" s="36"/>
      <c r="N32" s="36"/>
      <c r="O32" s="36"/>
      <c r="P32" s="36"/>
      <c r="Q32" s="45">
        <f>-O28/12</f>
        <v>-1.5</v>
      </c>
      <c r="R32" s="45">
        <f>-P28/12</f>
        <v>-1.5</v>
      </c>
      <c r="S32" s="36"/>
      <c r="T32" s="37"/>
      <c r="U32" s="34"/>
      <c r="X32"/>
    </row>
    <row r="33" spans="2:24" ht="15" thickBot="1" x14ac:dyDescent="0.35">
      <c r="L33" s="416" t="s">
        <v>200</v>
      </c>
      <c r="M33" s="7">
        <f>ArmEvaluation!$K$8</f>
        <v>36</v>
      </c>
      <c r="N33" s="7">
        <f>ArmEvaluation!$K$9</f>
        <v>36</v>
      </c>
      <c r="O33" s="34">
        <f>M33/2</f>
        <v>18</v>
      </c>
      <c r="P33" s="34">
        <f>N33/2</f>
        <v>18</v>
      </c>
      <c r="Q33" s="43">
        <f>-O33/12</f>
        <v>-1.5</v>
      </c>
      <c r="R33" s="43">
        <f>-P33/12</f>
        <v>-1.5</v>
      </c>
      <c r="S33" s="34">
        <f>(M33*N33)/144</f>
        <v>9</v>
      </c>
      <c r="T33" s="35">
        <f>4*S33</f>
        <v>36</v>
      </c>
      <c r="U33" s="34"/>
    </row>
    <row r="34" spans="2:24" x14ac:dyDescent="0.3">
      <c r="B34" s="25" t="s">
        <v>45</v>
      </c>
      <c r="C34" s="41" t="s">
        <v>44</v>
      </c>
      <c r="D34" s="26" t="s">
        <v>17</v>
      </c>
      <c r="E34" s="26" t="s">
        <v>24</v>
      </c>
      <c r="F34" s="42" t="s">
        <v>18</v>
      </c>
      <c r="L34" s="417"/>
      <c r="M34" s="34"/>
      <c r="N34" s="34"/>
      <c r="O34" s="34"/>
      <c r="P34" s="34"/>
      <c r="Q34" s="43">
        <f>O33/12</f>
        <v>1.5</v>
      </c>
      <c r="R34" s="43">
        <f>-P33/12</f>
        <v>-1.5</v>
      </c>
      <c r="S34" s="34"/>
      <c r="T34" s="35"/>
      <c r="U34" s="34"/>
    </row>
    <row r="35" spans="2:24" x14ac:dyDescent="0.3">
      <c r="B35" s="11" t="s">
        <v>46</v>
      </c>
      <c r="C35" s="11">
        <v>0.1</v>
      </c>
      <c r="D35" s="11">
        <v>0.02</v>
      </c>
      <c r="E35" s="11">
        <f>IF(Dimensions!C38=1,0,VLOOKUP(Dimensions!C38,'CFI&amp;Designation'!A6:L60,4))</f>
        <v>50</v>
      </c>
      <c r="F35" s="11">
        <f>C35/2</f>
        <v>0.05</v>
      </c>
      <c r="L35" s="417"/>
      <c r="M35" s="34"/>
      <c r="N35" s="34"/>
      <c r="O35" s="34"/>
      <c r="P35" s="34"/>
      <c r="Q35" s="43">
        <f>O33/12</f>
        <v>1.5</v>
      </c>
      <c r="R35" s="43">
        <f>P33/12</f>
        <v>1.5</v>
      </c>
      <c r="S35" s="34"/>
      <c r="T35" s="35"/>
      <c r="U35" s="4"/>
    </row>
    <row r="36" spans="2:24" x14ac:dyDescent="0.3">
      <c r="B36" s="33"/>
      <c r="C36" s="39" t="s">
        <v>222</v>
      </c>
      <c r="D36" s="39" t="s">
        <v>41</v>
      </c>
      <c r="E36" s="34"/>
      <c r="F36" s="35"/>
      <c r="L36" s="417"/>
      <c r="M36" s="34"/>
      <c r="N36" s="34"/>
      <c r="O36" s="34"/>
      <c r="P36" s="34"/>
      <c r="Q36" s="43">
        <f>-O33/12</f>
        <v>-1.5</v>
      </c>
      <c r="R36" s="43">
        <f>P33/12</f>
        <v>1.5</v>
      </c>
      <c r="S36" s="34"/>
      <c r="T36" s="35"/>
      <c r="U36" s="34"/>
    </row>
    <row r="37" spans="2:24" ht="15" thickBot="1" x14ac:dyDescent="0.35">
      <c r="B37" s="27" t="s">
        <v>22</v>
      </c>
      <c r="C37" s="48">
        <v>2</v>
      </c>
      <c r="D37" s="38" t="s">
        <v>23</v>
      </c>
      <c r="E37" s="34"/>
      <c r="F37" s="35"/>
      <c r="I37" s="3"/>
      <c r="L37" s="418"/>
      <c r="M37" s="36"/>
      <c r="N37" s="36"/>
      <c r="O37" s="36"/>
      <c r="P37" s="36"/>
      <c r="Q37" s="45">
        <f>-O33/12</f>
        <v>-1.5</v>
      </c>
      <c r="R37" s="45">
        <f>-P33/12</f>
        <v>-1.5</v>
      </c>
      <c r="S37" s="36"/>
      <c r="T37" s="37"/>
      <c r="U37" s="34"/>
      <c r="X37" s="34"/>
    </row>
    <row r="38" spans="2:24" x14ac:dyDescent="0.3">
      <c r="B38" s="27" t="s">
        <v>24</v>
      </c>
      <c r="C38" s="48">
        <v>6</v>
      </c>
      <c r="D38" s="34">
        <f>E35</f>
        <v>50</v>
      </c>
      <c r="E38" s="34"/>
      <c r="F38" s="35"/>
      <c r="I38" s="3"/>
      <c r="L38" s="416" t="s">
        <v>201</v>
      </c>
      <c r="M38" s="7">
        <f>ArmEvaluation!$L$8</f>
        <v>36</v>
      </c>
      <c r="N38" s="7">
        <f>ArmEvaluation!$L$9</f>
        <v>36</v>
      </c>
      <c r="O38" s="34">
        <f>M38/2</f>
        <v>18</v>
      </c>
      <c r="P38" s="34">
        <f>N38/2</f>
        <v>18</v>
      </c>
      <c r="Q38" s="43">
        <f>-O38/12</f>
        <v>-1.5</v>
      </c>
      <c r="R38" s="43">
        <f>-P38/12</f>
        <v>-1.5</v>
      </c>
      <c r="S38" s="34">
        <f>(M38*N38)/144</f>
        <v>9</v>
      </c>
      <c r="T38" s="35">
        <f>4*S38</f>
        <v>36</v>
      </c>
      <c r="U38" s="34"/>
      <c r="X38" s="34"/>
    </row>
    <row r="39" spans="2:24" x14ac:dyDescent="0.3">
      <c r="B39" s="27" t="s">
        <v>21</v>
      </c>
      <c r="C39" s="48"/>
      <c r="D39" s="49">
        <f>ArmEvaluation!C5</f>
        <v>165</v>
      </c>
      <c r="E39" s="34"/>
      <c r="F39" s="35"/>
      <c r="L39" s="417"/>
      <c r="M39" s="34"/>
      <c r="N39" s="34"/>
      <c r="O39" s="34"/>
      <c r="P39" s="34"/>
      <c r="Q39" s="43">
        <f>O38/12</f>
        <v>1.5</v>
      </c>
      <c r="R39" s="43">
        <f>-P38/12</f>
        <v>-1.5</v>
      </c>
      <c r="S39" s="34"/>
      <c r="T39" s="35"/>
      <c r="U39" s="34"/>
      <c r="X39" s="34"/>
    </row>
    <row r="40" spans="2:24" x14ac:dyDescent="0.3">
      <c r="B40" s="27" t="s">
        <v>99</v>
      </c>
      <c r="C40" s="48">
        <v>1</v>
      </c>
      <c r="D40" s="38" t="s">
        <v>106</v>
      </c>
      <c r="E40" s="34"/>
      <c r="F40" s="35"/>
      <c r="L40" s="417"/>
      <c r="M40" s="34"/>
      <c r="N40" s="34"/>
      <c r="O40" s="34"/>
      <c r="P40" s="34"/>
      <c r="Q40" s="43">
        <f>O38/12</f>
        <v>1.5</v>
      </c>
      <c r="R40" s="43">
        <f>P38/12</f>
        <v>1.5</v>
      </c>
      <c r="S40" s="34"/>
      <c r="T40" s="35"/>
      <c r="U40" s="34"/>
      <c r="X40" s="34"/>
    </row>
    <row r="41" spans="2:24" ht="15" thickBot="1" x14ac:dyDescent="0.35">
      <c r="B41" s="29" t="s">
        <v>39</v>
      </c>
      <c r="C41" s="50">
        <v>1</v>
      </c>
      <c r="D41" s="47" t="s">
        <v>40</v>
      </c>
      <c r="E41" s="36"/>
      <c r="F41" s="37"/>
      <c r="L41" s="417"/>
      <c r="M41" s="34"/>
      <c r="N41" s="34"/>
      <c r="O41" s="34"/>
      <c r="P41" s="34"/>
      <c r="Q41" s="43">
        <f>-O38/12</f>
        <v>-1.5</v>
      </c>
      <c r="R41" s="43">
        <f>P38/12</f>
        <v>1.5</v>
      </c>
      <c r="S41" s="34"/>
      <c r="T41" s="35"/>
      <c r="U41" s="34"/>
      <c r="X41" s="34"/>
    </row>
    <row r="42" spans="2:24" ht="15" thickBot="1" x14ac:dyDescent="0.35">
      <c r="L42" s="418"/>
      <c r="M42" s="36"/>
      <c r="N42" s="36"/>
      <c r="O42" s="36"/>
      <c r="P42" s="36"/>
      <c r="Q42" s="45">
        <f>-O38/12</f>
        <v>-1.5</v>
      </c>
      <c r="R42" s="45">
        <f>-P38/12</f>
        <v>-1.5</v>
      </c>
      <c r="S42" s="36"/>
      <c r="T42" s="37"/>
      <c r="U42" s="4"/>
      <c r="X42" s="34"/>
    </row>
    <row r="43" spans="2:24" x14ac:dyDescent="0.3">
      <c r="B43" s="3"/>
      <c r="C43" s="3"/>
      <c r="L43" s="416" t="s">
        <v>202</v>
      </c>
      <c r="M43" s="7">
        <f>ArmEvaluation!$M$8</f>
        <v>24</v>
      </c>
      <c r="N43" s="7">
        <f>ArmEvaluation!$M$9</f>
        <v>36</v>
      </c>
      <c r="O43" s="34">
        <f>M43/2</f>
        <v>12</v>
      </c>
      <c r="P43" s="34">
        <f>N43/2</f>
        <v>18</v>
      </c>
      <c r="Q43" s="43">
        <f>-O43/12</f>
        <v>-1</v>
      </c>
      <c r="R43" s="43">
        <f>-P43/12</f>
        <v>-1.5</v>
      </c>
      <c r="S43" s="34">
        <f>(M43*N43)/144</f>
        <v>6</v>
      </c>
      <c r="T43" s="35">
        <f>4*S43</f>
        <v>24</v>
      </c>
      <c r="U43" s="34"/>
      <c r="X43" s="34"/>
    </row>
    <row r="44" spans="2:24" x14ac:dyDescent="0.3">
      <c r="I44" s="3"/>
      <c r="L44" s="417"/>
      <c r="M44" s="34"/>
      <c r="N44" s="34"/>
      <c r="O44" s="34"/>
      <c r="P44" s="34"/>
      <c r="Q44" s="43">
        <f>O43/12</f>
        <v>1</v>
      </c>
      <c r="R44" s="43">
        <f>-P43/12</f>
        <v>-1.5</v>
      </c>
      <c r="S44" s="34"/>
      <c r="T44" s="35"/>
      <c r="U44" s="34"/>
      <c r="X44" s="34"/>
    </row>
    <row r="45" spans="2:24" x14ac:dyDescent="0.3">
      <c r="I45" s="3"/>
      <c r="L45" s="417"/>
      <c r="M45" s="34"/>
      <c r="N45" s="34"/>
      <c r="O45" s="34"/>
      <c r="P45" s="34"/>
      <c r="Q45" s="43">
        <f>O43/12</f>
        <v>1</v>
      </c>
      <c r="R45" s="43">
        <f>P43/12</f>
        <v>1.5</v>
      </c>
      <c r="S45" s="34"/>
      <c r="T45" s="35"/>
      <c r="U45" s="34"/>
      <c r="X45" s="34"/>
    </row>
    <row r="46" spans="2:24" x14ac:dyDescent="0.3">
      <c r="L46" s="417"/>
      <c r="M46" s="34"/>
      <c r="N46" s="34"/>
      <c r="O46" s="34"/>
      <c r="P46" s="34"/>
      <c r="Q46" s="43">
        <f>-O43/12</f>
        <v>-1</v>
      </c>
      <c r="R46" s="43">
        <f>P43/12</f>
        <v>1.5</v>
      </c>
      <c r="S46" s="34"/>
      <c r="T46" s="35"/>
      <c r="U46" s="34"/>
      <c r="X46" s="34"/>
    </row>
    <row r="47" spans="2:24" ht="15" thickBot="1" x14ac:dyDescent="0.35">
      <c r="L47" s="418"/>
      <c r="M47" s="36"/>
      <c r="N47" s="36"/>
      <c r="O47" s="36"/>
      <c r="P47" s="36"/>
      <c r="Q47" s="45">
        <f>-O43/12</f>
        <v>-1</v>
      </c>
      <c r="R47" s="45">
        <f>-P43/12</f>
        <v>-1.5</v>
      </c>
      <c r="S47" s="36"/>
      <c r="T47" s="37"/>
      <c r="U47" s="34"/>
      <c r="X47" s="34"/>
    </row>
    <row r="48" spans="2:24" x14ac:dyDescent="0.3">
      <c r="L48" s="416" t="s">
        <v>203</v>
      </c>
      <c r="M48" s="7">
        <f>ArmEvaluation!$N$8</f>
        <v>120</v>
      </c>
      <c r="N48" s="7">
        <f>ArmEvaluation!$N$9</f>
        <v>24</v>
      </c>
      <c r="O48" s="34">
        <f>M48/2</f>
        <v>60</v>
      </c>
      <c r="P48" s="34">
        <f>N48/2</f>
        <v>12</v>
      </c>
      <c r="Q48" s="43">
        <f>-O48/12</f>
        <v>-5</v>
      </c>
      <c r="R48" s="43">
        <f>-P48/12</f>
        <v>-1</v>
      </c>
      <c r="S48" s="34">
        <f>(M48*N48)/144</f>
        <v>20</v>
      </c>
      <c r="T48" s="35">
        <f>4*S48</f>
        <v>80</v>
      </c>
      <c r="U48" s="34"/>
      <c r="X48" s="34"/>
    </row>
    <row r="49" spans="12:24" x14ac:dyDescent="0.3">
      <c r="L49" s="417"/>
      <c r="M49" s="34"/>
      <c r="N49" s="34"/>
      <c r="O49" s="34"/>
      <c r="P49" s="34"/>
      <c r="Q49" s="43">
        <f>O48/12</f>
        <v>5</v>
      </c>
      <c r="R49" s="43">
        <f>-P48/12</f>
        <v>-1</v>
      </c>
      <c r="S49" s="34"/>
      <c r="T49" s="35"/>
      <c r="U49" s="4"/>
      <c r="X49" s="34"/>
    </row>
    <row r="50" spans="12:24" x14ac:dyDescent="0.3">
      <c r="L50" s="417"/>
      <c r="M50" s="34"/>
      <c r="N50" s="34"/>
      <c r="O50" s="34"/>
      <c r="P50" s="34"/>
      <c r="Q50" s="43">
        <f>O48/12</f>
        <v>5</v>
      </c>
      <c r="R50" s="43">
        <f>P48/12</f>
        <v>1</v>
      </c>
      <c r="S50" s="34"/>
      <c r="T50" s="35"/>
      <c r="U50" s="34"/>
      <c r="X50" s="34"/>
    </row>
    <row r="51" spans="12:24" x14ac:dyDescent="0.3">
      <c r="L51" s="417"/>
      <c r="M51" s="34"/>
      <c r="N51" s="34"/>
      <c r="O51" s="34"/>
      <c r="P51" s="34"/>
      <c r="Q51" s="43">
        <f>-O48/12</f>
        <v>-5</v>
      </c>
      <c r="R51" s="43">
        <f>P48/12</f>
        <v>1</v>
      </c>
      <c r="S51" s="34"/>
      <c r="T51" s="35"/>
      <c r="U51" s="34"/>
      <c r="X51" s="34"/>
    </row>
    <row r="52" spans="12:24" ht="15" thickBot="1" x14ac:dyDescent="0.35">
      <c r="L52" s="418"/>
      <c r="M52" s="36"/>
      <c r="N52" s="36"/>
      <c r="O52" s="36"/>
      <c r="P52" s="36"/>
      <c r="Q52" s="45">
        <f>-O48/12</f>
        <v>-5</v>
      </c>
      <c r="R52" s="45">
        <f>-P48/12</f>
        <v>-1</v>
      </c>
      <c r="S52" s="36"/>
      <c r="T52" s="37"/>
      <c r="U52" s="34"/>
    </row>
    <row r="53" spans="12:24" x14ac:dyDescent="0.3">
      <c r="U53" s="34"/>
      <c r="X53" s="34"/>
    </row>
    <row r="54" spans="12:24" x14ac:dyDescent="0.3">
      <c r="U54" s="34"/>
    </row>
    <row r="55" spans="12:24" x14ac:dyDescent="0.3">
      <c r="U55" s="34"/>
    </row>
    <row r="56" spans="12:24" x14ac:dyDescent="0.3">
      <c r="U56" s="4"/>
    </row>
    <row r="57" spans="12:24" x14ac:dyDescent="0.3">
      <c r="U57" s="34"/>
    </row>
    <row r="58" spans="12:24" x14ac:dyDescent="0.3">
      <c r="U58" s="34"/>
    </row>
    <row r="59" spans="12:24" x14ac:dyDescent="0.3">
      <c r="U59" s="34"/>
    </row>
    <row r="60" spans="12:24" x14ac:dyDescent="0.3">
      <c r="U60" s="34"/>
    </row>
    <row r="61" spans="12:24" x14ac:dyDescent="0.3">
      <c r="U61" s="34"/>
    </row>
    <row r="62" spans="12:24" x14ac:dyDescent="0.3">
      <c r="U62" s="34"/>
    </row>
    <row r="63" spans="12:24" x14ac:dyDescent="0.3">
      <c r="U63" s="4"/>
    </row>
    <row r="64" spans="12:24" x14ac:dyDescent="0.3">
      <c r="U64" s="34"/>
    </row>
    <row r="65" spans="21:21" x14ac:dyDescent="0.3">
      <c r="U65" s="34"/>
    </row>
    <row r="66" spans="21:21" x14ac:dyDescent="0.3">
      <c r="U66" s="34"/>
    </row>
    <row r="67" spans="21:21" x14ac:dyDescent="0.3">
      <c r="U67" s="34"/>
    </row>
    <row r="68" spans="21:21" x14ac:dyDescent="0.3">
      <c r="U68" s="34"/>
    </row>
    <row r="69" spans="21:21" x14ac:dyDescent="0.3">
      <c r="U69" s="34"/>
    </row>
    <row r="70" spans="21:21" x14ac:dyDescent="0.3">
      <c r="U70" s="4"/>
    </row>
    <row r="71" spans="21:21" x14ac:dyDescent="0.3">
      <c r="U71" s="34"/>
    </row>
    <row r="72" spans="21:21" x14ac:dyDescent="0.3">
      <c r="U72" s="34"/>
    </row>
    <row r="73" spans="21:21" x14ac:dyDescent="0.3">
      <c r="U73" s="34"/>
    </row>
    <row r="74" spans="21:21" x14ac:dyDescent="0.3">
      <c r="U74" s="34"/>
    </row>
    <row r="75" spans="21:21" x14ac:dyDescent="0.3">
      <c r="U75" s="34"/>
    </row>
    <row r="76" spans="21:21" x14ac:dyDescent="0.3">
      <c r="U76" s="34"/>
    </row>
  </sheetData>
  <sheetProtection sheet="1" objects="1" scenarios="1"/>
  <mergeCells count="15">
    <mergeCell ref="A10:A16"/>
    <mergeCell ref="A17:A23"/>
    <mergeCell ref="A24:A32"/>
    <mergeCell ref="A3:A9"/>
    <mergeCell ref="A2:B2"/>
    <mergeCell ref="L3:L7"/>
    <mergeCell ref="L48:L52"/>
    <mergeCell ref="L43:L47"/>
    <mergeCell ref="L38:L42"/>
    <mergeCell ref="L33:L37"/>
    <mergeCell ref="L28:L32"/>
    <mergeCell ref="L23:L27"/>
    <mergeCell ref="L18:L22"/>
    <mergeCell ref="L8:L12"/>
    <mergeCell ref="L13:L17"/>
  </mergeCells>
  <pageMargins left="0.7" right="0.7" top="0.75" bottom="0.75" header="0.3" footer="0.3"/>
  <pageSetup orientation="portrait" r:id="rId1"/>
  <ignoredErrors>
    <ignoredError sqref="C4:D4 C11:D11 C18:D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7" tint="0.79998168889431442"/>
    <pageSetUpPr fitToPage="1"/>
  </sheetPr>
  <dimension ref="A1:Q43"/>
  <sheetViews>
    <sheetView workbookViewId="0"/>
  </sheetViews>
  <sheetFormatPr defaultRowHeight="14.4" x14ac:dyDescent="0.3"/>
  <cols>
    <col min="1" max="1" width="3.44140625" customWidth="1"/>
    <col min="2" max="2" width="14.44140625" customWidth="1"/>
    <col min="3" max="3" width="13.88671875" customWidth="1"/>
    <col min="4" max="12" width="12.6640625" customWidth="1"/>
    <col min="13" max="13" width="3.5546875" customWidth="1"/>
  </cols>
  <sheetData>
    <row r="1" spans="1:17" ht="15" thickBot="1" x14ac:dyDescent="0.35">
      <c r="A1" s="6"/>
      <c r="B1" s="6"/>
      <c r="C1" s="423" t="s">
        <v>47</v>
      </c>
      <c r="D1" s="424"/>
      <c r="E1" s="424"/>
      <c r="F1" s="424"/>
      <c r="G1" s="424"/>
      <c r="H1" s="424"/>
      <c r="I1" s="424"/>
      <c r="J1" s="424"/>
      <c r="K1" s="424"/>
      <c r="L1" s="424"/>
      <c r="M1" s="424"/>
      <c r="N1" s="424"/>
      <c r="O1" s="425"/>
    </row>
    <row r="2" spans="1:17" ht="28.8" x14ac:dyDescent="0.3">
      <c r="A2" s="6"/>
      <c r="B2" s="6"/>
      <c r="C2" s="172" t="s">
        <v>74</v>
      </c>
      <c r="D2" s="173" t="s">
        <v>75</v>
      </c>
      <c r="E2" s="173" t="s">
        <v>76</v>
      </c>
      <c r="F2" s="173" t="s">
        <v>77</v>
      </c>
      <c r="G2" s="173" t="s">
        <v>78</v>
      </c>
      <c r="H2" s="173" t="s">
        <v>79</v>
      </c>
      <c r="I2" s="173" t="s">
        <v>80</v>
      </c>
      <c r="J2" s="173" t="s">
        <v>81</v>
      </c>
      <c r="K2" s="173" t="s">
        <v>82</v>
      </c>
      <c r="L2" s="186" t="s">
        <v>83</v>
      </c>
      <c r="M2" s="174"/>
      <c r="N2" s="179" t="s">
        <v>6</v>
      </c>
      <c r="O2" s="175" t="s">
        <v>7</v>
      </c>
    </row>
    <row r="3" spans="1:17" x14ac:dyDescent="0.3">
      <c r="A3" s="6"/>
      <c r="B3" s="6"/>
      <c r="C3" s="181">
        <f>IF(AND(ArmEvaluation!$E$8&lt;&gt;0,ArmEvaluation!$E$9&lt;&gt;0,ArmEvaluation!$E$6=5),Dimensions!Q3+ArmEvaluation!$E$7,IF(ArmEvaluation!$E$6=2,Dimensions!$G$3+ArmEvaluation!$E$7,IF(ArmEvaluation!$E$6=3,Dimensions!$G$10+ArmEvaluation!$E$7,IF(ArmEvaluation!$E$6=4,Dimensions!$G$17+ArmEvaluation!$E$7,0))))</f>
        <v>0</v>
      </c>
      <c r="D3" s="43">
        <f>IF(AND(ArmEvaluation!$F$8&lt;&gt;0,ArmEvaluation!$F$9&lt;&gt;0,ArmEvaluation!$F$6=5),Dimensions!Q8+ArmEvaluation!$F$7,IF(ArmEvaluation!$F$6=2,Dimensions!$G$3+ArmEvaluation!$F$7,IF(ArmEvaluation!$F$6=3,Dimensions!$G$10+ArmEvaluation!$F$7,IF(ArmEvaluation!$F$6=4,Dimensions!$G$17+ArmEvaluation!$F$7,0))))</f>
        <v>0</v>
      </c>
      <c r="E3" s="43">
        <f>IF(AND(ArmEvaluation!$G$8&lt;&gt;0,ArmEvaluation!$G$9&lt;&gt;0,ArmEvaluation!$G$6=5),Dimensions!Q13+ArmEvaluation!$G$7,IF(ArmEvaluation!$G$6=2,Dimensions!$G$3+ArmEvaluation!$G$7,IF(ArmEvaluation!$G$6=3,Dimensions!$G$10+ArmEvaluation!$G$7,IF(ArmEvaluation!$G$6=4,Dimensions!$G$17+ArmEvaluation!$G$7,0))))</f>
        <v>0</v>
      </c>
      <c r="F3" s="43">
        <f>IF(AND(ArmEvaluation!$H$8&lt;&gt;0,ArmEvaluation!$H$9&lt;&gt;0,ArmEvaluation!$H$6=5),Dimensions!Q18+ArmEvaluation!$H$7,IF(ArmEvaluation!$H$6=2,Dimensions!$G$3+ArmEvaluation!$H$7,IF(ArmEvaluation!$H$6=3,Dimensions!$G$10+ArmEvaluation!$H$7,IF(ArmEvaluation!$H$6=4,Dimensions!$G$17+ArmEvaluation!$H$7,0))))</f>
        <v>0</v>
      </c>
      <c r="G3" s="43">
        <f>IF(AND(ArmEvaluation!$I$8&lt;&gt;0,ArmEvaluation!$I$9&lt;&gt;0,ArmEvaluation!$I$6=5),Dimensions!Q23+ArmEvaluation!$I$7,IF(ArmEvaluation!$I$6=2,Dimensions!$G$3+ArmEvaluation!$I$7,IF(ArmEvaluation!$I$6=3,Dimensions!$G$10+ArmEvaluation!$I$7,IF(ArmEvaluation!$I$6=4,Dimensions!$G$17+ArmEvaluation!$I$7,0))))</f>
        <v>46.5</v>
      </c>
      <c r="H3" s="43">
        <f>IF(AND(ArmEvaluation!$J$8&lt;&gt;0,ArmEvaluation!$J$9&lt;&gt;0,ArmEvaluation!$J$6=5),Dimensions!Q28+ArmEvaluation!$J$7,IF(ArmEvaluation!$J$6=2,Dimensions!$G$3+ArmEvaluation!$J$7,IF(ArmEvaluation!$J$6=3,Dimensions!$G$10+ArmEvaluation!$J$7,IF(ArmEvaluation!$J$6=4,Dimensions!$G$17+ArmEvaluation!$J$7,0))))</f>
        <v>37.575000000000003</v>
      </c>
      <c r="I3" s="43">
        <f>IF(AND(ArmEvaluation!$K$8&lt;&gt;0,ArmEvaluation!$K$9&lt;&gt;0,ArmEvaluation!$K$6=5),Dimensions!Q33+ArmEvaluation!$K$7,IF(ArmEvaluation!$K$6=2,Dimensions!$G$3+ArmEvaluation!$K$7,IF(ArmEvaluation!$K$6=3,Dimensions!$G$10+ArmEvaluation!$K$7,IF(ArmEvaluation!$K$6=4,Dimensions!$G$17+ArmEvaluation!$K$7,0))))</f>
        <v>32.5</v>
      </c>
      <c r="J3" s="43">
        <f>IF(AND(ArmEvaluation!$L$8&lt;&gt;0,ArmEvaluation!$L$9&lt;&gt;0,ArmEvaluation!$L$6=5),Dimensions!Q38+ArmEvaluation!$L$7,IF(ArmEvaluation!$L$6=2,Dimensions!$G$3+ArmEvaluation!$L$7,IF(ArmEvaluation!$L$6=3,Dimensions!$G$10+ArmEvaluation!$L$7,IF(ArmEvaluation!$L$6=4,Dimensions!$G$17+ArmEvaluation!$L$7,0))))</f>
        <v>24.574999999999999</v>
      </c>
      <c r="K3" s="43">
        <f>IF(AND(ArmEvaluation!$M$8&lt;&gt;0,ArmEvaluation!$M$9&lt;&gt;0,ArmEvaluation!$M$6=5),Dimensions!Q43+ArmEvaluation!$M$7,IF(ArmEvaluation!$M$6=2,Dimensions!$G$3+ArmEvaluation!$M$7,IF(ArmEvaluation!$M$6=3,Dimensions!$G$10+ArmEvaluation!$M$7,IF(ArmEvaluation!$M$6=4,Dimensions!$G$17+ArmEvaluation!$M$7,0))))</f>
        <v>15.745000000000001</v>
      </c>
      <c r="L3" s="44">
        <f>IF(AND(ArmEvaluation!$N$8&lt;&gt;0,ArmEvaluation!$N$9&lt;&gt;0,ArmEvaluation!$N$6=5),Dimensions!Q48+ArmEvaluation!$N$7,IF(ArmEvaluation!$N$6=2,Dimensions!$G$3+ArmEvaluation!$N$7,IF(ArmEvaluation!$N$6=3,Dimensions!$G$10+ArmEvaluation!$N$7,IF(ArmEvaluation!$N$6=4,Dimensions!$G$17+ArmEvaluation!$N$7,0))))</f>
        <v>2</v>
      </c>
      <c r="M3" s="34"/>
      <c r="N3" s="181">
        <f>Dimensions!$E$35</f>
        <v>50</v>
      </c>
      <c r="O3" s="44">
        <f>-Dimensions!$F$35</f>
        <v>-0.05</v>
      </c>
    </row>
    <row r="4" spans="1:17" x14ac:dyDescent="0.3">
      <c r="A4" s="6"/>
      <c r="B4" s="6"/>
      <c r="C4" s="181">
        <f>IF(AND(ArmEvaluation!$E$8&lt;&gt;0,ArmEvaluation!$E$9&lt;&gt;0,ArmEvaluation!$E$6=5),Dimensions!Q4+ArmEvaluation!$E$7,IF(ArmEvaluation!$E$6=2,Dimensions!$G$4+ArmEvaluation!$E$7,IF(ArmEvaluation!$E$6=3,Dimensions!$G$11+ArmEvaluation!$E$7,IF(ArmEvaluation!$E$6=4,Dimensions!$G$18+ArmEvaluation!$E$7,0))))</f>
        <v>0</v>
      </c>
      <c r="D4" s="43">
        <f>IF(AND(ArmEvaluation!$F$8&lt;&gt;0,ArmEvaluation!$F$9&lt;&gt;0,ArmEvaluation!$F$6=5),Dimensions!Q9+ArmEvaluation!$F$7,IF(ArmEvaluation!$F$6=2,Dimensions!$G$4+ArmEvaluation!$F$7,IF(ArmEvaluation!$F$6=3,Dimensions!$G$11+ArmEvaluation!$F$7,IF(ArmEvaluation!$F$6=4,Dimensions!$G$18+ArmEvaluation!$F$7,0))))</f>
        <v>0</v>
      </c>
      <c r="E4" s="43">
        <f>IF(AND(ArmEvaluation!$G$8&lt;&gt;0,ArmEvaluation!$G$9&lt;&gt;0,ArmEvaluation!$G$6=5),Dimensions!Q14+ArmEvaluation!$G$7,IF(ArmEvaluation!$G$6=2,Dimensions!$G$4+ArmEvaluation!$G$7,IF(ArmEvaluation!$G$6=3,Dimensions!$G$11+ArmEvaluation!$G$7,IF(ArmEvaluation!$G$6=4,Dimensions!$G$18+ArmEvaluation!$G$7,0))))</f>
        <v>0</v>
      </c>
      <c r="F4" s="43">
        <f>IF(AND(ArmEvaluation!$H$8&lt;&gt;0,ArmEvaluation!$H$9&lt;&gt;0,ArmEvaluation!$H$6=5),Dimensions!Q19+ArmEvaluation!$H$7,IF(ArmEvaluation!$H$6=2,Dimensions!$G$4+ArmEvaluation!$H$7,IF(ArmEvaluation!$H$6=3,Dimensions!$G$11+ArmEvaluation!$H$7,IF(ArmEvaluation!$H$6=4,Dimensions!$G$18+ArmEvaluation!$H$7,0))))</f>
        <v>0</v>
      </c>
      <c r="G4" s="43">
        <f>IF(AND(ArmEvaluation!$I$8&lt;&gt;0,ArmEvaluation!$I$9&lt;&gt;0,ArmEvaluation!$I$6=5),Dimensions!Q24+ArmEvaluation!$I$7,IF(ArmEvaluation!$I$6=2,Dimensions!$G$4+ArmEvaluation!$I$7,IF(ArmEvaluation!$I$6=3,Dimensions!$G$11+ArmEvaluation!$I$7,IF(ArmEvaluation!$I$6=4,Dimensions!$G$18+ArmEvaluation!$I$7,0))))</f>
        <v>49.5</v>
      </c>
      <c r="H4" s="43">
        <f>IF(AND(ArmEvaluation!$J$8&lt;&gt;0,ArmEvaluation!$J$9&lt;&gt;0,ArmEvaluation!$J$6=5),Dimensions!Q29+ArmEvaluation!$J$7,IF(ArmEvaluation!$J$6=2,Dimensions!$G$4+ArmEvaluation!$J$7,IF(ArmEvaluation!$J$6=3,Dimensions!$G$11+ArmEvaluation!$J$7,IF(ArmEvaluation!$J$6=4,Dimensions!$G$18+ArmEvaluation!$J$7,0))))</f>
        <v>44.424999999999997</v>
      </c>
      <c r="I4" s="43">
        <f>IF(AND(ArmEvaluation!$K$8&lt;&gt;0,ArmEvaluation!$K$9&lt;&gt;0,ArmEvaluation!$K$6=5),Dimensions!Q34+ArmEvaluation!$K$7,IF(ArmEvaluation!$K$6=2,Dimensions!$G$4+ArmEvaluation!$K$7,IF(ArmEvaluation!$K$6=3,Dimensions!$G$11+ArmEvaluation!$K$7,IF(ArmEvaluation!$K$6=4,Dimensions!$G$18+ArmEvaluation!$K$7,0))))</f>
        <v>35.5</v>
      </c>
      <c r="J4" s="43">
        <f>IF(AND(ArmEvaluation!$L$8&lt;&gt;0,ArmEvaluation!$L$9&lt;&gt;0,ArmEvaluation!$L$6=5),Dimensions!Q39+ArmEvaluation!$L$7,IF(ArmEvaluation!$L$6=2,Dimensions!$G$4+ArmEvaluation!$L$7,IF(ArmEvaluation!$L$6=3,Dimensions!$G$11+ArmEvaluation!$L$7,IF(ArmEvaluation!$L$6=4,Dimensions!$G$18+ArmEvaluation!$L$7,0))))</f>
        <v>31.425000000000001</v>
      </c>
      <c r="K4" s="43">
        <f>IF(AND(ArmEvaluation!$M$8&lt;&gt;0,ArmEvaluation!$M$9&lt;&gt;0,ArmEvaluation!$M$6=5),Dimensions!Q44+ArmEvaluation!$M$7,IF(ArmEvaluation!$M$6=2,Dimensions!$G$4+ArmEvaluation!$M$7,IF(ArmEvaluation!$M$6=3,Dimensions!$G$11+ArmEvaluation!$M$7,IF(ArmEvaluation!$M$6=4,Dimensions!$G$18+ArmEvaluation!$M$7,0))))</f>
        <v>20.254999999999999</v>
      </c>
      <c r="L4" s="44">
        <f>IF(AND(ArmEvaluation!$N$8&lt;&gt;0,ArmEvaluation!$N$9&lt;&gt;0,ArmEvaluation!$N$6=5),Dimensions!Q49+ArmEvaluation!$N$7,IF(ArmEvaluation!$N$6=2,Dimensions!$G$4+ArmEvaluation!$N$7,IF(ArmEvaluation!$N$6=3,Dimensions!$G$11+ArmEvaluation!$N$7,IF(ArmEvaluation!$N$6=4,Dimensions!$G$18+ArmEvaluation!$N$7,0))))</f>
        <v>12</v>
      </c>
      <c r="M4" s="34"/>
      <c r="N4" s="181">
        <v>0</v>
      </c>
      <c r="O4" s="44">
        <f>2*(-Dimensions!$E$35*Dimensions!$D$35)/12-Dimensions!$F$35</f>
        <v>-0.21666666666666667</v>
      </c>
      <c r="P4" s="2"/>
    </row>
    <row r="5" spans="1:17" x14ac:dyDescent="0.3">
      <c r="A5" s="6"/>
      <c r="B5" s="6"/>
      <c r="C5" s="181">
        <f t="shared" ref="C5:L5" si="0">C4</f>
        <v>0</v>
      </c>
      <c r="D5" s="43">
        <f t="shared" si="0"/>
        <v>0</v>
      </c>
      <c r="E5" s="43">
        <f t="shared" si="0"/>
        <v>0</v>
      </c>
      <c r="F5" s="43">
        <f t="shared" si="0"/>
        <v>0</v>
      </c>
      <c r="G5" s="43">
        <f t="shared" si="0"/>
        <v>49.5</v>
      </c>
      <c r="H5" s="43">
        <f t="shared" si="0"/>
        <v>44.424999999999997</v>
      </c>
      <c r="I5" s="43">
        <f t="shared" si="0"/>
        <v>35.5</v>
      </c>
      <c r="J5" s="43">
        <f t="shared" si="0"/>
        <v>31.425000000000001</v>
      </c>
      <c r="K5" s="43">
        <f t="shared" si="0"/>
        <v>20.254999999999999</v>
      </c>
      <c r="L5" s="44">
        <f t="shared" si="0"/>
        <v>12</v>
      </c>
      <c r="M5" s="34"/>
      <c r="N5" s="181">
        <v>0</v>
      </c>
      <c r="O5" s="44">
        <f>-O4</f>
        <v>0.21666666666666667</v>
      </c>
      <c r="P5" s="1"/>
    </row>
    <row r="6" spans="1:17" x14ac:dyDescent="0.3">
      <c r="A6" s="6"/>
      <c r="B6" s="6"/>
      <c r="C6" s="181">
        <f t="shared" ref="C6:L6" si="1">C3</f>
        <v>0</v>
      </c>
      <c r="D6" s="43">
        <f t="shared" si="1"/>
        <v>0</v>
      </c>
      <c r="E6" s="43">
        <f t="shared" si="1"/>
        <v>0</v>
      </c>
      <c r="F6" s="43">
        <f t="shared" si="1"/>
        <v>0</v>
      </c>
      <c r="G6" s="43">
        <f t="shared" si="1"/>
        <v>46.5</v>
      </c>
      <c r="H6" s="43">
        <f t="shared" si="1"/>
        <v>37.575000000000003</v>
      </c>
      <c r="I6" s="43">
        <f t="shared" si="1"/>
        <v>32.5</v>
      </c>
      <c r="J6" s="43">
        <f t="shared" si="1"/>
        <v>24.574999999999999</v>
      </c>
      <c r="K6" s="43">
        <f t="shared" si="1"/>
        <v>15.745000000000001</v>
      </c>
      <c r="L6" s="44">
        <f t="shared" si="1"/>
        <v>2</v>
      </c>
      <c r="M6" s="34"/>
      <c r="N6" s="181">
        <f>N3</f>
        <v>50</v>
      </c>
      <c r="O6" s="44">
        <f>-O3</f>
        <v>0.05</v>
      </c>
      <c r="P6" s="1"/>
    </row>
    <row r="7" spans="1:17" ht="15" thickBot="1" x14ac:dyDescent="0.35">
      <c r="A7" s="6"/>
      <c r="B7" s="6"/>
      <c r="C7" s="182">
        <f t="shared" ref="C7:L7" si="2">C3</f>
        <v>0</v>
      </c>
      <c r="D7" s="45">
        <f t="shared" si="2"/>
        <v>0</v>
      </c>
      <c r="E7" s="45">
        <f t="shared" si="2"/>
        <v>0</v>
      </c>
      <c r="F7" s="45">
        <f t="shared" si="2"/>
        <v>0</v>
      </c>
      <c r="G7" s="45">
        <f t="shared" si="2"/>
        <v>46.5</v>
      </c>
      <c r="H7" s="45">
        <f t="shared" si="2"/>
        <v>37.575000000000003</v>
      </c>
      <c r="I7" s="45">
        <f t="shared" si="2"/>
        <v>32.5</v>
      </c>
      <c r="J7" s="45">
        <f t="shared" si="2"/>
        <v>24.574999999999999</v>
      </c>
      <c r="K7" s="45">
        <f t="shared" si="2"/>
        <v>15.745000000000001</v>
      </c>
      <c r="L7" s="46">
        <f t="shared" si="2"/>
        <v>2</v>
      </c>
      <c r="M7" s="36"/>
      <c r="N7" s="182">
        <f>N3</f>
        <v>50</v>
      </c>
      <c r="O7" s="46">
        <f>O3</f>
        <v>-0.05</v>
      </c>
      <c r="P7" s="1"/>
    </row>
    <row r="8" spans="1:17" ht="15" thickBot="1" x14ac:dyDescent="0.35">
      <c r="A8" s="6"/>
      <c r="B8" s="6"/>
      <c r="C8" s="183"/>
      <c r="D8" s="183"/>
      <c r="E8" s="183"/>
      <c r="F8" s="183"/>
      <c r="G8" s="183"/>
      <c r="H8" s="183"/>
      <c r="I8" s="183"/>
      <c r="J8" s="183"/>
      <c r="K8" s="183"/>
      <c r="L8" s="183"/>
      <c r="M8" s="4"/>
      <c r="N8" s="4"/>
      <c r="O8" s="4"/>
      <c r="P8" s="1"/>
    </row>
    <row r="9" spans="1:17" ht="29.4" thickBot="1" x14ac:dyDescent="0.35">
      <c r="A9" s="6"/>
      <c r="B9" s="6"/>
      <c r="C9" s="176" t="s">
        <v>84</v>
      </c>
      <c r="D9" s="177" t="s">
        <v>85</v>
      </c>
      <c r="E9" s="177" t="s">
        <v>86</v>
      </c>
      <c r="F9" s="177" t="s">
        <v>87</v>
      </c>
      <c r="G9" s="177" t="s">
        <v>88</v>
      </c>
      <c r="H9" s="177" t="s">
        <v>89</v>
      </c>
      <c r="I9" s="177" t="s">
        <v>90</v>
      </c>
      <c r="J9" s="177" t="s">
        <v>91</v>
      </c>
      <c r="K9" s="177" t="s">
        <v>92</v>
      </c>
      <c r="L9" s="187" t="s">
        <v>93</v>
      </c>
      <c r="M9" s="174"/>
      <c r="N9" s="180" t="s">
        <v>31</v>
      </c>
      <c r="O9" s="178" t="s">
        <v>32</v>
      </c>
    </row>
    <row r="10" spans="1:17" x14ac:dyDescent="0.3">
      <c r="A10" s="6"/>
      <c r="B10" s="6"/>
      <c r="C10" s="184">
        <f>IF(AND(ArmEvaluation!$E$8&lt;&gt;0,ArmEvaluation!$E$9&lt;&gt;0,ArmEvaluation!$E$6=5),Dimensions!R3,IF(ArmEvaluation!$E$6=2,Dimensions!$H$3,IF(ArmEvaluation!$E$6=3,Dimensions!$H$10,IF(ArmEvaluation!$E$6=4,Dimensions!$H$17,0))))</f>
        <v>0</v>
      </c>
      <c r="D10" s="166">
        <f>IF(AND(ArmEvaluation!$F$8&lt;&gt;0,ArmEvaluation!$F$9&lt;&gt;0,ArmEvaluation!$F$6=5),Dimensions!R8,IF(ArmEvaluation!$F$6=2,Dimensions!$H$3,IF(ArmEvaluation!$F$6=3,Dimensions!$H$10,IF(ArmEvaluation!$F$6=4,Dimensions!$H$17,0))))</f>
        <v>0</v>
      </c>
      <c r="E10" s="166">
        <f>IF(AND(ArmEvaluation!$G$8&lt;&gt;0,ArmEvaluation!$G$9&lt;&gt;0,ArmEvaluation!$G$6=5),Dimensions!R13,IF(ArmEvaluation!$G$6=2,Dimensions!$H$3,IF(ArmEvaluation!$G$6=3,Dimensions!$H$10,IF(ArmEvaluation!$G$6=4,Dimensions!$H$17,0))))</f>
        <v>0</v>
      </c>
      <c r="F10" s="166">
        <f>IF(AND(ArmEvaluation!$H$8&lt;&gt;0,ArmEvaluation!$H$9&lt;&gt;0,ArmEvaluation!$H$6=5),Dimensions!R18,IF(ArmEvaluation!$H$6=2,Dimensions!$H$3,IF(ArmEvaluation!$H$6=3,Dimensions!$H$10,IF(ArmEvaluation!$H$6=4,Dimensions!$H$17,0))))</f>
        <v>0</v>
      </c>
      <c r="G10" s="166">
        <f>IF(AND(ArmEvaluation!$I$8&lt;&gt;0,ArmEvaluation!$I$9&lt;&gt;0,ArmEvaluation!$I$6=5),Dimensions!R23,IF(ArmEvaluation!$I$6=2,Dimensions!$H$3,IF(ArmEvaluation!$I$6=3,Dimensions!$H$10,IF(ArmEvaluation!$I$6=4,Dimensions!$H$17,0))))</f>
        <v>-1.5</v>
      </c>
      <c r="H10" s="166">
        <f>IF(AND(ArmEvaluation!$J$8&lt;&gt;0,ArmEvaluation!$J$9&lt;&gt;0,ArmEvaluation!$J$6=5),Dimensions!R28,IF(ArmEvaluation!$J$6=2,Dimensions!$H$3,IF(ArmEvaluation!$J$6=3,Dimensions!$H$10,IF(ArmEvaluation!$J$6=4,Dimensions!$H$17,0))))</f>
        <v>-1.085</v>
      </c>
      <c r="I10" s="166">
        <f>IF(AND(ArmEvaluation!$K$8&lt;&gt;0,ArmEvaluation!$K$9&lt;&gt;0,ArmEvaluation!$K$6=5),Dimensions!R33,IF(ArmEvaluation!$K$6=2,Dimensions!$H$3,IF(ArmEvaluation!$K$6=3,Dimensions!$H$10,IF(ArmEvaluation!$K$6=4,Dimensions!$H$17,0))))</f>
        <v>-1.5</v>
      </c>
      <c r="J10" s="166">
        <f>IF(AND(ArmEvaluation!$L$8&lt;&gt;0,ArmEvaluation!$L$9&lt;&gt;0,ArmEvaluation!$L$6=5),Dimensions!R38,IF(ArmEvaluation!$L$6=2,Dimensions!$H$3,IF(ArmEvaluation!$L$6=3,Dimensions!$H$10,IF(ArmEvaluation!$L$6=4,Dimensions!$H$17,0))))</f>
        <v>-1.085</v>
      </c>
      <c r="K10" s="166">
        <f>IF(AND(ArmEvaluation!$M$8&lt;&gt;0,ArmEvaluation!$M$9&lt;&gt;0,ArmEvaluation!$M$6=5),Dimensions!R43,IF(ArmEvaluation!$M$6=2,Dimensions!$H$3,IF(ArmEvaluation!$M$6=3,Dimensions!$H$10,IF(ArmEvaluation!$M$6=4,Dimensions!$H$17,0))))</f>
        <v>-1.085</v>
      </c>
      <c r="L10" s="188">
        <f>IF(AND(ArmEvaluation!$N$8&lt;&gt;0,ArmEvaluation!$N$9&lt;&gt;0,ArmEvaluation!$N$6=5),Dimensions!R48,IF(ArmEvaluation!$N$6=2,Dimensions!$H$3,IF(ArmEvaluation!$N$6=3,Dimensions!$H$10,IF(ArmEvaluation!$N$6=4,Dimensions!$H$17,0))))</f>
        <v>-1</v>
      </c>
      <c r="M10" s="34"/>
      <c r="N10" s="184">
        <v>0</v>
      </c>
      <c r="O10" s="185">
        <v>-10</v>
      </c>
    </row>
    <row r="11" spans="1:17" x14ac:dyDescent="0.3">
      <c r="A11" s="6"/>
      <c r="B11" s="6"/>
      <c r="C11" s="181">
        <f t="shared" ref="C11:L11" si="3">C10</f>
        <v>0</v>
      </c>
      <c r="D11" s="43">
        <f t="shared" si="3"/>
        <v>0</v>
      </c>
      <c r="E11" s="43">
        <f t="shared" si="3"/>
        <v>0</v>
      </c>
      <c r="F11" s="43">
        <f t="shared" si="3"/>
        <v>0</v>
      </c>
      <c r="G11" s="43">
        <f t="shared" si="3"/>
        <v>-1.5</v>
      </c>
      <c r="H11" s="43">
        <f t="shared" si="3"/>
        <v>-1.085</v>
      </c>
      <c r="I11" s="43">
        <f t="shared" si="3"/>
        <v>-1.5</v>
      </c>
      <c r="J11" s="43">
        <f t="shared" si="3"/>
        <v>-1.085</v>
      </c>
      <c r="K11" s="43">
        <f t="shared" si="3"/>
        <v>-1.085</v>
      </c>
      <c r="L11" s="44">
        <f t="shared" si="3"/>
        <v>-1</v>
      </c>
      <c r="M11" s="34"/>
      <c r="N11" s="181">
        <f>O4*2.3</f>
        <v>-0.49833333333333329</v>
      </c>
      <c r="O11" s="35">
        <v>-10</v>
      </c>
    </row>
    <row r="12" spans="1:17" x14ac:dyDescent="0.3">
      <c r="A12" s="6"/>
      <c r="B12" s="6"/>
      <c r="C12" s="181">
        <f t="shared" ref="C12:L12" si="4">-C10</f>
        <v>0</v>
      </c>
      <c r="D12" s="43">
        <f t="shared" si="4"/>
        <v>0</v>
      </c>
      <c r="E12" s="43">
        <f t="shared" si="4"/>
        <v>0</v>
      </c>
      <c r="F12" s="43">
        <f t="shared" si="4"/>
        <v>0</v>
      </c>
      <c r="G12" s="43">
        <f t="shared" si="4"/>
        <v>1.5</v>
      </c>
      <c r="H12" s="43">
        <f t="shared" si="4"/>
        <v>1.085</v>
      </c>
      <c r="I12" s="43">
        <f t="shared" si="4"/>
        <v>1.5</v>
      </c>
      <c r="J12" s="43">
        <f t="shared" si="4"/>
        <v>1.085</v>
      </c>
      <c r="K12" s="43">
        <f t="shared" si="4"/>
        <v>1.085</v>
      </c>
      <c r="L12" s="44">
        <f t="shared" si="4"/>
        <v>1</v>
      </c>
      <c r="M12" s="34"/>
      <c r="N12" s="181">
        <f>O4*1.8</f>
        <v>-0.39</v>
      </c>
      <c r="O12" s="35">
        <f>3</f>
        <v>3</v>
      </c>
    </row>
    <row r="13" spans="1:17" x14ac:dyDescent="0.3">
      <c r="A13" s="6"/>
      <c r="B13" s="6"/>
      <c r="C13" s="181">
        <f t="shared" ref="C13:L13" si="5">-C10</f>
        <v>0</v>
      </c>
      <c r="D13" s="43">
        <f t="shared" si="5"/>
        <v>0</v>
      </c>
      <c r="E13" s="43">
        <f t="shared" si="5"/>
        <v>0</v>
      </c>
      <c r="F13" s="43">
        <f t="shared" si="5"/>
        <v>0</v>
      </c>
      <c r="G13" s="43">
        <f t="shared" si="5"/>
        <v>1.5</v>
      </c>
      <c r="H13" s="43">
        <f t="shared" si="5"/>
        <v>1.085</v>
      </c>
      <c r="I13" s="43">
        <f t="shared" si="5"/>
        <v>1.5</v>
      </c>
      <c r="J13" s="43">
        <f t="shared" si="5"/>
        <v>1.085</v>
      </c>
      <c r="K13" s="43">
        <f t="shared" si="5"/>
        <v>1.085</v>
      </c>
      <c r="L13" s="44">
        <f t="shared" si="5"/>
        <v>1</v>
      </c>
      <c r="M13" s="34"/>
      <c r="N13" s="181">
        <f>N11-N12</f>
        <v>-0.10833333333333328</v>
      </c>
      <c r="O13" s="35">
        <f>O12</f>
        <v>3</v>
      </c>
    </row>
    <row r="14" spans="1:17" ht="15" thickBot="1" x14ac:dyDescent="0.35">
      <c r="A14" s="6"/>
      <c r="B14" s="6"/>
      <c r="C14" s="182">
        <f t="shared" ref="C14:L14" si="6">C10</f>
        <v>0</v>
      </c>
      <c r="D14" s="45">
        <f t="shared" si="6"/>
        <v>0</v>
      </c>
      <c r="E14" s="45">
        <f t="shared" si="6"/>
        <v>0</v>
      </c>
      <c r="F14" s="45">
        <f t="shared" si="6"/>
        <v>0</v>
      </c>
      <c r="G14" s="45">
        <f t="shared" si="6"/>
        <v>-1.5</v>
      </c>
      <c r="H14" s="45">
        <f t="shared" si="6"/>
        <v>-1.085</v>
      </c>
      <c r="I14" s="45">
        <f t="shared" si="6"/>
        <v>-1.5</v>
      </c>
      <c r="J14" s="45">
        <f t="shared" si="6"/>
        <v>-1.085</v>
      </c>
      <c r="K14" s="45">
        <f t="shared" si="6"/>
        <v>-1.085</v>
      </c>
      <c r="L14" s="46">
        <f t="shared" si="6"/>
        <v>-1</v>
      </c>
      <c r="M14" s="36"/>
      <c r="N14" s="182">
        <v>0</v>
      </c>
      <c r="O14" s="37">
        <v>-10</v>
      </c>
    </row>
    <row r="15" spans="1:17" x14ac:dyDescent="0.3">
      <c r="A15" s="6"/>
      <c r="B15" s="6"/>
      <c r="C15" s="5"/>
      <c r="D15" s="5"/>
      <c r="E15" s="5"/>
      <c r="F15" s="5"/>
      <c r="G15" s="5"/>
      <c r="H15" s="5"/>
      <c r="I15" s="5"/>
      <c r="J15" s="5"/>
      <c r="K15" s="5"/>
      <c r="L15" s="5"/>
      <c r="M15" s="6"/>
      <c r="N15" s="6"/>
      <c r="O15" s="6"/>
    </row>
    <row r="16" spans="1:17" ht="15" thickBot="1" x14ac:dyDescent="0.35">
      <c r="A16" s="6"/>
      <c r="B16" s="6"/>
      <c r="C16" s="3"/>
      <c r="D16" s="3"/>
      <c r="E16" s="3"/>
      <c r="F16" s="3"/>
      <c r="G16" s="3"/>
      <c r="H16" s="3"/>
      <c r="I16" s="3"/>
      <c r="J16" s="3"/>
      <c r="K16" s="3"/>
      <c r="L16" s="3"/>
      <c r="M16" s="3"/>
      <c r="N16" s="3"/>
      <c r="O16" s="3"/>
      <c r="P16" s="3"/>
      <c r="Q16" s="3"/>
    </row>
    <row r="17" spans="1:17" x14ac:dyDescent="0.3">
      <c r="A17" s="6"/>
      <c r="B17" s="6"/>
      <c r="C17" s="426" t="s">
        <v>233</v>
      </c>
      <c r="D17" s="427"/>
      <c r="E17" s="427"/>
      <c r="F17" s="427"/>
      <c r="G17" s="427"/>
      <c r="H17" s="427"/>
      <c r="I17" s="427"/>
      <c r="J17" s="427"/>
      <c r="K17" s="427"/>
      <c r="L17" s="428"/>
      <c r="M17" s="3"/>
      <c r="N17" s="3"/>
      <c r="O17" s="3"/>
      <c r="P17" s="3"/>
      <c r="Q17" s="3"/>
    </row>
    <row r="18" spans="1:17" s="3" customFormat="1" ht="15" thickBot="1" x14ac:dyDescent="0.35">
      <c r="A18" s="6"/>
      <c r="B18" s="6"/>
      <c r="C18" s="216">
        <f t="shared" ref="C18:K18" si="7">(C3+C4)/2</f>
        <v>0</v>
      </c>
      <c r="D18" s="217">
        <f t="shared" si="7"/>
        <v>0</v>
      </c>
      <c r="E18" s="217">
        <f t="shared" si="7"/>
        <v>0</v>
      </c>
      <c r="F18" s="217">
        <f t="shared" si="7"/>
        <v>0</v>
      </c>
      <c r="G18" s="217">
        <f t="shared" si="7"/>
        <v>48</v>
      </c>
      <c r="H18" s="217">
        <f t="shared" si="7"/>
        <v>41</v>
      </c>
      <c r="I18" s="217">
        <f t="shared" si="7"/>
        <v>34</v>
      </c>
      <c r="J18" s="217">
        <f t="shared" si="7"/>
        <v>28</v>
      </c>
      <c r="K18" s="217">
        <f t="shared" si="7"/>
        <v>18</v>
      </c>
      <c r="L18" s="218">
        <f>(L3+L4)/2</f>
        <v>7</v>
      </c>
    </row>
    <row r="19" spans="1:17" x14ac:dyDescent="0.3">
      <c r="A19" s="6"/>
      <c r="B19" s="6"/>
      <c r="C19" s="3"/>
      <c r="D19" s="3"/>
      <c r="E19" s="3"/>
      <c r="F19" s="3"/>
      <c r="G19" s="3"/>
      <c r="H19" s="3"/>
      <c r="I19" s="3"/>
      <c r="J19" s="3"/>
      <c r="K19" s="3"/>
      <c r="L19" s="3"/>
      <c r="M19" s="3"/>
      <c r="N19" s="3"/>
      <c r="O19" s="3"/>
      <c r="P19" s="3"/>
      <c r="Q19" s="3"/>
    </row>
    <row r="20" spans="1:17" s="3" customFormat="1" x14ac:dyDescent="0.3">
      <c r="A20" s="6"/>
    </row>
    <row r="21" spans="1:17" s="3" customFormat="1" x14ac:dyDescent="0.3">
      <c r="A21" s="6"/>
    </row>
    <row r="22" spans="1:17" s="3" customFormat="1" x14ac:dyDescent="0.3">
      <c r="A22" s="6"/>
    </row>
    <row r="23" spans="1:17" s="3" customFormat="1" x14ac:dyDescent="0.3">
      <c r="A23" s="6"/>
    </row>
    <row r="24" spans="1:17" x14ac:dyDescent="0.3">
      <c r="A24" s="6"/>
      <c r="C24" s="3"/>
      <c r="D24" s="3"/>
      <c r="E24" s="3"/>
      <c r="F24" s="3"/>
      <c r="G24" s="3"/>
      <c r="H24" s="3"/>
      <c r="I24" s="3"/>
      <c r="J24" s="3"/>
      <c r="K24" s="3"/>
      <c r="L24" s="3"/>
      <c r="M24" s="3"/>
      <c r="N24" s="3"/>
      <c r="O24" s="3"/>
      <c r="P24" s="3"/>
      <c r="Q24" s="3"/>
    </row>
    <row r="25" spans="1:17" x14ac:dyDescent="0.3">
      <c r="A25" s="6"/>
      <c r="C25" s="3"/>
      <c r="D25" s="3"/>
      <c r="E25" s="3"/>
      <c r="F25" s="3"/>
      <c r="G25" s="3"/>
      <c r="H25" s="3"/>
      <c r="I25" s="3"/>
      <c r="J25" s="3"/>
      <c r="K25" s="3"/>
      <c r="L25" s="3"/>
      <c r="M25" s="3"/>
      <c r="N25" s="3"/>
      <c r="O25" s="3"/>
      <c r="P25" s="3"/>
      <c r="Q25" s="3"/>
    </row>
    <row r="26" spans="1:17" s="3" customFormat="1" x14ac:dyDescent="0.3">
      <c r="A26"/>
    </row>
    <row r="27" spans="1:17" x14ac:dyDescent="0.3">
      <c r="B27" s="3"/>
      <c r="C27" s="3"/>
      <c r="D27" s="3"/>
      <c r="E27" s="3"/>
      <c r="F27" s="3"/>
      <c r="G27" s="3"/>
      <c r="H27" s="3"/>
      <c r="I27" s="3"/>
      <c r="J27" s="3"/>
      <c r="K27" s="3"/>
      <c r="L27" s="3"/>
      <c r="M27" s="3"/>
      <c r="N27" s="3"/>
      <c r="O27" s="3"/>
      <c r="P27" s="3"/>
      <c r="Q27" s="3"/>
    </row>
    <row r="28" spans="1:17" x14ac:dyDescent="0.3">
      <c r="C28" s="3"/>
      <c r="D28" s="3"/>
      <c r="E28" s="3"/>
      <c r="F28" s="3"/>
      <c r="G28" s="3"/>
      <c r="H28" s="3"/>
      <c r="I28" s="3"/>
      <c r="J28" s="3"/>
      <c r="K28" s="3"/>
      <c r="L28" s="3"/>
      <c r="M28" s="3"/>
      <c r="N28" s="3"/>
      <c r="O28" s="3"/>
      <c r="P28" s="3"/>
      <c r="Q28" s="3"/>
    </row>
    <row r="29" spans="1:17" x14ac:dyDescent="0.3">
      <c r="C29" s="3"/>
      <c r="D29" s="3"/>
      <c r="E29" s="3"/>
      <c r="F29" s="3"/>
      <c r="G29" s="3"/>
      <c r="H29" s="3"/>
      <c r="I29" s="3"/>
      <c r="J29" s="3"/>
      <c r="K29" s="3"/>
      <c r="L29" s="3"/>
      <c r="M29" s="3"/>
      <c r="N29" s="3"/>
      <c r="O29" s="3"/>
      <c r="P29" s="3"/>
      <c r="Q29" s="3"/>
    </row>
    <row r="30" spans="1:17" x14ac:dyDescent="0.3">
      <c r="C30" s="3"/>
      <c r="D30" s="3"/>
      <c r="E30" s="3"/>
      <c r="F30" s="3"/>
      <c r="G30" s="3"/>
      <c r="H30" s="3"/>
      <c r="I30" s="3"/>
      <c r="J30" s="3"/>
      <c r="K30" s="3"/>
      <c r="L30" s="3"/>
      <c r="M30" s="3"/>
      <c r="N30" s="3"/>
      <c r="O30" s="3"/>
      <c r="P30" s="3"/>
      <c r="Q30" s="3"/>
    </row>
    <row r="31" spans="1:17" x14ac:dyDescent="0.3">
      <c r="C31" s="3"/>
      <c r="D31" s="3"/>
      <c r="E31" s="3"/>
      <c r="F31" s="3"/>
      <c r="G31" s="3"/>
      <c r="H31" s="3"/>
      <c r="I31" s="3"/>
      <c r="J31" s="3"/>
      <c r="K31" s="3"/>
      <c r="L31" s="3"/>
      <c r="M31" s="3"/>
      <c r="N31" s="3"/>
      <c r="O31" s="3"/>
      <c r="P31" s="3"/>
      <c r="Q31" s="3"/>
    </row>
    <row r="32" spans="1:17" x14ac:dyDescent="0.3">
      <c r="C32" s="3"/>
      <c r="D32" s="3"/>
      <c r="E32" s="3"/>
      <c r="F32" s="3"/>
      <c r="G32" s="3"/>
      <c r="H32" s="3"/>
      <c r="I32" s="3"/>
      <c r="J32" s="3"/>
      <c r="K32" s="3"/>
      <c r="L32" s="3"/>
      <c r="M32" s="3"/>
      <c r="N32" s="3"/>
      <c r="O32" s="3"/>
      <c r="P32" s="3"/>
      <c r="Q32" s="3"/>
    </row>
    <row r="35" spans="1:15" x14ac:dyDescent="0.3">
      <c r="C35" s="3"/>
      <c r="D35" s="3"/>
      <c r="E35" s="3"/>
      <c r="F35" s="3"/>
      <c r="G35" s="3"/>
    </row>
    <row r="36" spans="1:15" x14ac:dyDescent="0.3">
      <c r="A36" s="3"/>
      <c r="B36" s="3"/>
      <c r="C36" s="3"/>
      <c r="D36" s="3"/>
      <c r="E36" s="3"/>
      <c r="F36" s="3"/>
      <c r="G36" s="3"/>
      <c r="H36" s="3"/>
      <c r="I36" s="3"/>
      <c r="J36" s="3"/>
      <c r="K36" s="3"/>
      <c r="L36" s="3"/>
      <c r="M36" s="3"/>
      <c r="N36" s="3"/>
      <c r="O36" s="3"/>
    </row>
    <row r="37" spans="1:15" s="3" customFormat="1" x14ac:dyDescent="0.3"/>
    <row r="38" spans="1:15" s="3" customFormat="1" x14ac:dyDescent="0.3">
      <c r="A38"/>
      <c r="B38"/>
      <c r="H38"/>
      <c r="I38"/>
      <c r="J38"/>
      <c r="K38"/>
      <c r="L38"/>
      <c r="M38"/>
      <c r="N38"/>
      <c r="O38"/>
    </row>
    <row r="39" spans="1:15" x14ac:dyDescent="0.3">
      <c r="C39" s="3"/>
      <c r="D39" s="3"/>
      <c r="E39" s="3"/>
      <c r="F39" s="3"/>
      <c r="G39" s="3"/>
    </row>
    <row r="40" spans="1:15" x14ac:dyDescent="0.3">
      <c r="C40" s="3"/>
      <c r="D40" s="3"/>
      <c r="E40" s="3"/>
      <c r="F40" s="3"/>
      <c r="G40" s="3"/>
    </row>
    <row r="41" spans="1:15" x14ac:dyDescent="0.3">
      <c r="C41" s="3"/>
      <c r="D41" s="3"/>
      <c r="E41" s="3"/>
      <c r="F41" s="3"/>
      <c r="G41" s="3"/>
    </row>
    <row r="42" spans="1:15" x14ac:dyDescent="0.3">
      <c r="C42" s="3"/>
      <c r="D42" s="3"/>
      <c r="E42" s="3"/>
      <c r="F42" s="3"/>
      <c r="G42" s="3"/>
    </row>
    <row r="43" spans="1:15" x14ac:dyDescent="0.3">
      <c r="C43" s="3"/>
      <c r="D43" s="3"/>
      <c r="E43" s="3"/>
      <c r="F43" s="3"/>
      <c r="G43" s="3"/>
    </row>
  </sheetData>
  <sheetProtection sheet="1" objects="1" scenarios="1"/>
  <mergeCells count="2">
    <mergeCell ref="C1:O1"/>
    <mergeCell ref="C17:L17"/>
  </mergeCells>
  <pageMargins left="0.7" right="0.7" top="0.75" bottom="0.75" header="0.3" footer="0.3"/>
  <pageSetup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7" tint="0.79998168889431442"/>
    <pageSetUpPr fitToPage="1"/>
  </sheetPr>
  <dimension ref="A1:P135"/>
  <sheetViews>
    <sheetView zoomScaleNormal="100" workbookViewId="0"/>
  </sheetViews>
  <sheetFormatPr defaultColWidth="9.109375" defaultRowHeight="14.4" x14ac:dyDescent="0.3"/>
  <cols>
    <col min="1" max="1" width="10.109375" style="85" customWidth="1"/>
    <col min="2" max="10" width="9.109375" style="85"/>
    <col min="11" max="12" width="9.109375" style="85" customWidth="1"/>
    <col min="13" max="13" width="12.88671875" style="85" customWidth="1"/>
    <col min="14" max="14" width="26.21875" style="85" customWidth="1"/>
    <col min="15" max="15" width="27.21875" style="85" customWidth="1"/>
    <col min="16" max="16" width="9.109375" style="85"/>
    <col min="17" max="17" width="4.33203125" style="85" customWidth="1"/>
    <col min="18" max="18" width="9.109375" style="85"/>
    <col min="19" max="19" width="9.109375" style="85" customWidth="1"/>
    <col min="20" max="30" width="9.109375" style="85"/>
    <col min="31" max="31" width="9.109375" style="85" customWidth="1"/>
    <col min="32" max="16384" width="9.109375" style="85"/>
  </cols>
  <sheetData>
    <row r="1" spans="1:16" ht="58.2" thickBot="1" x14ac:dyDescent="0.35">
      <c r="A1" s="89" t="str">
        <f>ArmEvaluation!B5</f>
        <v>Wind Speed (mph)</v>
      </c>
      <c r="B1" s="265">
        <f>ArmEvaluation!C5</f>
        <v>165</v>
      </c>
      <c r="C1" s="89" t="s">
        <v>35</v>
      </c>
      <c r="D1" s="90">
        <f>0.00256*0.94*0.85*1.14*(Dimensions!$D$39^2)*1.2</f>
        <v>76.179958271999993</v>
      </c>
      <c r="E1" s="91" t="s">
        <v>249</v>
      </c>
      <c r="F1" s="92">
        <f>ArmEvaluation!C10</f>
        <v>50</v>
      </c>
      <c r="G1" s="150" t="s">
        <v>259</v>
      </c>
      <c r="H1" s="149">
        <f>(F1*(0.77+0.016*(29000/F1)/((VLOOKUP(Dimensions!C38,'CFI&amp;Designation'!A5:L60,5)-2*VLOOKUP(Dimensions!C38,'CFI&amp;Designation'!A5:L60,7))/VLOOKUP(Dimensions!C38,'CFI&amp;Designation'!A5:L60,7))))/(50*(0.77+0.016*(29000/50)/((VLOOKUP(Dimensions!C38,'CFI&amp;Designation'!A5:L60,5)-2*VLOOKUP(Dimensions!C38,'CFI&amp;Designation'!A5:L60,7))/VLOOKUP(Dimensions!C38,'CFI&amp;Designation'!A5:L60,7))))</f>
        <v>1</v>
      </c>
    </row>
    <row r="3" spans="1:16" ht="15" thickBot="1" x14ac:dyDescent="0.35">
      <c r="L3" s="93"/>
      <c r="M3" s="93"/>
      <c r="N3" s="93"/>
    </row>
    <row r="4" spans="1:16" ht="59.4" thickBot="1" x14ac:dyDescent="0.35">
      <c r="A4" s="260" t="s">
        <v>222</v>
      </c>
      <c r="B4" s="225" t="s">
        <v>111</v>
      </c>
      <c r="C4" s="226" t="s">
        <v>112</v>
      </c>
      <c r="D4" s="226" t="s">
        <v>113</v>
      </c>
      <c r="E4" s="226" t="s">
        <v>114</v>
      </c>
      <c r="F4" s="226" t="s">
        <v>115</v>
      </c>
      <c r="G4" s="226" t="s">
        <v>116</v>
      </c>
      <c r="H4" s="272" t="s">
        <v>246</v>
      </c>
      <c r="I4" s="227" t="s">
        <v>247</v>
      </c>
      <c r="J4" s="227" t="s">
        <v>248</v>
      </c>
      <c r="K4" s="273" t="str">
        <f>ArmEvaluation!C5&amp;" mph Tube WL Moment (kip-ft)"</f>
        <v>165 mph Tube WL Moment (kip-ft)</v>
      </c>
      <c r="L4" s="272" t="s">
        <v>258</v>
      </c>
      <c r="M4" s="228" t="s">
        <v>180</v>
      </c>
      <c r="N4" s="466" t="s">
        <v>117</v>
      </c>
      <c r="O4" s="467"/>
      <c r="P4" s="93"/>
    </row>
    <row r="5" spans="1:16" ht="15" thickBot="1" x14ac:dyDescent="0.35">
      <c r="A5" s="264">
        <v>1</v>
      </c>
      <c r="B5" s="256" t="s">
        <v>215</v>
      </c>
      <c r="C5" s="224" t="s">
        <v>214</v>
      </c>
      <c r="D5" s="224" t="s">
        <v>215</v>
      </c>
      <c r="E5" s="224">
        <v>0</v>
      </c>
      <c r="F5" s="224" t="s">
        <v>215</v>
      </c>
      <c r="G5" s="224">
        <v>0.01</v>
      </c>
      <c r="H5" s="271">
        <v>0</v>
      </c>
      <c r="I5" s="224">
        <v>0</v>
      </c>
      <c r="J5" s="224">
        <v>0</v>
      </c>
      <c r="K5" s="271">
        <v>0</v>
      </c>
      <c r="L5" s="224" t="s">
        <v>215</v>
      </c>
      <c r="M5" s="229" t="s">
        <v>215</v>
      </c>
      <c r="N5" s="240"/>
      <c r="O5" s="220"/>
      <c r="P5" s="93"/>
    </row>
    <row r="6" spans="1:16" x14ac:dyDescent="0.3">
      <c r="A6" s="257">
        <f>A5+1</f>
        <v>2</v>
      </c>
      <c r="B6" s="468" t="s">
        <v>118</v>
      </c>
      <c r="C6" s="261" t="s">
        <v>119</v>
      </c>
      <c r="D6" s="40">
        <v>30</v>
      </c>
      <c r="E6" s="40">
        <v>11</v>
      </c>
      <c r="F6" s="153">
        <v>8.9</v>
      </c>
      <c r="G6" s="40">
        <v>0.25</v>
      </c>
      <c r="H6" s="266">
        <v>9.7840000000000007</v>
      </c>
      <c r="I6" s="153">
        <v>8.6229999999999993</v>
      </c>
      <c r="J6" s="153">
        <v>15.343</v>
      </c>
      <c r="K6" s="332">
        <f>I81</f>
        <v>14.417775588243707</v>
      </c>
      <c r="L6" s="266">
        <v>107.032</v>
      </c>
      <c r="M6" s="142" t="s">
        <v>176</v>
      </c>
      <c r="N6" s="453" t="s">
        <v>120</v>
      </c>
      <c r="O6" s="454"/>
      <c r="P6" s="93"/>
    </row>
    <row r="7" spans="1:16" x14ac:dyDescent="0.3">
      <c r="A7" s="258">
        <f>A6+1</f>
        <v>3</v>
      </c>
      <c r="B7" s="469"/>
      <c r="C7" s="262" t="s">
        <v>121</v>
      </c>
      <c r="D7" s="147">
        <v>30</v>
      </c>
      <c r="E7" s="147">
        <v>12</v>
      </c>
      <c r="F7" s="148">
        <v>9.9</v>
      </c>
      <c r="G7" s="147">
        <v>0.25</v>
      </c>
      <c r="H7" s="267">
        <v>11.015000000000001</v>
      </c>
      <c r="I7" s="148">
        <v>9.4930000000000003</v>
      </c>
      <c r="J7" s="148">
        <v>18.14</v>
      </c>
      <c r="K7" s="333">
        <f t="shared" ref="K7:K60" si="0">I82</f>
        <v>17.318677125361436</v>
      </c>
      <c r="L7" s="267">
        <v>125.392</v>
      </c>
      <c r="M7" s="143" t="s">
        <v>176</v>
      </c>
      <c r="N7" s="453"/>
      <c r="O7" s="454"/>
      <c r="P7" s="93"/>
    </row>
    <row r="8" spans="1:16" x14ac:dyDescent="0.3">
      <c r="A8" s="258">
        <f t="shared" ref="A8:A60" si="1">A7+1</f>
        <v>4</v>
      </c>
      <c r="B8" s="469"/>
      <c r="C8" s="262" t="s">
        <v>122</v>
      </c>
      <c r="D8" s="147">
        <v>40</v>
      </c>
      <c r="E8" s="147">
        <v>13</v>
      </c>
      <c r="F8" s="148">
        <v>10.199999999999999</v>
      </c>
      <c r="G8" s="147">
        <v>0.25</v>
      </c>
      <c r="H8" s="267">
        <v>19.728000000000002</v>
      </c>
      <c r="I8" s="148">
        <v>16.97</v>
      </c>
      <c r="J8" s="148">
        <v>32.253999999999998</v>
      </c>
      <c r="K8" s="333">
        <f t="shared" si="0"/>
        <v>30.541065680913547</v>
      </c>
      <c r="L8" s="267">
        <v>145.191</v>
      </c>
      <c r="M8" s="143" t="s">
        <v>176</v>
      </c>
      <c r="N8" s="453"/>
      <c r="O8" s="454"/>
      <c r="P8" s="93"/>
    </row>
    <row r="9" spans="1:16" x14ac:dyDescent="0.3">
      <c r="A9" s="258">
        <f t="shared" si="1"/>
        <v>5</v>
      </c>
      <c r="B9" s="469"/>
      <c r="C9" s="262" t="s">
        <v>123</v>
      </c>
      <c r="D9" s="147">
        <v>40</v>
      </c>
      <c r="E9" s="147">
        <v>14</v>
      </c>
      <c r="F9" s="148">
        <v>11.2</v>
      </c>
      <c r="G9" s="147">
        <v>0.25</v>
      </c>
      <c r="H9" s="267">
        <v>21.916</v>
      </c>
      <c r="I9" s="148">
        <v>18.391999999999999</v>
      </c>
      <c r="J9" s="148">
        <v>36.274000000000001</v>
      </c>
      <c r="K9" s="333">
        <f t="shared" si="0"/>
        <v>34.138379385734929</v>
      </c>
      <c r="L9" s="267">
        <v>166.43</v>
      </c>
      <c r="M9" s="143" t="s">
        <v>176</v>
      </c>
      <c r="N9" s="453"/>
      <c r="O9" s="454"/>
      <c r="P9" s="93"/>
    </row>
    <row r="10" spans="1:16" x14ac:dyDescent="0.3">
      <c r="A10" s="258">
        <f t="shared" si="1"/>
        <v>6</v>
      </c>
      <c r="B10" s="469"/>
      <c r="C10" s="262" t="s">
        <v>124</v>
      </c>
      <c r="D10" s="147">
        <v>50</v>
      </c>
      <c r="E10" s="147">
        <v>14</v>
      </c>
      <c r="F10" s="148">
        <v>10.725</v>
      </c>
      <c r="G10" s="147">
        <v>0.313</v>
      </c>
      <c r="H10" s="267">
        <v>35.792999999999999</v>
      </c>
      <c r="I10" s="148">
        <v>29.074000000000002</v>
      </c>
      <c r="J10" s="148">
        <v>56.110999999999997</v>
      </c>
      <c r="K10" s="333">
        <f t="shared" si="0"/>
        <v>52.822366507568574</v>
      </c>
      <c r="L10" s="267">
        <v>215.994</v>
      </c>
      <c r="M10" s="143" t="s">
        <v>176</v>
      </c>
      <c r="N10" s="453"/>
      <c r="O10" s="454"/>
      <c r="P10" s="93"/>
    </row>
    <row r="11" spans="1:16" x14ac:dyDescent="0.3">
      <c r="A11" s="258">
        <f t="shared" si="1"/>
        <v>7</v>
      </c>
      <c r="B11" s="469"/>
      <c r="C11" s="262" t="s">
        <v>125</v>
      </c>
      <c r="D11" s="147">
        <v>50</v>
      </c>
      <c r="E11" s="147">
        <v>15</v>
      </c>
      <c r="F11" s="148">
        <v>11.725</v>
      </c>
      <c r="G11" s="147">
        <v>0.313</v>
      </c>
      <c r="H11" s="267">
        <v>39.89</v>
      </c>
      <c r="I11" s="148">
        <v>31.745999999999999</v>
      </c>
      <c r="J11" s="148">
        <v>62.975000000000001</v>
      </c>
      <c r="K11" s="333">
        <f t="shared" si="0"/>
        <v>59.235164382900933</v>
      </c>
      <c r="L11" s="267">
        <v>244.90600000000001</v>
      </c>
      <c r="M11" s="143" t="s">
        <v>176</v>
      </c>
      <c r="N11" s="453"/>
      <c r="O11" s="454"/>
      <c r="P11" s="93"/>
    </row>
    <row r="12" spans="1:16" x14ac:dyDescent="0.3">
      <c r="A12" s="258">
        <f t="shared" si="1"/>
        <v>8</v>
      </c>
      <c r="B12" s="469"/>
      <c r="C12" s="262" t="s">
        <v>108</v>
      </c>
      <c r="D12" s="147">
        <v>60</v>
      </c>
      <c r="E12" s="147">
        <v>15</v>
      </c>
      <c r="F12" s="148">
        <v>11.015000000000001</v>
      </c>
      <c r="G12" s="147">
        <v>0.375</v>
      </c>
      <c r="H12" s="267">
        <v>56.48</v>
      </c>
      <c r="I12" s="148">
        <v>42.08</v>
      </c>
      <c r="J12" s="148">
        <v>80.673000000000002</v>
      </c>
      <c r="K12" s="333">
        <f t="shared" si="0"/>
        <v>76.043748760098836</v>
      </c>
      <c r="L12" s="267">
        <v>299.86599999999999</v>
      </c>
      <c r="M12" s="143" t="s">
        <v>176</v>
      </c>
      <c r="N12" s="453" t="s">
        <v>126</v>
      </c>
      <c r="O12" s="454" t="s">
        <v>213</v>
      </c>
      <c r="P12" s="93"/>
    </row>
    <row r="13" spans="1:16" x14ac:dyDescent="0.3">
      <c r="A13" s="258">
        <f t="shared" si="1"/>
        <v>9</v>
      </c>
      <c r="B13" s="469"/>
      <c r="C13" s="262" t="s">
        <v>127</v>
      </c>
      <c r="D13" s="147">
        <v>60</v>
      </c>
      <c r="E13" s="147">
        <v>16</v>
      </c>
      <c r="F13" s="148">
        <v>12.015000000000001</v>
      </c>
      <c r="G13" s="147">
        <v>0.375</v>
      </c>
      <c r="H13" s="267">
        <v>62.853000000000002</v>
      </c>
      <c r="I13" s="148">
        <v>46.064999999999998</v>
      </c>
      <c r="J13" s="148">
        <v>90.927000000000007</v>
      </c>
      <c r="K13" s="333">
        <f t="shared" si="0"/>
        <v>85.621758750210063</v>
      </c>
      <c r="L13" s="267">
        <v>341.65800000000002</v>
      </c>
      <c r="M13" s="143" t="s">
        <v>176</v>
      </c>
      <c r="N13" s="453"/>
      <c r="O13" s="454"/>
      <c r="P13" s="93"/>
    </row>
    <row r="14" spans="1:16" x14ac:dyDescent="0.3">
      <c r="A14" s="258">
        <f t="shared" si="1"/>
        <v>10</v>
      </c>
      <c r="B14" s="469"/>
      <c r="C14" s="262" t="s">
        <v>128</v>
      </c>
      <c r="D14" s="147">
        <v>70</v>
      </c>
      <c r="E14" s="147">
        <v>17</v>
      </c>
      <c r="F14" s="148">
        <v>12.34</v>
      </c>
      <c r="G14" s="147">
        <v>0.375</v>
      </c>
      <c r="H14" s="267">
        <v>85.704999999999998</v>
      </c>
      <c r="I14" s="148">
        <v>62.198</v>
      </c>
      <c r="J14" s="148">
        <v>122.14700000000001</v>
      </c>
      <c r="K14" s="333">
        <f t="shared" si="0"/>
        <v>114.97646281800418</v>
      </c>
      <c r="L14" s="267">
        <v>381.34899999999999</v>
      </c>
      <c r="M14" s="143" t="s">
        <v>176</v>
      </c>
      <c r="N14" s="453"/>
      <c r="O14" s="454"/>
      <c r="P14" s="93"/>
    </row>
    <row r="15" spans="1:16" x14ac:dyDescent="0.3">
      <c r="A15" s="258">
        <f t="shared" si="1"/>
        <v>11</v>
      </c>
      <c r="B15" s="469"/>
      <c r="C15" s="262" t="s">
        <v>129</v>
      </c>
      <c r="D15" s="147">
        <v>70</v>
      </c>
      <c r="E15" s="147">
        <v>18</v>
      </c>
      <c r="F15" s="148">
        <v>13.34</v>
      </c>
      <c r="G15" s="147">
        <v>0.375</v>
      </c>
      <c r="H15" s="267">
        <v>93.539000000000001</v>
      </c>
      <c r="I15" s="148">
        <v>67.004999999999995</v>
      </c>
      <c r="J15" s="148">
        <v>133.732</v>
      </c>
      <c r="K15" s="333">
        <f t="shared" si="0"/>
        <v>125.90913617971972</v>
      </c>
      <c r="L15" s="267">
        <v>423.19799999999998</v>
      </c>
      <c r="M15" s="143" t="s">
        <v>176</v>
      </c>
      <c r="N15" s="453"/>
      <c r="O15" s="454"/>
      <c r="P15" s="93"/>
    </row>
    <row r="16" spans="1:16" x14ac:dyDescent="0.3">
      <c r="A16" s="258">
        <f t="shared" si="1"/>
        <v>12</v>
      </c>
      <c r="B16" s="469"/>
      <c r="C16" s="262" t="s">
        <v>130</v>
      </c>
      <c r="D16" s="147">
        <v>78</v>
      </c>
      <c r="E16" s="147">
        <v>18</v>
      </c>
      <c r="F16" s="148">
        <v>12.77</v>
      </c>
      <c r="G16" s="147">
        <v>0.375</v>
      </c>
      <c r="H16" s="267">
        <v>111.041</v>
      </c>
      <c r="I16" s="148">
        <v>78.47</v>
      </c>
      <c r="J16" s="148">
        <v>154.13200000000001</v>
      </c>
      <c r="K16" s="333">
        <f t="shared" si="0"/>
        <v>145.13941435038058</v>
      </c>
      <c r="L16" s="267">
        <v>423.19799999999998</v>
      </c>
      <c r="M16" s="143" t="s">
        <v>176</v>
      </c>
      <c r="N16" s="453"/>
      <c r="O16" s="454"/>
      <c r="P16" s="93"/>
    </row>
    <row r="17" spans="1:16" ht="15" thickBot="1" x14ac:dyDescent="0.35">
      <c r="A17" s="259">
        <f t="shared" si="1"/>
        <v>13</v>
      </c>
      <c r="B17" s="470"/>
      <c r="C17" s="263" t="s">
        <v>131</v>
      </c>
      <c r="D17" s="14">
        <v>78</v>
      </c>
      <c r="E17" s="14">
        <v>20</v>
      </c>
      <c r="F17" s="199">
        <v>14.77</v>
      </c>
      <c r="G17" s="14">
        <v>0.375</v>
      </c>
      <c r="H17" s="268">
        <v>130.85599999999999</v>
      </c>
      <c r="I17" s="199">
        <v>90.924999999999997</v>
      </c>
      <c r="J17" s="199">
        <v>182.48099999999999</v>
      </c>
      <c r="K17" s="334">
        <f t="shared" si="0"/>
        <v>171.87150213280341</v>
      </c>
      <c r="L17" s="268">
        <v>513.375</v>
      </c>
      <c r="M17" s="141" t="s">
        <v>176</v>
      </c>
      <c r="N17" s="453"/>
      <c r="O17" s="454"/>
      <c r="P17" s="93"/>
    </row>
    <row r="18" spans="1:16" ht="15" thickBot="1" x14ac:dyDescent="0.35">
      <c r="A18" s="257">
        <f t="shared" si="1"/>
        <v>14</v>
      </c>
      <c r="B18" s="458" t="s">
        <v>132</v>
      </c>
      <c r="C18" s="123" t="s">
        <v>153</v>
      </c>
      <c r="D18" s="40">
        <v>36</v>
      </c>
      <c r="E18" s="40">
        <v>14</v>
      </c>
      <c r="F18" s="136">
        <v>11.48</v>
      </c>
      <c r="G18" s="40">
        <v>0.17899999999999999</v>
      </c>
      <c r="H18" s="266">
        <v>13.295999999999999</v>
      </c>
      <c r="I18" s="153">
        <v>15.276</v>
      </c>
      <c r="J18" s="153">
        <v>30.45</v>
      </c>
      <c r="K18" s="332">
        <f t="shared" si="0"/>
        <v>28.656770907313327</v>
      </c>
      <c r="L18" s="266">
        <v>114.208</v>
      </c>
      <c r="M18" s="142" t="s">
        <v>177</v>
      </c>
      <c r="N18" s="455"/>
      <c r="O18" s="456"/>
      <c r="P18" s="93"/>
    </row>
    <row r="19" spans="1:16" ht="15" thickBot="1" x14ac:dyDescent="0.35">
      <c r="A19" s="258">
        <f t="shared" si="1"/>
        <v>15</v>
      </c>
      <c r="B19" s="458"/>
      <c r="C19" s="12" t="s">
        <v>154</v>
      </c>
      <c r="D19" s="147">
        <f>D18</f>
        <v>36</v>
      </c>
      <c r="E19" s="147">
        <f t="shared" ref="E19:L19" si="2">E18</f>
        <v>14</v>
      </c>
      <c r="F19" s="137">
        <f t="shared" si="2"/>
        <v>11.48</v>
      </c>
      <c r="G19" s="147">
        <f t="shared" si="2"/>
        <v>0.17899999999999999</v>
      </c>
      <c r="H19" s="267">
        <f t="shared" si="2"/>
        <v>13.295999999999999</v>
      </c>
      <c r="I19" s="148">
        <v>15.276</v>
      </c>
      <c r="J19" s="148">
        <f t="shared" ref="J19" si="3">J18</f>
        <v>30.45</v>
      </c>
      <c r="K19" s="333">
        <f t="shared" si="0"/>
        <v>28.656770907313327</v>
      </c>
      <c r="L19" s="267">
        <f t="shared" si="2"/>
        <v>114.208</v>
      </c>
      <c r="M19" s="143" t="s">
        <v>177</v>
      </c>
      <c r="N19" s="240"/>
      <c r="O19" s="220"/>
      <c r="P19" s="93"/>
    </row>
    <row r="20" spans="1:16" x14ac:dyDescent="0.3">
      <c r="A20" s="258">
        <f t="shared" si="1"/>
        <v>16</v>
      </c>
      <c r="B20" s="471"/>
      <c r="C20" s="12" t="s">
        <v>155</v>
      </c>
      <c r="D20" s="147">
        <v>46</v>
      </c>
      <c r="E20" s="147">
        <v>15</v>
      </c>
      <c r="F20" s="137">
        <v>11.945</v>
      </c>
      <c r="G20" s="147">
        <v>0.313</v>
      </c>
      <c r="H20" s="267">
        <v>35.058</v>
      </c>
      <c r="I20" s="148">
        <v>27.725000000000001</v>
      </c>
      <c r="J20" s="148">
        <v>55.423000000000002</v>
      </c>
      <c r="K20" s="333">
        <f t="shared" si="0"/>
        <v>51.72900179550841</v>
      </c>
      <c r="L20" s="267">
        <v>245.36699999999999</v>
      </c>
      <c r="M20" s="143" t="s">
        <v>177</v>
      </c>
      <c r="N20" s="451" t="s">
        <v>204</v>
      </c>
      <c r="O20" s="452"/>
      <c r="P20" s="93"/>
    </row>
    <row r="21" spans="1:16" ht="15" thickBot="1" x14ac:dyDescent="0.35">
      <c r="A21" s="258">
        <f t="shared" si="1"/>
        <v>17</v>
      </c>
      <c r="B21" s="471"/>
      <c r="C21" s="12" t="s">
        <v>156</v>
      </c>
      <c r="D21" s="147">
        <f t="shared" ref="D21:L21" si="4">D20</f>
        <v>46</v>
      </c>
      <c r="E21" s="147">
        <f t="shared" si="4"/>
        <v>15</v>
      </c>
      <c r="F21" s="137">
        <f t="shared" si="4"/>
        <v>11.945</v>
      </c>
      <c r="G21" s="147">
        <f t="shared" si="4"/>
        <v>0.313</v>
      </c>
      <c r="H21" s="267">
        <f t="shared" si="4"/>
        <v>35.058</v>
      </c>
      <c r="I21" s="148">
        <v>27.725000000000001</v>
      </c>
      <c r="J21" s="148">
        <f t="shared" ref="J21" si="5">J20</f>
        <v>55.423000000000002</v>
      </c>
      <c r="K21" s="333">
        <f t="shared" si="0"/>
        <v>51.72900179550841</v>
      </c>
      <c r="L21" s="267">
        <f t="shared" si="4"/>
        <v>245.36699999999999</v>
      </c>
      <c r="M21" s="143" t="s">
        <v>177</v>
      </c>
      <c r="N21" s="455"/>
      <c r="O21" s="456"/>
      <c r="P21" s="93"/>
    </row>
    <row r="22" spans="1:16" ht="15" thickBot="1" x14ac:dyDescent="0.35">
      <c r="A22" s="258">
        <f t="shared" si="1"/>
        <v>18</v>
      </c>
      <c r="B22" s="471"/>
      <c r="C22" s="12" t="s">
        <v>133</v>
      </c>
      <c r="D22" s="147">
        <v>60</v>
      </c>
      <c r="E22" s="147">
        <v>16</v>
      </c>
      <c r="F22" s="137">
        <v>11.945</v>
      </c>
      <c r="G22" s="147">
        <v>0.375</v>
      </c>
      <c r="H22" s="267">
        <v>49.767000000000003</v>
      </c>
      <c r="I22" s="148">
        <v>45.755000000000003</v>
      </c>
      <c r="J22" s="148">
        <v>90.058999999999997</v>
      </c>
      <c r="K22" s="333">
        <f t="shared" si="0"/>
        <v>84.713145558604594</v>
      </c>
      <c r="L22" s="267">
        <v>341.65800000000002</v>
      </c>
      <c r="M22" s="143" t="s">
        <v>177</v>
      </c>
      <c r="N22" s="240"/>
      <c r="O22" s="220"/>
      <c r="P22" s="93"/>
    </row>
    <row r="23" spans="1:16" x14ac:dyDescent="0.3">
      <c r="A23" s="258">
        <f t="shared" si="1"/>
        <v>19</v>
      </c>
      <c r="B23" s="471"/>
      <c r="C23" s="12" t="s">
        <v>134</v>
      </c>
      <c r="D23" s="147">
        <v>70.5</v>
      </c>
      <c r="E23" s="147">
        <v>19</v>
      </c>
      <c r="F23" s="137">
        <v>14.234999999999999</v>
      </c>
      <c r="G23" s="147">
        <v>0.375</v>
      </c>
      <c r="H23" s="267">
        <v>84.626000000000005</v>
      </c>
      <c r="I23" s="148">
        <v>72.474000000000004</v>
      </c>
      <c r="J23" s="148">
        <v>145.428</v>
      </c>
      <c r="K23" s="333">
        <f t="shared" si="0"/>
        <v>136.97685664325584</v>
      </c>
      <c r="L23" s="267">
        <v>467.20699999999999</v>
      </c>
      <c r="M23" s="143" t="s">
        <v>177</v>
      </c>
      <c r="N23" s="451" t="s">
        <v>136</v>
      </c>
      <c r="O23" s="452"/>
      <c r="P23" s="93"/>
    </row>
    <row r="24" spans="1:16" ht="15" thickBot="1" x14ac:dyDescent="0.35">
      <c r="A24" s="258">
        <f t="shared" si="1"/>
        <v>20</v>
      </c>
      <c r="B24" s="471"/>
      <c r="C24" s="13" t="s">
        <v>135</v>
      </c>
      <c r="D24" s="14">
        <v>78</v>
      </c>
      <c r="E24" s="14">
        <v>19</v>
      </c>
      <c r="F24" s="138">
        <v>13.7</v>
      </c>
      <c r="G24" s="14">
        <v>0.375</v>
      </c>
      <c r="H24" s="268">
        <v>102.426</v>
      </c>
      <c r="I24" s="199">
        <v>83.992000000000004</v>
      </c>
      <c r="J24" s="199">
        <v>167.33</v>
      </c>
      <c r="K24" s="334">
        <f t="shared" si="0"/>
        <v>157.58275640431901</v>
      </c>
      <c r="L24" s="268">
        <v>467.2</v>
      </c>
      <c r="M24" s="141" t="s">
        <v>177</v>
      </c>
      <c r="N24" s="453"/>
      <c r="O24" s="454"/>
      <c r="P24" s="93"/>
    </row>
    <row r="25" spans="1:16" ht="14.4" customHeight="1" x14ac:dyDescent="0.3">
      <c r="A25" s="258">
        <f t="shared" si="1"/>
        <v>21</v>
      </c>
      <c r="B25" s="471"/>
      <c r="C25" s="123" t="s">
        <v>239</v>
      </c>
      <c r="D25" s="40">
        <v>36</v>
      </c>
      <c r="E25" s="40">
        <v>11</v>
      </c>
      <c r="F25" s="198">
        <v>8.48</v>
      </c>
      <c r="G25" s="40">
        <v>0.19400000000000001</v>
      </c>
      <c r="H25" s="266">
        <v>10.256</v>
      </c>
      <c r="I25" s="153">
        <v>11.907999999999999</v>
      </c>
      <c r="J25" s="153">
        <v>20.273</v>
      </c>
      <c r="K25" s="332">
        <f t="shared" si="0"/>
        <v>19.177294206766902</v>
      </c>
      <c r="L25" s="266">
        <v>79.721000000000004</v>
      </c>
      <c r="M25" s="142">
        <v>2008</v>
      </c>
      <c r="N25" s="453"/>
      <c r="O25" s="454"/>
      <c r="P25" s="93"/>
    </row>
    <row r="26" spans="1:16" x14ac:dyDescent="0.3">
      <c r="A26" s="258">
        <f t="shared" si="1"/>
        <v>22</v>
      </c>
      <c r="B26" s="471"/>
      <c r="C26" s="139" t="s">
        <v>240</v>
      </c>
      <c r="D26" s="140">
        <f>D25</f>
        <v>36</v>
      </c>
      <c r="E26" s="140">
        <f t="shared" ref="E26:L26" si="6">E25</f>
        <v>11</v>
      </c>
      <c r="F26" s="144">
        <f t="shared" si="6"/>
        <v>8.48</v>
      </c>
      <c r="G26" s="140">
        <f t="shared" si="6"/>
        <v>0.19400000000000001</v>
      </c>
      <c r="H26" s="269">
        <f t="shared" si="6"/>
        <v>10.256</v>
      </c>
      <c r="I26" s="236">
        <v>11.907999999999999</v>
      </c>
      <c r="J26" s="236">
        <v>20.273</v>
      </c>
      <c r="K26" s="333">
        <f t="shared" si="0"/>
        <v>19.177294206766902</v>
      </c>
      <c r="L26" s="269">
        <f t="shared" si="6"/>
        <v>79.721000000000004</v>
      </c>
      <c r="M26" s="145">
        <v>2008</v>
      </c>
      <c r="N26" s="453"/>
      <c r="O26" s="454"/>
      <c r="P26" s="93"/>
    </row>
    <row r="27" spans="1:16" x14ac:dyDescent="0.3">
      <c r="A27" s="258">
        <f t="shared" si="1"/>
        <v>23</v>
      </c>
      <c r="B27" s="471"/>
      <c r="C27" s="12" t="s">
        <v>242</v>
      </c>
      <c r="D27" s="147">
        <v>36</v>
      </c>
      <c r="E27" s="147">
        <v>11</v>
      </c>
      <c r="F27" s="230">
        <v>8.48</v>
      </c>
      <c r="G27" s="147">
        <v>0.25</v>
      </c>
      <c r="H27" s="267">
        <v>13.097</v>
      </c>
      <c r="I27" s="148">
        <v>11.656000000000001</v>
      </c>
      <c r="J27" s="148">
        <v>19.64</v>
      </c>
      <c r="K27" s="333">
        <f t="shared" si="0"/>
        <v>18.635255464622233</v>
      </c>
      <c r="L27" s="267">
        <v>107</v>
      </c>
      <c r="M27" s="143" t="s">
        <v>241</v>
      </c>
      <c r="N27" s="453"/>
      <c r="O27" s="454"/>
      <c r="P27" s="93"/>
    </row>
    <row r="28" spans="1:16" x14ac:dyDescent="0.3">
      <c r="A28" s="258">
        <f t="shared" si="1"/>
        <v>24</v>
      </c>
      <c r="B28" s="471"/>
      <c r="C28" s="12" t="s">
        <v>243</v>
      </c>
      <c r="D28" s="147">
        <f>D27</f>
        <v>36</v>
      </c>
      <c r="E28" s="147">
        <f t="shared" ref="E28:H28" si="7">E27</f>
        <v>11</v>
      </c>
      <c r="F28" s="137">
        <f t="shared" si="7"/>
        <v>8.48</v>
      </c>
      <c r="G28" s="147">
        <f t="shared" si="7"/>
        <v>0.25</v>
      </c>
      <c r="H28" s="267">
        <f t="shared" si="7"/>
        <v>13.097</v>
      </c>
      <c r="I28" s="148">
        <v>11.656000000000001</v>
      </c>
      <c r="J28" s="148">
        <v>19.64</v>
      </c>
      <c r="K28" s="333">
        <f t="shared" si="0"/>
        <v>18.635255464622233</v>
      </c>
      <c r="L28" s="267">
        <v>107</v>
      </c>
      <c r="M28" s="143" t="s">
        <v>241</v>
      </c>
      <c r="N28" s="453"/>
      <c r="O28" s="454"/>
      <c r="P28" s="93"/>
    </row>
    <row r="29" spans="1:16" x14ac:dyDescent="0.3">
      <c r="A29" s="258">
        <f t="shared" si="1"/>
        <v>25</v>
      </c>
      <c r="B29" s="471"/>
      <c r="C29" s="12" t="s">
        <v>157</v>
      </c>
      <c r="D29" s="147">
        <v>46</v>
      </c>
      <c r="E29" s="147">
        <v>13</v>
      </c>
      <c r="F29" s="137">
        <v>9.9450000000000003</v>
      </c>
      <c r="G29" s="147">
        <v>0.313</v>
      </c>
      <c r="H29" s="267">
        <v>28.396000000000001</v>
      </c>
      <c r="I29" s="148">
        <v>23.347000000000001</v>
      </c>
      <c r="J29" s="148">
        <v>44.442999999999998</v>
      </c>
      <c r="K29" s="333">
        <f t="shared" si="0"/>
        <v>41.724269821403396</v>
      </c>
      <c r="L29" s="267">
        <v>188.351</v>
      </c>
      <c r="M29" s="143" t="s">
        <v>177</v>
      </c>
      <c r="N29" s="453"/>
      <c r="O29" s="454"/>
      <c r="P29" s="93"/>
    </row>
    <row r="30" spans="1:16" ht="15" thickBot="1" x14ac:dyDescent="0.35">
      <c r="A30" s="258">
        <f t="shared" si="1"/>
        <v>26</v>
      </c>
      <c r="B30" s="471"/>
      <c r="C30" s="12" t="s">
        <v>158</v>
      </c>
      <c r="D30" s="147">
        <f t="shared" ref="D30:L30" si="8">D29</f>
        <v>46</v>
      </c>
      <c r="E30" s="147">
        <f t="shared" si="8"/>
        <v>13</v>
      </c>
      <c r="F30" s="137">
        <f t="shared" si="8"/>
        <v>9.9450000000000003</v>
      </c>
      <c r="G30" s="147">
        <f t="shared" si="8"/>
        <v>0.313</v>
      </c>
      <c r="H30" s="267">
        <f t="shared" si="8"/>
        <v>28.396000000000001</v>
      </c>
      <c r="I30" s="148">
        <v>23.347000000000001</v>
      </c>
      <c r="J30" s="148">
        <f t="shared" ref="J30" si="9">J29</f>
        <v>44.442999999999998</v>
      </c>
      <c r="K30" s="333">
        <f t="shared" si="0"/>
        <v>41.724269821403396</v>
      </c>
      <c r="L30" s="267">
        <f t="shared" si="8"/>
        <v>188.351</v>
      </c>
      <c r="M30" s="143" t="s">
        <v>177</v>
      </c>
      <c r="N30" s="455"/>
      <c r="O30" s="456"/>
      <c r="P30" s="93"/>
    </row>
    <row r="31" spans="1:16" ht="14.4" customHeight="1" x14ac:dyDescent="0.3">
      <c r="A31" s="258">
        <f t="shared" si="1"/>
        <v>27</v>
      </c>
      <c r="B31" s="471"/>
      <c r="C31" s="12" t="s">
        <v>137</v>
      </c>
      <c r="D31" s="147">
        <v>60</v>
      </c>
      <c r="E31" s="147">
        <v>14</v>
      </c>
      <c r="F31" s="137">
        <v>9.98</v>
      </c>
      <c r="G31" s="147">
        <v>0.375</v>
      </c>
      <c r="H31" s="267">
        <v>50.747999999999998</v>
      </c>
      <c r="I31" s="148">
        <v>38.292000000000002</v>
      </c>
      <c r="J31" s="148">
        <v>69.947000000000003</v>
      </c>
      <c r="K31" s="333">
        <f t="shared" si="0"/>
        <v>66.068209187171647</v>
      </c>
      <c r="L31" s="267">
        <v>260.26100000000002</v>
      </c>
      <c r="M31" s="143" t="s">
        <v>177</v>
      </c>
      <c r="N31" s="451" t="s">
        <v>171</v>
      </c>
      <c r="O31" s="452" t="s">
        <v>212</v>
      </c>
      <c r="P31" s="93"/>
    </row>
    <row r="32" spans="1:16" x14ac:dyDescent="0.3">
      <c r="A32" s="258">
        <f t="shared" si="1"/>
        <v>28</v>
      </c>
      <c r="B32" s="471"/>
      <c r="C32" s="12" t="s">
        <v>138</v>
      </c>
      <c r="D32" s="147">
        <v>70.5</v>
      </c>
      <c r="E32" s="147">
        <v>16</v>
      </c>
      <c r="F32" s="137">
        <v>11.234999999999999</v>
      </c>
      <c r="G32" s="147">
        <v>0.375</v>
      </c>
      <c r="H32" s="267">
        <v>77.844999999999999</v>
      </c>
      <c r="I32" s="148">
        <v>57.341000000000001</v>
      </c>
      <c r="J32" s="148">
        <v>108.89700000000001</v>
      </c>
      <c r="K32" s="333">
        <f t="shared" si="0"/>
        <v>102.70755369782634</v>
      </c>
      <c r="L32" s="267">
        <v>341.65800000000002</v>
      </c>
      <c r="M32" s="143" t="s">
        <v>177</v>
      </c>
      <c r="N32" s="453"/>
      <c r="O32" s="454"/>
      <c r="P32" s="93"/>
    </row>
    <row r="33" spans="1:16" x14ac:dyDescent="0.3">
      <c r="A33" s="258">
        <f t="shared" si="1"/>
        <v>29</v>
      </c>
      <c r="B33" s="471"/>
      <c r="C33" s="12" t="s">
        <v>237</v>
      </c>
      <c r="D33" s="147">
        <v>78</v>
      </c>
      <c r="E33" s="147">
        <v>18</v>
      </c>
      <c r="F33" s="137">
        <v>12.7</v>
      </c>
      <c r="G33" s="147">
        <v>0.313</v>
      </c>
      <c r="H33" s="267">
        <v>85.649000000000001</v>
      </c>
      <c r="I33" s="148">
        <v>78.281000000000006</v>
      </c>
      <c r="J33" s="148">
        <v>153.39400000000001</v>
      </c>
      <c r="K33" s="333">
        <f t="shared" si="0"/>
        <v>144.41988957545081</v>
      </c>
      <c r="L33" s="267">
        <v>342.4</v>
      </c>
      <c r="M33" s="143">
        <v>2008</v>
      </c>
      <c r="N33" s="453"/>
      <c r="O33" s="454"/>
      <c r="P33" s="93"/>
    </row>
    <row r="34" spans="1:16" ht="15" thickBot="1" x14ac:dyDescent="0.35">
      <c r="A34" s="258">
        <f t="shared" si="1"/>
        <v>30</v>
      </c>
      <c r="B34" s="471"/>
      <c r="C34" s="13" t="s">
        <v>238</v>
      </c>
      <c r="D34" s="14">
        <v>78</v>
      </c>
      <c r="E34" s="14">
        <v>18</v>
      </c>
      <c r="F34" s="138">
        <v>12.7</v>
      </c>
      <c r="G34" s="14">
        <v>0.375</v>
      </c>
      <c r="H34" s="268">
        <v>94.260999999999996</v>
      </c>
      <c r="I34" s="199">
        <v>78.275000000000006</v>
      </c>
      <c r="J34" s="199">
        <v>153.38200000000001</v>
      </c>
      <c r="K34" s="334">
        <f t="shared" si="0"/>
        <v>144.40157905907267</v>
      </c>
      <c r="L34" s="268">
        <v>423.19799999999998</v>
      </c>
      <c r="M34" s="141" t="s">
        <v>177</v>
      </c>
      <c r="N34" s="453"/>
      <c r="O34" s="454"/>
      <c r="P34" s="93"/>
    </row>
    <row r="35" spans="1:16" x14ac:dyDescent="0.3">
      <c r="A35" s="258">
        <f t="shared" si="1"/>
        <v>31</v>
      </c>
      <c r="B35" s="471"/>
      <c r="C35" s="123" t="s">
        <v>159</v>
      </c>
      <c r="D35" s="40">
        <v>36</v>
      </c>
      <c r="E35" s="40">
        <v>11</v>
      </c>
      <c r="F35" s="198">
        <v>8.48</v>
      </c>
      <c r="G35" s="40">
        <v>0.17899999999999999</v>
      </c>
      <c r="H35" s="266">
        <v>9.4830000000000005</v>
      </c>
      <c r="I35" s="153">
        <v>12.602</v>
      </c>
      <c r="J35" s="153">
        <v>22.111999999999998</v>
      </c>
      <c r="K35" s="332">
        <f t="shared" si="0"/>
        <v>20.990806313210076</v>
      </c>
      <c r="L35" s="266">
        <v>72.706999999999994</v>
      </c>
      <c r="M35" s="142" t="s">
        <v>177</v>
      </c>
      <c r="N35" s="453"/>
      <c r="O35" s="454"/>
      <c r="P35" s="93"/>
    </row>
    <row r="36" spans="1:16" x14ac:dyDescent="0.3">
      <c r="A36" s="258">
        <f t="shared" si="1"/>
        <v>32</v>
      </c>
      <c r="B36" s="471"/>
      <c r="C36" s="12" t="s">
        <v>160</v>
      </c>
      <c r="D36" s="147">
        <f>D35</f>
        <v>36</v>
      </c>
      <c r="E36" s="147">
        <f t="shared" ref="E36:L36" si="10">E35</f>
        <v>11</v>
      </c>
      <c r="F36" s="137">
        <f t="shared" si="10"/>
        <v>8.48</v>
      </c>
      <c r="G36" s="147">
        <f t="shared" si="10"/>
        <v>0.17899999999999999</v>
      </c>
      <c r="H36" s="267">
        <f t="shared" si="10"/>
        <v>9.4830000000000005</v>
      </c>
      <c r="I36" s="148">
        <v>12.602</v>
      </c>
      <c r="J36" s="148">
        <f t="shared" ref="J36" si="11">J35</f>
        <v>22.111999999999998</v>
      </c>
      <c r="K36" s="333">
        <f t="shared" si="0"/>
        <v>20.990806313210076</v>
      </c>
      <c r="L36" s="267">
        <f t="shared" si="10"/>
        <v>72.706999999999994</v>
      </c>
      <c r="M36" s="143" t="s">
        <v>177</v>
      </c>
      <c r="N36" s="453"/>
      <c r="O36" s="454"/>
      <c r="P36" s="93"/>
    </row>
    <row r="37" spans="1:16" x14ac:dyDescent="0.3">
      <c r="A37" s="258">
        <f t="shared" si="1"/>
        <v>33</v>
      </c>
      <c r="B37" s="471"/>
      <c r="C37" s="12" t="s">
        <v>161</v>
      </c>
      <c r="D37" s="147">
        <v>46</v>
      </c>
      <c r="E37" s="147">
        <v>12</v>
      </c>
      <c r="F37" s="137">
        <v>8.9450000000000003</v>
      </c>
      <c r="G37" s="147">
        <v>0.25</v>
      </c>
      <c r="H37" s="267">
        <v>18.641999999999999</v>
      </c>
      <c r="I37" s="148">
        <v>22.190999999999999</v>
      </c>
      <c r="J37" s="148">
        <v>39.854999999999997</v>
      </c>
      <c r="K37" s="333">
        <f t="shared" si="0"/>
        <v>37.919684321980668</v>
      </c>
      <c r="L37" s="267">
        <v>125.392</v>
      </c>
      <c r="M37" s="143" t="s">
        <v>177</v>
      </c>
      <c r="N37" s="453"/>
      <c r="O37" s="454"/>
      <c r="P37" s="93"/>
    </row>
    <row r="38" spans="1:16" ht="15" thickBot="1" x14ac:dyDescent="0.35">
      <c r="A38" s="258">
        <f t="shared" si="1"/>
        <v>34</v>
      </c>
      <c r="B38" s="471"/>
      <c r="C38" s="12" t="s">
        <v>162</v>
      </c>
      <c r="D38" s="147">
        <f t="shared" ref="D38:L38" si="12">D37</f>
        <v>46</v>
      </c>
      <c r="E38" s="147">
        <f t="shared" si="12"/>
        <v>12</v>
      </c>
      <c r="F38" s="137">
        <f t="shared" si="12"/>
        <v>8.9450000000000003</v>
      </c>
      <c r="G38" s="147">
        <f t="shared" si="12"/>
        <v>0.25</v>
      </c>
      <c r="H38" s="267">
        <f t="shared" si="12"/>
        <v>18.641999999999999</v>
      </c>
      <c r="I38" s="148">
        <v>22.190999999999999</v>
      </c>
      <c r="J38" s="148">
        <f t="shared" ref="J38" si="13">J37</f>
        <v>39.854999999999997</v>
      </c>
      <c r="K38" s="333">
        <f t="shared" si="0"/>
        <v>37.919684321980668</v>
      </c>
      <c r="L38" s="267">
        <f t="shared" si="12"/>
        <v>125.392</v>
      </c>
      <c r="M38" s="143" t="s">
        <v>177</v>
      </c>
      <c r="N38" s="455"/>
      <c r="O38" s="456"/>
      <c r="P38" s="93"/>
    </row>
    <row r="39" spans="1:16" x14ac:dyDescent="0.3">
      <c r="A39" s="258">
        <f t="shared" si="1"/>
        <v>35</v>
      </c>
      <c r="B39" s="471"/>
      <c r="C39" s="12" t="s">
        <v>139</v>
      </c>
      <c r="D39" s="147">
        <v>60</v>
      </c>
      <c r="E39" s="147">
        <v>14</v>
      </c>
      <c r="F39" s="137">
        <v>9.9450000000000003</v>
      </c>
      <c r="G39" s="147">
        <v>0.313</v>
      </c>
      <c r="H39" s="267">
        <v>37.438000000000002</v>
      </c>
      <c r="I39" s="148">
        <v>39.628</v>
      </c>
      <c r="J39" s="148">
        <v>73.156000000000006</v>
      </c>
      <c r="K39" s="333">
        <f t="shared" si="0"/>
        <v>69.100066603150907</v>
      </c>
      <c r="L39" s="267">
        <v>216</v>
      </c>
      <c r="M39" s="143" t="s">
        <v>177</v>
      </c>
      <c r="N39" s="154"/>
      <c r="O39" s="239"/>
      <c r="P39" s="93"/>
    </row>
    <row r="40" spans="1:16" x14ac:dyDescent="0.3">
      <c r="A40" s="258">
        <f t="shared" si="1"/>
        <v>36</v>
      </c>
      <c r="B40" s="471"/>
      <c r="C40" s="12" t="s">
        <v>140</v>
      </c>
      <c r="D40" s="147">
        <v>70.5</v>
      </c>
      <c r="E40" s="147">
        <v>15</v>
      </c>
      <c r="F40" s="137">
        <v>10.234999999999999</v>
      </c>
      <c r="G40" s="147">
        <v>0.313</v>
      </c>
      <c r="H40" s="267">
        <v>53.488999999999997</v>
      </c>
      <c r="I40" s="148">
        <v>54.216999999999999</v>
      </c>
      <c r="J40" s="148">
        <v>99.959000000000003</v>
      </c>
      <c r="K40" s="333">
        <f t="shared" si="0"/>
        <v>94.537228203528159</v>
      </c>
      <c r="L40" s="267">
        <v>244.9</v>
      </c>
      <c r="M40" s="143" t="s">
        <v>177</v>
      </c>
      <c r="N40" s="154"/>
      <c r="O40" s="154"/>
      <c r="P40" s="93"/>
    </row>
    <row r="41" spans="1:16" x14ac:dyDescent="0.3">
      <c r="A41" s="258">
        <f t="shared" si="1"/>
        <v>37</v>
      </c>
      <c r="B41" s="472"/>
      <c r="C41" s="12" t="s">
        <v>244</v>
      </c>
      <c r="D41" s="147">
        <v>78</v>
      </c>
      <c r="E41" s="147">
        <v>18</v>
      </c>
      <c r="F41" s="137">
        <v>12.7</v>
      </c>
      <c r="G41" s="147">
        <v>0.313</v>
      </c>
      <c r="H41" s="267">
        <v>85.649000000000001</v>
      </c>
      <c r="I41" s="148">
        <v>78.281000000000006</v>
      </c>
      <c r="J41" s="148">
        <v>153.39400000000001</v>
      </c>
      <c r="K41" s="333">
        <f t="shared" si="0"/>
        <v>144.41988957545081</v>
      </c>
      <c r="L41" s="267">
        <v>342.4</v>
      </c>
      <c r="M41" s="143">
        <v>2008</v>
      </c>
      <c r="N41" s="154"/>
      <c r="O41" s="154"/>
      <c r="P41" s="93"/>
    </row>
    <row r="42" spans="1:16" ht="15" thickBot="1" x14ac:dyDescent="0.35">
      <c r="A42" s="259">
        <f t="shared" si="1"/>
        <v>38</v>
      </c>
      <c r="B42" s="473"/>
      <c r="C42" s="232" t="s">
        <v>245</v>
      </c>
      <c r="D42" s="233">
        <v>78</v>
      </c>
      <c r="E42" s="233">
        <v>17</v>
      </c>
      <c r="F42" s="234">
        <v>12.7</v>
      </c>
      <c r="G42" s="233">
        <v>0.313</v>
      </c>
      <c r="H42" s="270">
        <v>77.38</v>
      </c>
      <c r="I42" s="237">
        <v>72.625</v>
      </c>
      <c r="J42" s="237">
        <v>138.73400000000001</v>
      </c>
      <c r="K42" s="334">
        <f t="shared" si="0"/>
        <v>130.87956990368141</v>
      </c>
      <c r="L42" s="270">
        <v>308.10000000000002</v>
      </c>
      <c r="M42" s="235" t="s">
        <v>241</v>
      </c>
      <c r="N42" s="155"/>
      <c r="O42" s="219"/>
      <c r="P42" s="93"/>
    </row>
    <row r="43" spans="1:16" x14ac:dyDescent="0.3">
      <c r="A43" s="257">
        <f t="shared" si="1"/>
        <v>39</v>
      </c>
      <c r="B43" s="457" t="s">
        <v>141</v>
      </c>
      <c r="C43" s="123" t="s">
        <v>163</v>
      </c>
      <c r="D43" s="40">
        <v>36</v>
      </c>
      <c r="E43" s="40">
        <v>13</v>
      </c>
      <c r="F43" s="136">
        <v>10.5</v>
      </c>
      <c r="G43" s="40">
        <v>0.17899999999999999</v>
      </c>
      <c r="H43" s="266">
        <v>12.025</v>
      </c>
      <c r="I43" s="153">
        <v>14.222</v>
      </c>
      <c r="J43" s="153">
        <v>27.588000000000001</v>
      </c>
      <c r="K43" s="332">
        <f t="shared" si="0"/>
        <v>25.870490008405746</v>
      </c>
      <c r="L43" s="266">
        <v>99.341999999999999</v>
      </c>
      <c r="M43" s="142" t="s">
        <v>178</v>
      </c>
      <c r="N43" s="238"/>
      <c r="O43" s="154"/>
      <c r="P43" s="93"/>
    </row>
    <row r="44" spans="1:16" x14ac:dyDescent="0.3">
      <c r="A44" s="258">
        <f t="shared" si="1"/>
        <v>40</v>
      </c>
      <c r="B44" s="458"/>
      <c r="C44" s="12" t="s">
        <v>164</v>
      </c>
      <c r="D44" s="147">
        <f t="shared" ref="D44:L44" si="14">D43</f>
        <v>36</v>
      </c>
      <c r="E44" s="147">
        <f t="shared" si="14"/>
        <v>13</v>
      </c>
      <c r="F44" s="137">
        <f t="shared" si="14"/>
        <v>10.5</v>
      </c>
      <c r="G44" s="147">
        <f t="shared" si="14"/>
        <v>0.17899999999999999</v>
      </c>
      <c r="H44" s="267">
        <f t="shared" si="14"/>
        <v>12.025</v>
      </c>
      <c r="I44" s="148">
        <v>14.222</v>
      </c>
      <c r="J44" s="148">
        <f t="shared" ref="J44" si="15">J43</f>
        <v>27.588000000000001</v>
      </c>
      <c r="K44" s="333">
        <f t="shared" si="0"/>
        <v>25.870490008405746</v>
      </c>
      <c r="L44" s="267">
        <f t="shared" si="14"/>
        <v>99.341999999999999</v>
      </c>
      <c r="M44" s="143" t="s">
        <v>178</v>
      </c>
      <c r="N44" s="238"/>
      <c r="O44" s="154"/>
      <c r="P44" s="93"/>
    </row>
    <row r="45" spans="1:16" x14ac:dyDescent="0.3">
      <c r="A45" s="258">
        <f t="shared" si="1"/>
        <v>41</v>
      </c>
      <c r="B45" s="459"/>
      <c r="C45" s="12" t="s">
        <v>165</v>
      </c>
      <c r="D45" s="147">
        <v>46</v>
      </c>
      <c r="E45" s="147">
        <v>14</v>
      </c>
      <c r="F45" s="137">
        <v>10.945</v>
      </c>
      <c r="G45" s="147">
        <v>0.25</v>
      </c>
      <c r="H45" s="267">
        <v>23.283999999999999</v>
      </c>
      <c r="I45" s="148">
        <v>25.266999999999999</v>
      </c>
      <c r="J45" s="148">
        <v>49.33</v>
      </c>
      <c r="K45" s="333">
        <f t="shared" si="0"/>
        <v>47.056506579726239</v>
      </c>
      <c r="L45" s="267">
        <v>166.43</v>
      </c>
      <c r="M45" s="143" t="s">
        <v>178</v>
      </c>
      <c r="N45" s="238"/>
      <c r="O45" s="154"/>
      <c r="P45" s="93"/>
    </row>
    <row r="46" spans="1:16" x14ac:dyDescent="0.3">
      <c r="A46" s="258">
        <f t="shared" si="1"/>
        <v>42</v>
      </c>
      <c r="B46" s="459"/>
      <c r="C46" s="12" t="s">
        <v>166</v>
      </c>
      <c r="D46" s="147">
        <f t="shared" ref="D46:L46" si="16">D45</f>
        <v>46</v>
      </c>
      <c r="E46" s="147">
        <f t="shared" si="16"/>
        <v>14</v>
      </c>
      <c r="F46" s="137">
        <f t="shared" si="16"/>
        <v>10.945</v>
      </c>
      <c r="G46" s="147">
        <f t="shared" si="16"/>
        <v>0.25</v>
      </c>
      <c r="H46" s="267">
        <v>23.283999999999999</v>
      </c>
      <c r="I46" s="148">
        <v>25.266999999999999</v>
      </c>
      <c r="J46" s="148">
        <f t="shared" ref="J46" si="17">J45</f>
        <v>49.33</v>
      </c>
      <c r="K46" s="333">
        <f t="shared" si="0"/>
        <v>47.056506579726239</v>
      </c>
      <c r="L46" s="267">
        <f t="shared" si="16"/>
        <v>166.43</v>
      </c>
      <c r="M46" s="143" t="s">
        <v>178</v>
      </c>
      <c r="N46" s="238"/>
      <c r="O46" s="154"/>
      <c r="P46" s="93"/>
    </row>
    <row r="47" spans="1:16" x14ac:dyDescent="0.3">
      <c r="A47" s="258">
        <f t="shared" si="1"/>
        <v>43</v>
      </c>
      <c r="B47" s="459"/>
      <c r="C47" s="12" t="s">
        <v>142</v>
      </c>
      <c r="D47" s="147">
        <v>60</v>
      </c>
      <c r="E47" s="147">
        <v>16</v>
      </c>
      <c r="F47" s="137">
        <v>11.945</v>
      </c>
      <c r="G47" s="147">
        <v>0.313</v>
      </c>
      <c r="H47" s="267">
        <v>46.311999999999998</v>
      </c>
      <c r="I47" s="148">
        <v>45.759</v>
      </c>
      <c r="J47" s="148">
        <v>90.066999999999993</v>
      </c>
      <c r="K47" s="333">
        <f t="shared" si="0"/>
        <v>84.743503784578209</v>
      </c>
      <c r="L47" s="267">
        <v>275.60000000000002</v>
      </c>
      <c r="M47" s="143" t="s">
        <v>178</v>
      </c>
      <c r="N47" s="238"/>
      <c r="O47" s="154"/>
      <c r="P47" s="93"/>
    </row>
    <row r="48" spans="1:16" x14ac:dyDescent="0.3">
      <c r="A48" s="258">
        <f t="shared" si="1"/>
        <v>44</v>
      </c>
      <c r="B48" s="459"/>
      <c r="C48" s="12" t="s">
        <v>143</v>
      </c>
      <c r="D48" s="147">
        <v>70.5</v>
      </c>
      <c r="E48" s="147">
        <v>19</v>
      </c>
      <c r="F48" s="137">
        <v>14.234999999999999</v>
      </c>
      <c r="G48" s="147">
        <v>0.313</v>
      </c>
      <c r="H48" s="267">
        <v>77.947999999999993</v>
      </c>
      <c r="I48" s="148">
        <v>72.478999999999999</v>
      </c>
      <c r="J48" s="148">
        <v>145.43899999999999</v>
      </c>
      <c r="K48" s="333">
        <f t="shared" si="0"/>
        <v>136.97738027210573</v>
      </c>
      <c r="L48" s="267">
        <v>378.5</v>
      </c>
      <c r="M48" s="143" t="s">
        <v>178</v>
      </c>
      <c r="N48" s="238"/>
      <c r="O48" s="154"/>
      <c r="P48" s="93"/>
    </row>
    <row r="49" spans="1:16" ht="15" thickBot="1" x14ac:dyDescent="0.35">
      <c r="A49" s="258">
        <f t="shared" si="1"/>
        <v>45</v>
      </c>
      <c r="B49" s="459"/>
      <c r="C49" s="13" t="s">
        <v>144</v>
      </c>
      <c r="D49" s="14">
        <v>78</v>
      </c>
      <c r="E49" s="14">
        <v>19</v>
      </c>
      <c r="F49" s="138">
        <v>13.7</v>
      </c>
      <c r="G49" s="14">
        <v>0.313</v>
      </c>
      <c r="H49" s="268">
        <v>93.173000000000002</v>
      </c>
      <c r="I49" s="199">
        <v>83.998000000000005</v>
      </c>
      <c r="J49" s="199">
        <v>167.34299999999999</v>
      </c>
      <c r="K49" s="334">
        <f t="shared" si="0"/>
        <v>157.56776730802943</v>
      </c>
      <c r="L49" s="268">
        <v>378.5</v>
      </c>
      <c r="M49" s="141" t="s">
        <v>178</v>
      </c>
      <c r="N49" s="238"/>
      <c r="O49" s="154"/>
      <c r="P49" s="93"/>
    </row>
    <row r="50" spans="1:16" x14ac:dyDescent="0.3">
      <c r="A50" s="258">
        <f t="shared" si="1"/>
        <v>46</v>
      </c>
      <c r="B50" s="459"/>
      <c r="C50" s="123" t="s">
        <v>170</v>
      </c>
      <c r="D50" s="40">
        <v>36</v>
      </c>
      <c r="E50" s="40">
        <v>11</v>
      </c>
      <c r="F50" s="136">
        <v>8.5</v>
      </c>
      <c r="G50" s="40">
        <v>0.17899999999999999</v>
      </c>
      <c r="H50" s="266">
        <v>9.4830000000000005</v>
      </c>
      <c r="I50" s="153">
        <v>12.602</v>
      </c>
      <c r="J50" s="153">
        <v>22.111999999999998</v>
      </c>
      <c r="K50" s="332">
        <f t="shared" si="0"/>
        <v>20.990806313210076</v>
      </c>
      <c r="L50" s="266">
        <v>72.706999999999994</v>
      </c>
      <c r="M50" s="142" t="s">
        <v>178</v>
      </c>
      <c r="N50" s="238"/>
      <c r="O50" s="154"/>
      <c r="P50" s="93"/>
    </row>
    <row r="51" spans="1:16" x14ac:dyDescent="0.3">
      <c r="A51" s="258">
        <f t="shared" si="1"/>
        <v>47</v>
      </c>
      <c r="B51" s="459"/>
      <c r="C51" s="12" t="s">
        <v>167</v>
      </c>
      <c r="D51" s="147">
        <f t="shared" ref="D51:L51" si="18">D50</f>
        <v>36</v>
      </c>
      <c r="E51" s="147">
        <f t="shared" si="18"/>
        <v>11</v>
      </c>
      <c r="F51" s="137">
        <f t="shared" si="18"/>
        <v>8.5</v>
      </c>
      <c r="G51" s="147">
        <f t="shared" si="18"/>
        <v>0.17899999999999999</v>
      </c>
      <c r="H51" s="267">
        <f t="shared" si="18"/>
        <v>9.4830000000000005</v>
      </c>
      <c r="I51" s="148">
        <v>12.602</v>
      </c>
      <c r="J51" s="148">
        <f t="shared" ref="J51" si="19">J50</f>
        <v>22.111999999999998</v>
      </c>
      <c r="K51" s="333">
        <f t="shared" si="0"/>
        <v>20.990806313210076</v>
      </c>
      <c r="L51" s="267">
        <f t="shared" si="18"/>
        <v>72.706999999999994</v>
      </c>
      <c r="M51" s="143" t="s">
        <v>178</v>
      </c>
      <c r="N51" s="238"/>
      <c r="O51" s="154"/>
      <c r="P51" s="93"/>
    </row>
    <row r="52" spans="1:16" x14ac:dyDescent="0.3">
      <c r="A52" s="258">
        <f t="shared" si="1"/>
        <v>48</v>
      </c>
      <c r="B52" s="459"/>
      <c r="C52" s="12" t="s">
        <v>169</v>
      </c>
      <c r="D52" s="147">
        <v>46</v>
      </c>
      <c r="E52" s="147">
        <v>12</v>
      </c>
      <c r="F52" s="137">
        <v>8.9450000000000003</v>
      </c>
      <c r="G52" s="147">
        <v>0.25</v>
      </c>
      <c r="H52" s="267">
        <v>18.641999999999999</v>
      </c>
      <c r="I52" s="148">
        <v>22.190999999999999</v>
      </c>
      <c r="J52" s="148">
        <v>49.88</v>
      </c>
      <c r="K52" s="333">
        <f t="shared" si="0"/>
        <v>37.919684321980668</v>
      </c>
      <c r="L52" s="267">
        <v>125.392</v>
      </c>
      <c r="M52" s="143" t="s">
        <v>178</v>
      </c>
      <c r="N52" s="238"/>
      <c r="O52" s="154"/>
      <c r="P52" s="93"/>
    </row>
    <row r="53" spans="1:16" x14ac:dyDescent="0.3">
      <c r="A53" s="258">
        <f t="shared" si="1"/>
        <v>49</v>
      </c>
      <c r="B53" s="459"/>
      <c r="C53" s="12" t="s">
        <v>168</v>
      </c>
      <c r="D53" s="147">
        <f t="shared" ref="D53:L53" si="20">D52</f>
        <v>46</v>
      </c>
      <c r="E53" s="147">
        <f t="shared" si="20"/>
        <v>12</v>
      </c>
      <c r="F53" s="137">
        <f t="shared" si="20"/>
        <v>8.9450000000000003</v>
      </c>
      <c r="G53" s="147">
        <f t="shared" si="20"/>
        <v>0.25</v>
      </c>
      <c r="H53" s="267">
        <f t="shared" si="20"/>
        <v>18.641999999999999</v>
      </c>
      <c r="I53" s="148">
        <v>22.190999999999999</v>
      </c>
      <c r="J53" s="148">
        <f t="shared" ref="J53" si="21">J52</f>
        <v>49.88</v>
      </c>
      <c r="K53" s="333">
        <f t="shared" si="0"/>
        <v>37.919684321980668</v>
      </c>
      <c r="L53" s="267">
        <f t="shared" si="20"/>
        <v>125.392</v>
      </c>
      <c r="M53" s="143" t="s">
        <v>178</v>
      </c>
      <c r="N53" s="238"/>
      <c r="O53" s="154"/>
      <c r="P53" s="93"/>
    </row>
    <row r="54" spans="1:16" x14ac:dyDescent="0.3">
      <c r="A54" s="258">
        <f t="shared" si="1"/>
        <v>50</v>
      </c>
      <c r="B54" s="459"/>
      <c r="C54" s="12" t="s">
        <v>145</v>
      </c>
      <c r="D54" s="147">
        <v>60</v>
      </c>
      <c r="E54" s="147">
        <v>14</v>
      </c>
      <c r="F54" s="137">
        <v>9.9450000000000003</v>
      </c>
      <c r="G54" s="147">
        <v>0.313</v>
      </c>
      <c r="H54" s="267">
        <v>37.438000000000002</v>
      </c>
      <c r="I54" s="148">
        <v>39.628</v>
      </c>
      <c r="J54" s="148">
        <v>73.156000000000006</v>
      </c>
      <c r="K54" s="333">
        <f t="shared" si="0"/>
        <v>69.100066603150907</v>
      </c>
      <c r="L54" s="267">
        <v>216</v>
      </c>
      <c r="M54" s="143" t="s">
        <v>178</v>
      </c>
      <c r="N54" s="238"/>
      <c r="O54" s="154"/>
      <c r="P54" s="93"/>
    </row>
    <row r="55" spans="1:16" x14ac:dyDescent="0.3">
      <c r="A55" s="258">
        <f t="shared" si="1"/>
        <v>51</v>
      </c>
      <c r="B55" s="459"/>
      <c r="C55" s="12" t="s">
        <v>146</v>
      </c>
      <c r="D55" s="147">
        <v>70.5</v>
      </c>
      <c r="E55" s="147">
        <v>15</v>
      </c>
      <c r="F55" s="137">
        <v>10.234999999999999</v>
      </c>
      <c r="G55" s="147">
        <v>0.313</v>
      </c>
      <c r="H55" s="267">
        <v>53.488999999999997</v>
      </c>
      <c r="I55" s="148">
        <v>54.216999999999999</v>
      </c>
      <c r="J55" s="148">
        <v>99.959000000000003</v>
      </c>
      <c r="K55" s="333">
        <f t="shared" si="0"/>
        <v>94.537228203528159</v>
      </c>
      <c r="L55" s="267">
        <v>244.9</v>
      </c>
      <c r="M55" s="143" t="s">
        <v>178</v>
      </c>
      <c r="N55" s="238"/>
      <c r="O55" s="154"/>
      <c r="P55" s="93"/>
    </row>
    <row r="56" spans="1:16" ht="15" thickBot="1" x14ac:dyDescent="0.35">
      <c r="A56" s="259">
        <f t="shared" si="1"/>
        <v>52</v>
      </c>
      <c r="B56" s="460"/>
      <c r="C56" s="13" t="s">
        <v>147</v>
      </c>
      <c r="D56" s="14">
        <v>78</v>
      </c>
      <c r="E56" s="14">
        <v>17</v>
      </c>
      <c r="F56" s="138">
        <v>11.7</v>
      </c>
      <c r="G56" s="14">
        <v>0.313</v>
      </c>
      <c r="H56" s="268">
        <v>77.38</v>
      </c>
      <c r="I56" s="199">
        <v>72.625</v>
      </c>
      <c r="J56" s="199">
        <v>138.73400000000001</v>
      </c>
      <c r="K56" s="334">
        <f t="shared" si="0"/>
        <v>130.87956990368141</v>
      </c>
      <c r="L56" s="268">
        <v>308.10000000000002</v>
      </c>
      <c r="M56" s="141" t="s">
        <v>178</v>
      </c>
      <c r="N56" s="238"/>
      <c r="O56" s="154"/>
      <c r="P56" s="93"/>
    </row>
    <row r="57" spans="1:16" x14ac:dyDescent="0.3">
      <c r="A57" s="257">
        <f t="shared" si="1"/>
        <v>53</v>
      </c>
      <c r="B57" s="457" t="s">
        <v>148</v>
      </c>
      <c r="C57" s="123" t="s">
        <v>149</v>
      </c>
      <c r="D57" s="40">
        <v>36</v>
      </c>
      <c r="E57" s="40">
        <v>12.5</v>
      </c>
      <c r="F57" s="136">
        <v>10</v>
      </c>
      <c r="G57" s="40">
        <v>0.17899999999999999</v>
      </c>
      <c r="H57" s="266">
        <v>11.39</v>
      </c>
      <c r="I57" s="153">
        <v>13.772</v>
      </c>
      <c r="J57" s="153">
        <v>26.157</v>
      </c>
      <c r="K57" s="332">
        <f t="shared" si="0"/>
        <v>24.726600387696898</v>
      </c>
      <c r="L57" s="266">
        <v>92.296000000000006</v>
      </c>
      <c r="M57" s="142" t="s">
        <v>179</v>
      </c>
      <c r="N57" s="238"/>
      <c r="O57" s="154"/>
      <c r="P57" s="93"/>
    </row>
    <row r="58" spans="1:16" x14ac:dyDescent="0.3">
      <c r="A58" s="258">
        <f t="shared" si="1"/>
        <v>54</v>
      </c>
      <c r="B58" s="459"/>
      <c r="C58" s="12" t="s">
        <v>150</v>
      </c>
      <c r="D58" s="147">
        <v>46</v>
      </c>
      <c r="E58" s="147">
        <v>14</v>
      </c>
      <c r="F58" s="137">
        <v>10.945</v>
      </c>
      <c r="G58" s="147">
        <v>0.23899999999999999</v>
      </c>
      <c r="H58" s="267">
        <v>22.963999999999999</v>
      </c>
      <c r="I58" s="148">
        <v>25.266999999999999</v>
      </c>
      <c r="J58" s="148">
        <v>49.331000000000003</v>
      </c>
      <c r="K58" s="333">
        <f t="shared" si="0"/>
        <v>46.510235211014681</v>
      </c>
      <c r="L58" s="267">
        <v>158.113</v>
      </c>
      <c r="M58" s="143" t="s">
        <v>179</v>
      </c>
      <c r="N58" s="238"/>
      <c r="O58" s="154"/>
      <c r="P58" s="93"/>
    </row>
    <row r="59" spans="1:16" x14ac:dyDescent="0.3">
      <c r="A59" s="258">
        <f t="shared" si="1"/>
        <v>55</v>
      </c>
      <c r="B59" s="459"/>
      <c r="C59" s="12" t="s">
        <v>151</v>
      </c>
      <c r="D59" s="147">
        <v>60</v>
      </c>
      <c r="E59" s="147">
        <v>17.75</v>
      </c>
      <c r="F59" s="137">
        <v>13.695</v>
      </c>
      <c r="G59" s="147">
        <v>0.25</v>
      </c>
      <c r="H59" s="267">
        <v>49.758000000000003</v>
      </c>
      <c r="I59" s="148">
        <v>52.216999999999999</v>
      </c>
      <c r="J59" s="148">
        <v>104.797</v>
      </c>
      <c r="K59" s="333">
        <f t="shared" si="0"/>
        <v>98.720652726062241</v>
      </c>
      <c r="L59" s="267">
        <v>258.89600000000002</v>
      </c>
      <c r="M59" s="143" t="s">
        <v>179</v>
      </c>
      <c r="N59" s="93"/>
      <c r="O59" s="93"/>
      <c r="P59" s="93"/>
    </row>
    <row r="60" spans="1:16" ht="15" thickBot="1" x14ac:dyDescent="0.35">
      <c r="A60" s="259">
        <f t="shared" si="1"/>
        <v>56</v>
      </c>
      <c r="B60" s="460"/>
      <c r="C60" s="13" t="s">
        <v>152</v>
      </c>
      <c r="D60" s="14">
        <v>70.5</v>
      </c>
      <c r="E60" s="14">
        <v>18.75</v>
      </c>
      <c r="F60" s="138">
        <v>13.98</v>
      </c>
      <c r="G60" s="14">
        <v>0.313</v>
      </c>
      <c r="H60" s="268">
        <v>76.453999999999994</v>
      </c>
      <c r="I60" s="199">
        <v>71.137</v>
      </c>
      <c r="J60" s="199">
        <v>142.57900000000001</v>
      </c>
      <c r="K60" s="334">
        <f t="shared" si="0"/>
        <v>134.30425226610186</v>
      </c>
      <c r="L60" s="268">
        <v>369.4</v>
      </c>
      <c r="M60" s="141" t="s">
        <v>179</v>
      </c>
      <c r="N60" s="93"/>
      <c r="O60" s="93"/>
      <c r="P60" s="93"/>
    </row>
    <row r="61" spans="1:16" x14ac:dyDescent="0.3">
      <c r="N61" s="93"/>
    </row>
    <row r="62" spans="1:16" ht="15" thickBot="1" x14ac:dyDescent="0.35">
      <c r="L62" s="94"/>
      <c r="M62" s="95"/>
      <c r="N62" s="93"/>
    </row>
    <row r="63" spans="1:16" ht="18.600000000000001" thickBot="1" x14ac:dyDescent="0.35">
      <c r="A63" s="463" t="s">
        <v>254</v>
      </c>
      <c r="B63" s="464"/>
      <c r="C63" s="464"/>
      <c r="D63" s="464"/>
      <c r="E63" s="464"/>
      <c r="F63" s="464"/>
      <c r="G63" s="464"/>
      <c r="H63" s="464"/>
      <c r="I63" s="464"/>
      <c r="J63" s="464"/>
      <c r="K63" s="464"/>
      <c r="L63" s="465"/>
      <c r="M63" s="93"/>
    </row>
    <row r="64" spans="1:16" ht="29.4" thickBot="1" x14ac:dyDescent="0.35">
      <c r="A64" s="245"/>
      <c r="B64" s="242" t="s">
        <v>51</v>
      </c>
      <c r="C64" s="96" t="s">
        <v>52</v>
      </c>
      <c r="D64" s="96" t="s">
        <v>53</v>
      </c>
      <c r="E64" s="96" t="s">
        <v>54</v>
      </c>
      <c r="F64" s="96" t="s">
        <v>55</v>
      </c>
      <c r="G64" s="96" t="s">
        <v>56</v>
      </c>
      <c r="H64" s="96" t="s">
        <v>57</v>
      </c>
      <c r="I64" s="96" t="s">
        <v>58</v>
      </c>
      <c r="J64" s="96" t="s">
        <v>59</v>
      </c>
      <c r="K64" s="97" t="s">
        <v>60</v>
      </c>
      <c r="L64" s="98" t="s">
        <v>37</v>
      </c>
    </row>
    <row r="65" spans="1:15" ht="43.2" customHeight="1" thickBot="1" x14ac:dyDescent="0.35">
      <c r="A65" s="246" t="s">
        <v>250</v>
      </c>
      <c r="B65" s="243">
        <f>IF(ArmEvaluation!E6&lt;&gt;1,ArmEvaluation!E10*ArmEvaluation!E7*$D$1/1000,0)</f>
        <v>0</v>
      </c>
      <c r="C65" s="99">
        <f>IF(ArmEvaluation!F6&lt;&gt;1,ArmEvaluation!F10*ArmEvaluation!F7*$D$1/1000,0)</f>
        <v>0</v>
      </c>
      <c r="D65" s="99">
        <f>IF(ArmEvaluation!G6&lt;&gt;1,ArmEvaluation!G10*ArmEvaluation!G7*$D$1/1000,0)</f>
        <v>0</v>
      </c>
      <c r="E65" s="99">
        <f>IF(ArmEvaluation!H6&lt;&gt;1,ArmEvaluation!H10*ArmEvaluation!H7*$D$1/1000,0)</f>
        <v>0</v>
      </c>
      <c r="F65" s="99">
        <f>IF(ArmEvaluation!I6&lt;&gt;1,ArmEvaluation!I10*ArmEvaluation!I7*$D$1/1000,0)</f>
        <v>32.909741973503998</v>
      </c>
      <c r="G65" s="99">
        <f>IF(ArmEvaluation!J6&lt;&gt;1,ArmEvaluation!J10*ArmEvaluation!J7*$D$1/1000,0)</f>
        <v>46.427456579099896</v>
      </c>
      <c r="H65" s="99">
        <f>IF(ArmEvaluation!K6&lt;&gt;1,ArmEvaluation!K10*ArmEvaluation!K7*$D$1/1000,0)</f>
        <v>23.311067231231998</v>
      </c>
      <c r="I65" s="99">
        <f>IF(ArmEvaluation!L6&lt;&gt;1,ArmEvaluation!L10*ArmEvaluation!L7*$D$1/1000,0)</f>
        <v>31.706555712556028</v>
      </c>
      <c r="J65" s="99">
        <f>IF(ArmEvaluation!M6&lt;&gt;1,ArmEvaluation!M10*ArmEvaluation!M7*$D$1/1000,0)</f>
        <v>13.419907157170481</v>
      </c>
      <c r="K65" s="222">
        <f>IF(ArmEvaluation!N6&lt;&gt;1,ArmEvaluation!N10*ArmEvaluation!N7*$D$1/1000,0)</f>
        <v>10.66519415808</v>
      </c>
      <c r="L65" s="100">
        <f>SUM(B65:K65)</f>
        <v>158.43992281164242</v>
      </c>
    </row>
    <row r="66" spans="1:15" ht="45" thickBot="1" x14ac:dyDescent="0.35">
      <c r="A66" s="247" t="s">
        <v>251</v>
      </c>
      <c r="B66" s="244">
        <f>1.1*ArmEvaluation!E7/1000*IF(ArmEvaluation!E6=2,Dimensions!$J$3,IF(ArmEvaluation!E6=3,Dimensions!$J$10,IF(ArmEvaluation!E6=4,Dimensions!$J$17,IF(ArmEvaluation!E6=5,Dimensions!T3,0))))</f>
        <v>0</v>
      </c>
      <c r="C66" s="101">
        <f>1.1*ArmEvaluation!F7/1000*IF(ArmEvaluation!F6=2,Dimensions!$J$3,IF(ArmEvaluation!F6=3,Dimensions!$J$10,IF(ArmEvaluation!F6=4,Dimensions!$J$17,IF(ArmEvaluation!F6=5,Dimensions!T8,0))))</f>
        <v>0</v>
      </c>
      <c r="D66" s="101">
        <f>1.1*ArmEvaluation!G7/1000*IF(ArmEvaluation!G6=2,Dimensions!$J$3,IF(ArmEvaluation!G6=3,Dimensions!$J$10,IF(ArmEvaluation!G6=4,Dimensions!$J$17,IF(ArmEvaluation!G6=5,Dimensions!T13,0))))</f>
        <v>0</v>
      </c>
      <c r="E66" s="101">
        <f>1.1*ArmEvaluation!H7/1000*IF(ArmEvaluation!H6=2,Dimensions!$J$3,IF(ArmEvaluation!H6=3,Dimensions!$J$10,IF(ArmEvaluation!H6=4,Dimensions!$J$17,IF(ArmEvaluation!H6=5,Dimensions!T18,0))))</f>
        <v>0</v>
      </c>
      <c r="F66" s="101">
        <f>1.1*ArmEvaluation!I7/1000*IF(ArmEvaluation!I6=2,Dimensions!$J$3,IF(ArmEvaluation!I6=3,Dimensions!$J$10,IF(ArmEvaluation!I6=4,Dimensions!$J$17,IF(ArmEvaluation!I6=5,Dimensions!T23,0))))</f>
        <v>1.9008000000000003</v>
      </c>
      <c r="G66" s="101">
        <f>1.1*ArmEvaluation!J7/1000*IF(ArmEvaluation!J6=2,Dimensions!$J$3,IF(ArmEvaluation!J6=3,Dimensions!$J$10,IF(ArmEvaluation!J6=4,Dimensions!$J$17,IF(ArmEvaluation!J6=5,Dimensions!T28,0))))</f>
        <v>3.6080000000000001</v>
      </c>
      <c r="H66" s="101">
        <f>1.1*ArmEvaluation!K7/1000*IF(ArmEvaluation!K6=2,Dimensions!$J$3,IF(ArmEvaluation!K6=3,Dimensions!$J$10,IF(ArmEvaluation!K6=4,Dimensions!$J$17,IF(ArmEvaluation!K6=5,Dimensions!T33,0))))</f>
        <v>1.3464</v>
      </c>
      <c r="I66" s="101">
        <f>1.1*ArmEvaluation!L7/1000*IF(ArmEvaluation!L6=2,Dimensions!$J$3,IF(ArmEvaluation!L6=3,Dimensions!$J$10,IF(ArmEvaluation!L6=4,Dimensions!$J$17,IF(ArmEvaluation!L6=5,Dimensions!T38,0))))</f>
        <v>2.4640000000000004</v>
      </c>
      <c r="J66" s="101">
        <f>1.1*ArmEvaluation!M7/1000*IF(ArmEvaluation!M6=2,Dimensions!$J$3,IF(ArmEvaluation!M6=3,Dimensions!$J$10,IF(ArmEvaluation!M6=4,Dimensions!$J$17,IF(ArmEvaluation!M6=5,Dimensions!T43,0))))</f>
        <v>0.9900000000000001</v>
      </c>
      <c r="K66" s="223">
        <f>1.1*ArmEvaluation!N7/1000*IF(ArmEvaluation!N6=2,Dimensions!$J$3,IF(ArmEvaluation!N6=3,Dimensions!$J$10,IF(ArmEvaluation!N6=4,Dimensions!$J$17,IF(ArmEvaluation!N6=5,Dimensions!T48,0))))</f>
        <v>0.6160000000000001</v>
      </c>
      <c r="L66" s="100">
        <f>SUM(B66:K66)</f>
        <v>10.925200000000002</v>
      </c>
    </row>
    <row r="67" spans="1:15" ht="45" thickBot="1" x14ac:dyDescent="0.35">
      <c r="A67" s="247" t="s">
        <v>252</v>
      </c>
      <c r="B67" s="250" t="str">
        <f>K4&amp;" (Table Column K)"</f>
        <v>165 mph Tube WL Moment (kip-ft) (Table Column K)</v>
      </c>
      <c r="C67" s="241"/>
      <c r="D67" s="241"/>
      <c r="E67" s="241"/>
      <c r="F67" s="241"/>
      <c r="G67" s="241"/>
      <c r="H67" s="241"/>
      <c r="I67" s="251"/>
      <c r="J67" s="252"/>
      <c r="K67" s="253"/>
      <c r="L67" s="103">
        <f>VLOOKUP(Dimensions!C38,'CFI&amp;Designation'!A5:L60,11)</f>
        <v>52.822366507568574</v>
      </c>
    </row>
    <row r="68" spans="1:15" ht="45" thickBot="1" x14ac:dyDescent="0.35">
      <c r="A68" s="248" t="s">
        <v>253</v>
      </c>
      <c r="B68" s="254" t="str">
        <f>"1.1 * "&amp;H4&amp;"( Table Column H)"</f>
        <v>1.1 * Tube DL Moment 
(kip-ft)( Table Column H)</v>
      </c>
      <c r="C68" s="249"/>
      <c r="D68" s="249"/>
      <c r="E68" s="249"/>
      <c r="F68" s="249"/>
      <c r="G68" s="249"/>
      <c r="H68" s="249"/>
      <c r="I68" s="249"/>
      <c r="J68" s="249"/>
      <c r="K68" s="255"/>
      <c r="L68" s="103">
        <f>1.1*VLOOKUP(Dimensions!C38,'CFI&amp;Designation'!A5:L60,8)</f>
        <v>39.372300000000003</v>
      </c>
    </row>
    <row r="69" spans="1:15" ht="15" thickBot="1" x14ac:dyDescent="0.35">
      <c r="B69" s="104"/>
      <c r="C69" s="104"/>
      <c r="D69" s="104"/>
      <c r="E69" s="104"/>
      <c r="F69" s="104"/>
      <c r="G69" s="104"/>
      <c r="I69" s="275"/>
      <c r="J69" s="122"/>
      <c r="K69" s="122"/>
      <c r="L69" s="276" t="s">
        <v>235</v>
      </c>
      <c r="M69" s="274">
        <f>((L65+L67)^2+(L66+L68)^2)^0.5</f>
        <v>217.16720147076541</v>
      </c>
      <c r="O69" s="102"/>
    </row>
    <row r="70" spans="1:15" ht="15" thickBot="1" x14ac:dyDescent="0.35">
      <c r="B70" s="104"/>
      <c r="C70" s="104"/>
      <c r="D70" s="104"/>
      <c r="E70" s="104"/>
      <c r="F70" s="104"/>
      <c r="G70" s="104"/>
      <c r="H70" s="105"/>
      <c r="I70" s="277"/>
      <c r="J70" s="278"/>
      <c r="K70" s="278"/>
      <c r="L70" s="279" t="s">
        <v>262</v>
      </c>
      <c r="M70" s="221">
        <f>L39</f>
        <v>216</v>
      </c>
      <c r="O70" s="102"/>
    </row>
    <row r="71" spans="1:15" ht="18" customHeight="1" thickBot="1" x14ac:dyDescent="0.35">
      <c r="A71" s="449" t="s">
        <v>257</v>
      </c>
      <c r="B71" s="450"/>
      <c r="C71" s="461" t="str">
        <f>ArmEvaluation!E24</f>
        <v>A50</v>
      </c>
      <c r="D71" s="462"/>
      <c r="I71" s="104"/>
      <c r="J71" s="104"/>
      <c r="K71" s="104"/>
    </row>
    <row r="72" spans="1:15" ht="15" thickBot="1" x14ac:dyDescent="0.35">
      <c r="A72" s="445" t="s">
        <v>24</v>
      </c>
      <c r="B72" s="446"/>
      <c r="C72" s="437">
        <f>ArmEvaluation!E25</f>
        <v>50</v>
      </c>
      <c r="D72" s="438"/>
      <c r="I72" s="104"/>
      <c r="J72" s="104"/>
      <c r="K72" s="104"/>
      <c r="L72" s="104"/>
    </row>
    <row r="73" spans="1:15" ht="15" thickBot="1" x14ac:dyDescent="0.35">
      <c r="A73" s="441" t="s">
        <v>256</v>
      </c>
      <c r="B73" s="442"/>
      <c r="C73" s="447">
        <v>1.1000000000000001</v>
      </c>
      <c r="D73" s="448"/>
      <c r="I73" s="104"/>
      <c r="J73" s="104"/>
      <c r="K73" s="104"/>
      <c r="L73" s="104"/>
    </row>
    <row r="74" spans="1:15" ht="15" thickBot="1" x14ac:dyDescent="0.35">
      <c r="A74" s="443" t="s">
        <v>255</v>
      </c>
      <c r="B74" s="444"/>
      <c r="C74" s="439">
        <f>ArmEvaluation!J29/ArmEvaluation!E29</f>
        <v>1.0054316391694464</v>
      </c>
      <c r="D74" s="440"/>
      <c r="I74" s="104"/>
      <c r="J74" s="104"/>
      <c r="K74" s="104"/>
      <c r="L74" s="104"/>
    </row>
    <row r="75" spans="1:15" x14ac:dyDescent="0.3">
      <c r="B75" s="104"/>
      <c r="C75" s="104"/>
      <c r="D75" s="104"/>
      <c r="E75" s="104"/>
      <c r="F75" s="104"/>
      <c r="G75" s="104"/>
      <c r="H75" s="104"/>
      <c r="J75" s="104"/>
      <c r="K75" s="104"/>
    </row>
    <row r="76" spans="1:15" x14ac:dyDescent="0.3">
      <c r="A76" s="106" t="s">
        <v>236</v>
      </c>
      <c r="I76" s="104"/>
    </row>
    <row r="77" spans="1:15" ht="15" thickBot="1" x14ac:dyDescent="0.35">
      <c r="A77" s="106"/>
      <c r="I77" s="104"/>
    </row>
    <row r="78" spans="1:15" ht="15" thickBot="1" x14ac:dyDescent="0.35">
      <c r="B78" s="432" t="s">
        <v>282</v>
      </c>
      <c r="C78" s="433"/>
      <c r="D78" s="433"/>
      <c r="E78" s="433"/>
      <c r="F78" s="433"/>
      <c r="G78" s="433"/>
      <c r="H78" s="434"/>
      <c r="I78" s="104"/>
    </row>
    <row r="79" spans="1:15" ht="15" thickBot="1" x14ac:dyDescent="0.35">
      <c r="B79" s="432" t="s">
        <v>281</v>
      </c>
      <c r="C79" s="433"/>
      <c r="D79" s="433"/>
      <c r="E79" s="434"/>
      <c r="F79" s="429" t="s">
        <v>283</v>
      </c>
      <c r="G79" s="430"/>
      <c r="H79" s="431"/>
      <c r="I79" s="435" t="s">
        <v>284</v>
      </c>
      <c r="J79" s="436"/>
      <c r="K79" s="331">
        <f>ArmEvaluation!C5</f>
        <v>165</v>
      </c>
    </row>
    <row r="80" spans="1:15" ht="16.2" thickBot="1" x14ac:dyDescent="0.35">
      <c r="A80" s="107"/>
      <c r="B80" s="319">
        <v>110</v>
      </c>
      <c r="C80" s="320">
        <v>130</v>
      </c>
      <c r="D80" s="320">
        <v>150</v>
      </c>
      <c r="E80" s="321">
        <v>170</v>
      </c>
      <c r="F80" s="306" t="s">
        <v>280</v>
      </c>
      <c r="G80" s="307" t="s">
        <v>279</v>
      </c>
      <c r="H80" s="308" t="s">
        <v>278</v>
      </c>
      <c r="I80" s="330" t="s">
        <v>285</v>
      </c>
      <c r="J80" s="104"/>
      <c r="K80" s="104"/>
    </row>
    <row r="81" spans="1:14" ht="15" thickBot="1" x14ac:dyDescent="0.35">
      <c r="A81" s="309" t="s">
        <v>119</v>
      </c>
      <c r="B81" s="322">
        <v>7.6669999999999998</v>
      </c>
      <c r="C81" s="323">
        <v>9.67</v>
      </c>
      <c r="D81" s="323">
        <v>12.164</v>
      </c>
      <c r="E81" s="324">
        <v>15.343</v>
      </c>
      <c r="F81" s="317">
        <v>1.5E-5</v>
      </c>
      <c r="G81" s="316">
        <v>2.632409</v>
      </c>
      <c r="H81" s="318">
        <v>4.1040409999999996</v>
      </c>
      <c r="I81" s="329">
        <f t="shared" ref="I81:I112" si="22">F81*($K$79^G81)+H81</f>
        <v>14.417775588243707</v>
      </c>
      <c r="J81" s="104"/>
      <c r="K81" s="338" t="s">
        <v>288</v>
      </c>
    </row>
    <row r="82" spans="1:14" x14ac:dyDescent="0.3">
      <c r="A82" s="310" t="s">
        <v>121</v>
      </c>
      <c r="B82" s="325">
        <v>8.3209999999999997</v>
      </c>
      <c r="C82" s="101">
        <v>10.829000000000001</v>
      </c>
      <c r="D82" s="101">
        <v>14.122999999999999</v>
      </c>
      <c r="E82" s="223">
        <v>18.14</v>
      </c>
      <c r="F82" s="312">
        <v>2.0999999999999999E-5</v>
      </c>
      <c r="G82" s="304">
        <v>2.6209959999999999</v>
      </c>
      <c r="H82" s="314">
        <v>3.6968350000000001</v>
      </c>
      <c r="I82" s="329">
        <f t="shared" si="22"/>
        <v>17.318677125361436</v>
      </c>
      <c r="K82" s="337">
        <f>VLOOKUP(ArmEvaluation!E24,A81:H135,6)</f>
        <v>1.8799999999999999E-4</v>
      </c>
    </row>
    <row r="83" spans="1:14" x14ac:dyDescent="0.3">
      <c r="A83" s="310" t="s">
        <v>122</v>
      </c>
      <c r="B83" s="325">
        <v>14.827</v>
      </c>
      <c r="C83" s="101">
        <v>19.385999999999999</v>
      </c>
      <c r="D83" s="101">
        <v>25.155000000000001</v>
      </c>
      <c r="E83" s="223">
        <v>32.253999999999998</v>
      </c>
      <c r="F83" s="312">
        <v>5.5999999999999999E-5</v>
      </c>
      <c r="G83" s="304">
        <v>2.5424169999999999</v>
      </c>
      <c r="H83" s="314">
        <v>6.2214390000000002</v>
      </c>
      <c r="I83" s="329">
        <f t="shared" si="22"/>
        <v>30.541065680913547</v>
      </c>
      <c r="K83" s="335">
        <f>VLOOKUP(ArmEvaluation!E24,A81:H135,7)</f>
        <v>2.422031</v>
      </c>
    </row>
    <row r="84" spans="1:14" ht="15" thickBot="1" x14ac:dyDescent="0.35">
      <c r="A84" s="310" t="s">
        <v>123</v>
      </c>
      <c r="B84" s="325">
        <v>15.864000000000001</v>
      </c>
      <c r="C84" s="101">
        <v>21.292000000000002</v>
      </c>
      <c r="D84" s="101">
        <v>28.241</v>
      </c>
      <c r="E84" s="223">
        <v>36.274000000000001</v>
      </c>
      <c r="F84" s="312">
        <v>1.9699999999999999E-4</v>
      </c>
      <c r="G84" s="304">
        <v>2.3364829999999999</v>
      </c>
      <c r="H84" s="314">
        <v>4.2446729999999997</v>
      </c>
      <c r="I84" s="329">
        <f t="shared" si="22"/>
        <v>34.138379385734929</v>
      </c>
      <c r="K84" s="336">
        <f>VLOOKUP(ArmEvaluation!E24,A81:H135,8)</f>
        <v>8.6680969999999995</v>
      </c>
    </row>
    <row r="85" spans="1:14" ht="15" thickBot="1" x14ac:dyDescent="0.35">
      <c r="A85" s="310" t="s">
        <v>124</v>
      </c>
      <c r="B85" s="325">
        <v>25.204999999999998</v>
      </c>
      <c r="C85" s="101">
        <v>33.429000000000002</v>
      </c>
      <c r="D85" s="101">
        <v>43.720999999999997</v>
      </c>
      <c r="E85" s="223">
        <v>56.110999999999997</v>
      </c>
      <c r="F85" s="312">
        <v>1.8799999999999999E-4</v>
      </c>
      <c r="G85" s="304">
        <v>2.422031</v>
      </c>
      <c r="H85" s="314">
        <v>8.6680969999999995</v>
      </c>
      <c r="I85" s="329">
        <f t="shared" si="22"/>
        <v>52.822366507568574</v>
      </c>
      <c r="J85" s="104"/>
      <c r="K85" s="104"/>
    </row>
    <row r="86" spans="1:14" ht="15" thickBot="1" x14ac:dyDescent="0.35">
      <c r="A86" s="310" t="s">
        <v>125</v>
      </c>
      <c r="B86" s="325">
        <v>27.216000000000001</v>
      </c>
      <c r="C86" s="101">
        <v>36.895000000000003</v>
      </c>
      <c r="D86" s="101">
        <v>49.029000000000003</v>
      </c>
      <c r="E86" s="223">
        <v>62.975000000000001</v>
      </c>
      <c r="F86" s="312">
        <v>5.5000000000000003E-4</v>
      </c>
      <c r="G86" s="304">
        <v>2.2497889999999998</v>
      </c>
      <c r="H86" s="314">
        <v>5.6266619999999996</v>
      </c>
      <c r="I86" s="329">
        <f t="shared" si="22"/>
        <v>59.235164382900933</v>
      </c>
      <c r="J86" s="104"/>
      <c r="K86" s="345" t="s">
        <v>286</v>
      </c>
      <c r="L86" s="346" t="s">
        <v>287</v>
      </c>
      <c r="M86" s="104"/>
    </row>
    <row r="87" spans="1:14" x14ac:dyDescent="0.3">
      <c r="A87" s="310" t="s">
        <v>108</v>
      </c>
      <c r="B87" s="325">
        <v>36.438000000000002</v>
      </c>
      <c r="C87" s="101">
        <v>48.363999999999997</v>
      </c>
      <c r="D87" s="101">
        <v>63.033999999999999</v>
      </c>
      <c r="E87" s="223">
        <v>80.673000000000002</v>
      </c>
      <c r="F87" s="312">
        <v>3.6900000000000002E-4</v>
      </c>
      <c r="G87" s="304">
        <v>2.3632810000000002</v>
      </c>
      <c r="H87" s="314">
        <v>11.839460000000001</v>
      </c>
      <c r="I87" s="329">
        <f t="shared" si="22"/>
        <v>76.043748760098836</v>
      </c>
      <c r="J87" s="104"/>
      <c r="K87" s="343">
        <v>100</v>
      </c>
      <c r="L87" s="344">
        <f>$K$82*K87^$K$83+$K$84</f>
        <v>21.796740311612666</v>
      </c>
    </row>
    <row r="88" spans="1:14" x14ac:dyDescent="0.3">
      <c r="A88" s="310" t="s">
        <v>127</v>
      </c>
      <c r="B88" s="325">
        <v>39.493000000000002</v>
      </c>
      <c r="C88" s="101">
        <v>53.451000000000001</v>
      </c>
      <c r="D88" s="101">
        <v>70.790999999999997</v>
      </c>
      <c r="E88" s="223">
        <v>90.927000000000007</v>
      </c>
      <c r="F88" s="312">
        <v>7.4700000000000005E-4</v>
      </c>
      <c r="G88" s="304">
        <v>2.2605240000000002</v>
      </c>
      <c r="H88" s="314">
        <v>8.7093740000000004</v>
      </c>
      <c r="I88" s="329">
        <f t="shared" si="22"/>
        <v>85.621758750210063</v>
      </c>
      <c r="J88" s="104"/>
      <c r="K88" s="339">
        <f>K87+5</f>
        <v>105</v>
      </c>
      <c r="L88" s="340">
        <f t="shared" ref="L88:L103" si="23">$K$82*K88^$K$83+$K$84</f>
        <v>23.443556249979778</v>
      </c>
      <c r="N88" s="104"/>
    </row>
    <row r="89" spans="1:14" x14ac:dyDescent="0.3">
      <c r="A89" s="310" t="s">
        <v>128</v>
      </c>
      <c r="B89" s="325">
        <v>53.335999999999999</v>
      </c>
      <c r="C89" s="101">
        <v>72.082999999999998</v>
      </c>
      <c r="D89" s="101">
        <v>95.096999999999994</v>
      </c>
      <c r="E89" s="223">
        <v>122.14700000000001</v>
      </c>
      <c r="F89" s="312">
        <v>9.5200000000000005E-4</v>
      </c>
      <c r="G89" s="304">
        <v>2.2692990000000002</v>
      </c>
      <c r="H89" s="314">
        <v>12.465327</v>
      </c>
      <c r="I89" s="329">
        <f t="shared" si="22"/>
        <v>114.97646281800418</v>
      </c>
      <c r="K89" s="339">
        <f t="shared" ref="K89:K103" si="24">K88+5</f>
        <v>110</v>
      </c>
      <c r="L89" s="340">
        <f t="shared" si="23"/>
        <v>25.205762975568184</v>
      </c>
    </row>
    <row r="90" spans="1:14" x14ac:dyDescent="0.3">
      <c r="A90" s="310" t="s">
        <v>129</v>
      </c>
      <c r="B90" s="325">
        <v>56.997</v>
      </c>
      <c r="C90" s="101">
        <v>78.231999999999999</v>
      </c>
      <c r="D90" s="101">
        <v>104.117</v>
      </c>
      <c r="E90" s="223">
        <v>133.732</v>
      </c>
      <c r="F90" s="312">
        <v>2.0839999999999999E-3</v>
      </c>
      <c r="G90" s="304">
        <v>2.1446429999999999</v>
      </c>
      <c r="H90" s="314">
        <v>7.1658309999999998</v>
      </c>
      <c r="I90" s="329">
        <f t="shared" si="22"/>
        <v>125.90913617971972</v>
      </c>
      <c r="K90" s="339">
        <f t="shared" si="24"/>
        <v>115</v>
      </c>
      <c r="L90" s="340">
        <f t="shared" si="23"/>
        <v>27.085648810021933</v>
      </c>
    </row>
    <row r="91" spans="1:14" x14ac:dyDescent="0.3">
      <c r="A91" s="310" t="s">
        <v>130</v>
      </c>
      <c r="B91" s="325">
        <v>67.182000000000002</v>
      </c>
      <c r="C91" s="101">
        <v>90.994</v>
      </c>
      <c r="D91" s="101">
        <v>119.999</v>
      </c>
      <c r="E91" s="223">
        <v>154.13200000000001</v>
      </c>
      <c r="F91" s="312">
        <v>1.34E-3</v>
      </c>
      <c r="G91" s="304">
        <v>2.249317</v>
      </c>
      <c r="H91" s="314">
        <v>14.843999999999999</v>
      </c>
      <c r="I91" s="329">
        <f t="shared" si="22"/>
        <v>145.13941435038058</v>
      </c>
      <c r="K91" s="339">
        <f t="shared" si="24"/>
        <v>120</v>
      </c>
      <c r="L91" s="340">
        <f t="shared" si="23"/>
        <v>29.085442682617504</v>
      </c>
    </row>
    <row r="92" spans="1:14" x14ac:dyDescent="0.3">
      <c r="A92" s="310" t="s">
        <v>131</v>
      </c>
      <c r="B92" s="325">
        <v>76.757000000000005</v>
      </c>
      <c r="C92" s="101">
        <v>106.711</v>
      </c>
      <c r="D92" s="101">
        <v>142.07</v>
      </c>
      <c r="E92" s="223">
        <v>182.48099999999999</v>
      </c>
      <c r="F92" s="312">
        <v>5.117E-3</v>
      </c>
      <c r="G92" s="304">
        <v>2.0380479999999999</v>
      </c>
      <c r="H92" s="314">
        <v>2.6895099999999998</v>
      </c>
      <c r="I92" s="329">
        <f t="shared" si="22"/>
        <v>171.87150213280341</v>
      </c>
      <c r="K92" s="339">
        <f t="shared" si="24"/>
        <v>125</v>
      </c>
      <c r="L92" s="340">
        <f t="shared" si="23"/>
        <v>31.207318160121961</v>
      </c>
    </row>
    <row r="93" spans="1:14" x14ac:dyDescent="0.3">
      <c r="A93" s="310" t="s">
        <v>153</v>
      </c>
      <c r="B93" s="325">
        <v>13.105</v>
      </c>
      <c r="C93" s="101">
        <v>17.806000000000001</v>
      </c>
      <c r="D93" s="101">
        <v>23.707000000000001</v>
      </c>
      <c r="E93" s="223">
        <v>30.45</v>
      </c>
      <c r="F93" s="312">
        <v>2.9399999999999999E-4</v>
      </c>
      <c r="G93" s="304">
        <v>2.2319390000000001</v>
      </c>
      <c r="H93" s="314">
        <v>2.4968620000000001</v>
      </c>
      <c r="I93" s="329">
        <f t="shared" si="22"/>
        <v>28.656770907313327</v>
      </c>
      <c r="K93" s="339">
        <f t="shared" si="24"/>
        <v>130</v>
      </c>
      <c r="L93" s="340">
        <f t="shared" si="23"/>
        <v>33.453397048146869</v>
      </c>
    </row>
    <row r="94" spans="1:14" x14ac:dyDescent="0.3">
      <c r="A94" s="310" t="s">
        <v>154</v>
      </c>
      <c r="B94" s="325">
        <v>13.105</v>
      </c>
      <c r="C94" s="101">
        <v>17.806000000000001</v>
      </c>
      <c r="D94" s="101">
        <v>23.707000000000001</v>
      </c>
      <c r="E94" s="223">
        <v>30.45</v>
      </c>
      <c r="F94" s="312">
        <v>2.9399999999999999E-4</v>
      </c>
      <c r="G94" s="304">
        <v>2.2319390000000001</v>
      </c>
      <c r="H94" s="314">
        <v>2.4968620000000001</v>
      </c>
      <c r="I94" s="329">
        <f t="shared" si="22"/>
        <v>28.656770907313327</v>
      </c>
      <c r="K94" s="339">
        <f t="shared" si="24"/>
        <v>135</v>
      </c>
      <c r="L94" s="340">
        <f t="shared" si="23"/>
        <v>35.825752624759247</v>
      </c>
    </row>
    <row r="95" spans="1:14" x14ac:dyDescent="0.3">
      <c r="A95" s="310" t="s">
        <v>155</v>
      </c>
      <c r="B95" s="325">
        <v>23.533999999999999</v>
      </c>
      <c r="C95" s="101">
        <v>32.145000000000003</v>
      </c>
      <c r="D95" s="101">
        <v>42.795999999999999</v>
      </c>
      <c r="E95" s="223">
        <v>54.97</v>
      </c>
      <c r="F95" s="312">
        <v>6.7900000000000002E-4</v>
      </c>
      <c r="G95" s="304">
        <v>2.1869670000000001</v>
      </c>
      <c r="H95" s="314">
        <v>3.707694</v>
      </c>
      <c r="I95" s="329">
        <f t="shared" si="22"/>
        <v>51.72900179550841</v>
      </c>
      <c r="K95" s="339">
        <f t="shared" si="24"/>
        <v>140</v>
      </c>
      <c r="L95" s="340">
        <f t="shared" si="23"/>
        <v>38.326412556500358</v>
      </c>
    </row>
    <row r="96" spans="1:14" x14ac:dyDescent="0.3">
      <c r="A96" s="310" t="s">
        <v>156</v>
      </c>
      <c r="B96" s="325">
        <v>23.533999999999999</v>
      </c>
      <c r="C96" s="101">
        <v>32.145000000000003</v>
      </c>
      <c r="D96" s="101">
        <v>42.795999999999999</v>
      </c>
      <c r="E96" s="223">
        <v>54.97</v>
      </c>
      <c r="F96" s="312">
        <v>6.7900000000000002E-4</v>
      </c>
      <c r="G96" s="304">
        <v>2.1869670000000001</v>
      </c>
      <c r="H96" s="314">
        <v>3.707694</v>
      </c>
      <c r="I96" s="329">
        <f t="shared" si="22"/>
        <v>51.72900179550841</v>
      </c>
      <c r="K96" s="339">
        <f t="shared" si="24"/>
        <v>145</v>
      </c>
      <c r="L96" s="340">
        <f t="shared" si="23"/>
        <v>40.957361538533618</v>
      </c>
    </row>
    <row r="97" spans="1:12" x14ac:dyDescent="0.3">
      <c r="A97" s="310" t="s">
        <v>133</v>
      </c>
      <c r="B97" s="325">
        <v>39.273000000000003</v>
      </c>
      <c r="C97" s="101">
        <v>53.021000000000001</v>
      </c>
      <c r="D97" s="101">
        <v>70.114999999999995</v>
      </c>
      <c r="E97" s="223">
        <v>90.058999999999997</v>
      </c>
      <c r="F97" s="312">
        <v>6.5899999999999997E-4</v>
      </c>
      <c r="G97" s="304">
        <v>2.2811729999999999</v>
      </c>
      <c r="H97" s="314">
        <v>9.3168659999999992</v>
      </c>
      <c r="I97" s="329">
        <f t="shared" si="22"/>
        <v>84.713145558604594</v>
      </c>
      <c r="K97" s="339">
        <f t="shared" si="24"/>
        <v>150</v>
      </c>
      <c r="L97" s="340">
        <f t="shared" si="23"/>
        <v>43.72054369387314</v>
      </c>
    </row>
    <row r="98" spans="1:12" x14ac:dyDescent="0.3">
      <c r="A98" s="310" t="s">
        <v>134</v>
      </c>
      <c r="B98" s="325">
        <v>61.256</v>
      </c>
      <c r="C98" s="101">
        <v>85.043000000000006</v>
      </c>
      <c r="D98" s="101">
        <v>113.22199999999999</v>
      </c>
      <c r="E98" s="223">
        <v>145.428</v>
      </c>
      <c r="F98" s="312">
        <v>3.8270000000000001E-3</v>
      </c>
      <c r="G98" s="304">
        <v>2.0495739999999998</v>
      </c>
      <c r="H98" s="314">
        <v>2.775811</v>
      </c>
      <c r="I98" s="329">
        <f t="shared" si="22"/>
        <v>136.97685664325584</v>
      </c>
      <c r="K98" s="339">
        <f t="shared" si="24"/>
        <v>155</v>
      </c>
      <c r="L98" s="340">
        <f t="shared" si="23"/>
        <v>46.61786476117247</v>
      </c>
    </row>
    <row r="99" spans="1:12" x14ac:dyDescent="0.3">
      <c r="A99" s="310" t="s">
        <v>135</v>
      </c>
      <c r="B99" s="325">
        <v>71.483999999999995</v>
      </c>
      <c r="C99" s="101">
        <v>97.995999999999995</v>
      </c>
      <c r="D99" s="101">
        <v>130.274</v>
      </c>
      <c r="E99" s="223">
        <v>167.33</v>
      </c>
      <c r="F99" s="312">
        <v>2.4789999999999999E-3</v>
      </c>
      <c r="G99" s="304">
        <v>2.1536810000000002</v>
      </c>
      <c r="H99" s="314">
        <v>9.6618480000000009</v>
      </c>
      <c r="I99" s="329">
        <f t="shared" si="22"/>
        <v>157.58275640431901</v>
      </c>
      <c r="K99" s="339">
        <f t="shared" si="24"/>
        <v>160</v>
      </c>
      <c r="L99" s="340">
        <f t="shared" si="23"/>
        <v>49.651194096088489</v>
      </c>
    </row>
    <row r="100" spans="1:12" x14ac:dyDescent="0.3">
      <c r="A100" s="310" t="s">
        <v>239</v>
      </c>
      <c r="B100" s="325">
        <v>10.638999999999999</v>
      </c>
      <c r="C100" s="101">
        <v>13.275</v>
      </c>
      <c r="D100" s="101">
        <v>16.422000000000001</v>
      </c>
      <c r="E100" s="223">
        <v>20.273</v>
      </c>
      <c r="F100" s="312">
        <v>9.2E-5</v>
      </c>
      <c r="G100" s="304">
        <v>2.3367079999999998</v>
      </c>
      <c r="H100" s="314">
        <v>5.2007339999999997</v>
      </c>
      <c r="I100" s="329">
        <f t="shared" si="22"/>
        <v>19.177294206766902</v>
      </c>
      <c r="K100" s="339">
        <f t="shared" si="24"/>
        <v>165</v>
      </c>
      <c r="L100" s="340">
        <f t="shared" si="23"/>
        <v>52.822366507568574</v>
      </c>
    </row>
    <row r="101" spans="1:12" x14ac:dyDescent="0.3">
      <c r="A101" s="310" t="s">
        <v>240</v>
      </c>
      <c r="B101" s="325">
        <v>10.638999999999999</v>
      </c>
      <c r="C101" s="101">
        <v>13.275</v>
      </c>
      <c r="D101" s="101">
        <v>16.422000000000001</v>
      </c>
      <c r="E101" s="223">
        <v>20.273</v>
      </c>
      <c r="F101" s="312">
        <v>9.2E-5</v>
      </c>
      <c r="G101" s="304">
        <v>2.3367079999999998</v>
      </c>
      <c r="H101" s="314">
        <v>5.2007339999999997</v>
      </c>
      <c r="I101" s="329">
        <f t="shared" si="22"/>
        <v>19.177294206766902</v>
      </c>
      <c r="K101" s="339">
        <f t="shared" si="24"/>
        <v>170</v>
      </c>
      <c r="L101" s="340">
        <f t="shared" si="23"/>
        <v>56.133183947377844</v>
      </c>
    </row>
    <row r="102" spans="1:12" x14ac:dyDescent="0.3">
      <c r="A102" s="310" t="s">
        <v>242</v>
      </c>
      <c r="B102" s="325">
        <v>10.452999999999999</v>
      </c>
      <c r="C102" s="101">
        <v>12.952999999999999</v>
      </c>
      <c r="D102" s="101">
        <v>15.95</v>
      </c>
      <c r="E102" s="223">
        <v>19.64</v>
      </c>
      <c r="F102" s="312">
        <v>7.2000000000000002E-5</v>
      </c>
      <c r="G102" s="304">
        <v>2.3740700000000001</v>
      </c>
      <c r="H102" s="314">
        <v>5.3981019999999997</v>
      </c>
      <c r="I102" s="329">
        <f t="shared" si="22"/>
        <v>18.635255464622233</v>
      </c>
      <c r="K102" s="339">
        <f t="shared" si="24"/>
        <v>175</v>
      </c>
      <c r="L102" s="340">
        <f t="shared" si="23"/>
        <v>59.585417068659524</v>
      </c>
    </row>
    <row r="103" spans="1:12" ht="15" thickBot="1" x14ac:dyDescent="0.35">
      <c r="A103" s="310" t="s">
        <v>243</v>
      </c>
      <c r="B103" s="325">
        <v>10.452999999999999</v>
      </c>
      <c r="C103" s="101">
        <v>12.952999999999999</v>
      </c>
      <c r="D103" s="101">
        <v>15.95</v>
      </c>
      <c r="E103" s="223">
        <v>19.64</v>
      </c>
      <c r="F103" s="312">
        <v>7.2000000000000002E-5</v>
      </c>
      <c r="G103" s="304">
        <v>2.3740700000000001</v>
      </c>
      <c r="H103" s="314">
        <v>5.3981019999999997</v>
      </c>
      <c r="I103" s="329">
        <f t="shared" si="22"/>
        <v>18.635255464622233</v>
      </c>
      <c r="K103" s="341">
        <f t="shared" si="24"/>
        <v>180</v>
      </c>
      <c r="L103" s="342">
        <f t="shared" si="23"/>
        <v>63.18080666721248</v>
      </c>
    </row>
    <row r="104" spans="1:12" x14ac:dyDescent="0.3">
      <c r="A104" s="310" t="s">
        <v>157</v>
      </c>
      <c r="B104" s="325">
        <v>20.497</v>
      </c>
      <c r="C104" s="101">
        <v>26.773</v>
      </c>
      <c r="D104" s="101">
        <v>34.588999999999999</v>
      </c>
      <c r="E104" s="223">
        <v>44.174999999999997</v>
      </c>
      <c r="F104" s="312">
        <v>1.06E-4</v>
      </c>
      <c r="G104" s="304">
        <v>2.4795919999999998</v>
      </c>
      <c r="H104" s="314">
        <v>8.3231280000000005</v>
      </c>
      <c r="I104" s="329">
        <f t="shared" si="22"/>
        <v>41.724269821403396</v>
      </c>
    </row>
    <row r="105" spans="1:12" x14ac:dyDescent="0.3">
      <c r="A105" s="310" t="s">
        <v>158</v>
      </c>
      <c r="B105" s="325">
        <v>20.497</v>
      </c>
      <c r="C105" s="101">
        <v>26.773</v>
      </c>
      <c r="D105" s="101">
        <v>34.588999999999999</v>
      </c>
      <c r="E105" s="223">
        <v>44.174999999999997</v>
      </c>
      <c r="F105" s="312">
        <v>1.06E-4</v>
      </c>
      <c r="G105" s="304">
        <v>2.4795919999999998</v>
      </c>
      <c r="H105" s="314">
        <v>8.3231280000000005</v>
      </c>
      <c r="I105" s="329">
        <f t="shared" si="22"/>
        <v>41.724269821403396</v>
      </c>
    </row>
    <row r="106" spans="1:12" x14ac:dyDescent="0.3">
      <c r="A106" s="310" t="s">
        <v>137</v>
      </c>
      <c r="B106" s="325">
        <v>33.578000000000003</v>
      </c>
      <c r="C106" s="101">
        <v>43.503999999999998</v>
      </c>
      <c r="D106" s="101">
        <v>55.545999999999999</v>
      </c>
      <c r="E106" s="223">
        <v>69.947000000000003</v>
      </c>
      <c r="F106" s="312">
        <v>4.2900000000000002E-4</v>
      </c>
      <c r="G106" s="304">
        <v>2.298492</v>
      </c>
      <c r="H106" s="314">
        <v>12.448259999999999</v>
      </c>
      <c r="I106" s="329">
        <f t="shared" si="22"/>
        <v>66.068209187171647</v>
      </c>
    </row>
    <row r="107" spans="1:12" x14ac:dyDescent="0.3">
      <c r="A107" s="310" t="s">
        <v>138</v>
      </c>
      <c r="B107" s="325">
        <v>49.66</v>
      </c>
      <c r="C107" s="101">
        <v>65.864999999999995</v>
      </c>
      <c r="D107" s="101">
        <v>85.522000000000006</v>
      </c>
      <c r="E107" s="223">
        <v>108.89700000000001</v>
      </c>
      <c r="F107" s="312">
        <v>7.8899999999999999E-4</v>
      </c>
      <c r="G107" s="304">
        <v>2.2762090000000001</v>
      </c>
      <c r="H107" s="314">
        <v>14.69717</v>
      </c>
      <c r="I107" s="329">
        <f t="shared" si="22"/>
        <v>102.70755369782634</v>
      </c>
    </row>
    <row r="108" spans="1:12" x14ac:dyDescent="0.3">
      <c r="A108" s="310" t="s">
        <v>237</v>
      </c>
      <c r="B108" s="325">
        <v>67.076999999999998</v>
      </c>
      <c r="C108" s="101">
        <v>90.734999999999999</v>
      </c>
      <c r="D108" s="101">
        <v>119.491</v>
      </c>
      <c r="E108" s="223">
        <v>153.39400000000001</v>
      </c>
      <c r="F108" s="312">
        <v>1.3270000000000001E-3</v>
      </c>
      <c r="G108" s="304">
        <v>2.2496839999999998</v>
      </c>
      <c r="H108" s="314">
        <v>15.146519</v>
      </c>
      <c r="I108" s="329">
        <f t="shared" si="22"/>
        <v>144.41988957545081</v>
      </c>
    </row>
    <row r="109" spans="1:12" x14ac:dyDescent="0.3">
      <c r="A109" s="310" t="s">
        <v>238</v>
      </c>
      <c r="B109" s="325">
        <v>67.072000000000003</v>
      </c>
      <c r="C109" s="101">
        <v>90.727999999999994</v>
      </c>
      <c r="D109" s="101">
        <v>119.482</v>
      </c>
      <c r="E109" s="223">
        <v>153.38200000000001</v>
      </c>
      <c r="F109" s="312">
        <v>1.3270000000000001E-3</v>
      </c>
      <c r="G109" s="304">
        <v>2.2496589999999999</v>
      </c>
      <c r="H109" s="314">
        <v>15.144709000000001</v>
      </c>
      <c r="I109" s="329">
        <f t="shared" si="22"/>
        <v>144.40157905907267</v>
      </c>
    </row>
    <row r="110" spans="1:12" x14ac:dyDescent="0.3">
      <c r="A110" s="310" t="s">
        <v>159</v>
      </c>
      <c r="B110" s="325">
        <v>11.14</v>
      </c>
      <c r="C110" s="101">
        <v>14.176</v>
      </c>
      <c r="D110" s="101">
        <v>17.774999999999999</v>
      </c>
      <c r="E110" s="223">
        <v>22.113</v>
      </c>
      <c r="F110" s="312">
        <v>1.64E-4</v>
      </c>
      <c r="G110" s="304">
        <v>2.254912</v>
      </c>
      <c r="H110" s="314">
        <v>4.5820749999999997</v>
      </c>
      <c r="I110" s="329">
        <f t="shared" si="22"/>
        <v>20.990806313210076</v>
      </c>
    </row>
    <row r="111" spans="1:12" x14ac:dyDescent="0.3">
      <c r="A111" s="310" t="s">
        <v>160</v>
      </c>
      <c r="B111" s="325">
        <v>11.14</v>
      </c>
      <c r="C111" s="101">
        <v>14.176</v>
      </c>
      <c r="D111" s="101">
        <v>17.774999999999999</v>
      </c>
      <c r="E111" s="223">
        <v>22.113</v>
      </c>
      <c r="F111" s="312">
        <v>1.64E-4</v>
      </c>
      <c r="G111" s="304">
        <v>2.254912</v>
      </c>
      <c r="H111" s="314">
        <v>4.5820749999999997</v>
      </c>
      <c r="I111" s="329">
        <f t="shared" si="22"/>
        <v>20.990806313210076</v>
      </c>
    </row>
    <row r="112" spans="1:12" x14ac:dyDescent="0.3">
      <c r="A112" s="310" t="s">
        <v>161</v>
      </c>
      <c r="B112" s="325">
        <v>19.582999999999998</v>
      </c>
      <c r="C112" s="101">
        <v>25.204000000000001</v>
      </c>
      <c r="D112" s="101">
        <v>31.952999999999999</v>
      </c>
      <c r="E112" s="223">
        <v>40.012999999999998</v>
      </c>
      <c r="F112" s="312">
        <v>2.9700000000000001E-4</v>
      </c>
      <c r="G112" s="304">
        <v>2.2601360000000001</v>
      </c>
      <c r="H112" s="314">
        <v>7.4005830000000001</v>
      </c>
      <c r="I112" s="329">
        <f t="shared" si="22"/>
        <v>37.919684321980668</v>
      </c>
    </row>
    <row r="113" spans="1:9" x14ac:dyDescent="0.3">
      <c r="A113" s="310" t="s">
        <v>162</v>
      </c>
      <c r="B113" s="325">
        <v>19.582999999999998</v>
      </c>
      <c r="C113" s="101">
        <v>25.204000000000001</v>
      </c>
      <c r="D113" s="101">
        <v>31.952999999999999</v>
      </c>
      <c r="E113" s="223">
        <v>40.012999999999998</v>
      </c>
      <c r="F113" s="312">
        <v>2.9700000000000001E-4</v>
      </c>
      <c r="G113" s="304">
        <v>2.2601360000000001</v>
      </c>
      <c r="H113" s="314">
        <v>7.4005830000000001</v>
      </c>
      <c r="I113" s="329">
        <f t="shared" ref="I113:I135" si="25">F113*($K$79^G113)+H113</f>
        <v>37.919684321980668</v>
      </c>
    </row>
    <row r="114" spans="1:9" x14ac:dyDescent="0.3">
      <c r="A114" s="310" t="s">
        <v>139</v>
      </c>
      <c r="B114" s="325">
        <v>34.558999999999997</v>
      </c>
      <c r="C114" s="101">
        <v>45.198999999999998</v>
      </c>
      <c r="D114" s="101">
        <v>57.991</v>
      </c>
      <c r="E114" s="223">
        <v>73.156000000000006</v>
      </c>
      <c r="F114" s="312">
        <v>6.38E-4</v>
      </c>
      <c r="G114" s="304">
        <v>2.2360090000000001</v>
      </c>
      <c r="H114" s="314">
        <v>11.139218</v>
      </c>
      <c r="I114" s="329">
        <f t="shared" si="25"/>
        <v>69.100066603150907</v>
      </c>
    </row>
    <row r="115" spans="1:9" x14ac:dyDescent="0.3">
      <c r="A115" s="310" t="s">
        <v>140</v>
      </c>
      <c r="B115" s="325">
        <v>47.206000000000003</v>
      </c>
      <c r="C115" s="101">
        <v>61.902999999999999</v>
      </c>
      <c r="D115" s="101">
        <v>79.414000000000001</v>
      </c>
      <c r="E115" s="223">
        <v>99.959000000000003</v>
      </c>
      <c r="F115" s="312">
        <v>1.2650000000000001E-3</v>
      </c>
      <c r="G115" s="304">
        <v>2.1673469999999999</v>
      </c>
      <c r="H115" s="314">
        <v>13.600116999999999</v>
      </c>
      <c r="I115" s="329">
        <f t="shared" si="25"/>
        <v>94.537228203528159</v>
      </c>
    </row>
    <row r="116" spans="1:9" x14ac:dyDescent="0.3">
      <c r="A116" s="310" t="s">
        <v>244</v>
      </c>
      <c r="B116" s="325">
        <v>67.076999999999998</v>
      </c>
      <c r="C116" s="101">
        <v>90.734999999999999</v>
      </c>
      <c r="D116" s="101">
        <v>119.491</v>
      </c>
      <c r="E116" s="223">
        <v>153.39400000000001</v>
      </c>
      <c r="F116" s="312">
        <v>1.3270000000000001E-3</v>
      </c>
      <c r="G116" s="304">
        <v>2.2496839999999998</v>
      </c>
      <c r="H116" s="314">
        <v>15.146519</v>
      </c>
      <c r="I116" s="329">
        <f t="shared" si="25"/>
        <v>144.41988957545081</v>
      </c>
    </row>
    <row r="117" spans="1:9" x14ac:dyDescent="0.3">
      <c r="A117" s="310" t="s">
        <v>245</v>
      </c>
      <c r="B117" s="325">
        <v>62.634999999999998</v>
      </c>
      <c r="C117" s="101">
        <v>83.64</v>
      </c>
      <c r="D117" s="101">
        <v>108.9</v>
      </c>
      <c r="E117" s="223">
        <v>138.73400000000001</v>
      </c>
      <c r="F117" s="312">
        <v>1.3550000000000001E-3</v>
      </c>
      <c r="G117" s="304">
        <v>2.222464</v>
      </c>
      <c r="H117" s="314">
        <v>16.006684</v>
      </c>
      <c r="I117" s="329">
        <f t="shared" si="25"/>
        <v>130.87956990368141</v>
      </c>
    </row>
    <row r="118" spans="1:9" x14ac:dyDescent="0.3">
      <c r="A118" s="310" t="s">
        <v>163</v>
      </c>
      <c r="B118" s="325">
        <v>12.369</v>
      </c>
      <c r="C118" s="101">
        <v>16.335999999999999</v>
      </c>
      <c r="D118" s="101">
        <v>21.478999999999999</v>
      </c>
      <c r="E118" s="223">
        <v>27.588000000000001</v>
      </c>
      <c r="F118" s="312">
        <v>6.7999999999999999E-5</v>
      </c>
      <c r="G118" s="304">
        <v>2.4790540000000001</v>
      </c>
      <c r="H118" s="314">
        <v>4.502122</v>
      </c>
      <c r="I118" s="329">
        <f t="shared" si="25"/>
        <v>25.870490008405746</v>
      </c>
    </row>
    <row r="119" spans="1:9" x14ac:dyDescent="0.3">
      <c r="A119" s="310" t="s">
        <v>164</v>
      </c>
      <c r="B119" s="325">
        <v>12.369</v>
      </c>
      <c r="C119" s="101">
        <v>16.335999999999999</v>
      </c>
      <c r="D119" s="101">
        <v>21.478999999999999</v>
      </c>
      <c r="E119" s="223">
        <v>27.588000000000001</v>
      </c>
      <c r="F119" s="312">
        <v>6.7999999999999999E-5</v>
      </c>
      <c r="G119" s="304">
        <v>2.4790540000000001</v>
      </c>
      <c r="H119" s="314">
        <v>4.502122</v>
      </c>
      <c r="I119" s="329">
        <f t="shared" si="25"/>
        <v>25.870490008405746</v>
      </c>
    </row>
    <row r="120" spans="1:9" x14ac:dyDescent="0.3">
      <c r="A120" s="310" t="s">
        <v>165</v>
      </c>
      <c r="B120" s="325">
        <v>22.13</v>
      </c>
      <c r="C120" s="101">
        <v>29.536999999999999</v>
      </c>
      <c r="D120" s="101">
        <v>38.926000000000002</v>
      </c>
      <c r="E120" s="223">
        <v>49.999000000000002</v>
      </c>
      <c r="F120" s="312">
        <v>2.1000000000000001E-4</v>
      </c>
      <c r="G120" s="304">
        <v>2.3823509999999999</v>
      </c>
      <c r="H120" s="314">
        <v>6.7806870000000004</v>
      </c>
      <c r="I120" s="329">
        <f t="shared" si="25"/>
        <v>47.056506579726239</v>
      </c>
    </row>
    <row r="121" spans="1:9" x14ac:dyDescent="0.3">
      <c r="A121" s="310" t="s">
        <v>166</v>
      </c>
      <c r="B121" s="325">
        <v>22.13</v>
      </c>
      <c r="C121" s="101">
        <v>29.536999999999999</v>
      </c>
      <c r="D121" s="101">
        <v>38.926000000000002</v>
      </c>
      <c r="E121" s="223">
        <v>49.999000000000002</v>
      </c>
      <c r="F121" s="312">
        <v>2.1000000000000001E-4</v>
      </c>
      <c r="G121" s="304">
        <v>2.3823509999999999</v>
      </c>
      <c r="H121" s="314">
        <v>6.7806870000000004</v>
      </c>
      <c r="I121" s="329">
        <f t="shared" si="25"/>
        <v>47.056506579726239</v>
      </c>
    </row>
    <row r="122" spans="1:9" x14ac:dyDescent="0.3">
      <c r="A122" s="310" t="s">
        <v>142</v>
      </c>
      <c r="B122" s="325">
        <v>39.276000000000003</v>
      </c>
      <c r="C122" s="101">
        <v>53.024999999999999</v>
      </c>
      <c r="D122" s="101">
        <v>70.120999999999995</v>
      </c>
      <c r="E122" s="223">
        <v>90.066999999999993</v>
      </c>
      <c r="F122" s="312">
        <v>6.5899999999999997E-4</v>
      </c>
      <c r="G122" s="304">
        <v>2.2812480000000002</v>
      </c>
      <c r="H122" s="314">
        <v>9.318346</v>
      </c>
      <c r="I122" s="329">
        <f t="shared" si="25"/>
        <v>84.743503784578209</v>
      </c>
    </row>
    <row r="123" spans="1:9" x14ac:dyDescent="0.3">
      <c r="A123" s="310" t="s">
        <v>143</v>
      </c>
      <c r="B123" s="325">
        <v>61.26</v>
      </c>
      <c r="C123" s="101">
        <v>85.049000000000007</v>
      </c>
      <c r="D123" s="101">
        <v>113.23099999999999</v>
      </c>
      <c r="E123" s="223">
        <v>145.43899999999999</v>
      </c>
      <c r="F123" s="312">
        <v>3.8289999999999999E-3</v>
      </c>
      <c r="G123" s="304">
        <v>2.04948</v>
      </c>
      <c r="H123" s="314">
        <v>2.7706300000000001</v>
      </c>
      <c r="I123" s="329">
        <f t="shared" si="25"/>
        <v>136.97738027210573</v>
      </c>
    </row>
    <row r="124" spans="1:9" x14ac:dyDescent="0.3">
      <c r="A124" s="310" t="s">
        <v>144</v>
      </c>
      <c r="B124" s="325">
        <v>71.489999999999995</v>
      </c>
      <c r="C124" s="101">
        <v>98.003</v>
      </c>
      <c r="D124" s="101">
        <v>130.28399999999999</v>
      </c>
      <c r="E124" s="223">
        <v>167.34299999999999</v>
      </c>
      <c r="F124" s="312">
        <v>2.477E-3</v>
      </c>
      <c r="G124" s="304">
        <v>2.15381</v>
      </c>
      <c r="H124" s="314">
        <v>9.6688139999999994</v>
      </c>
      <c r="I124" s="329">
        <f t="shared" si="25"/>
        <v>157.56776730802943</v>
      </c>
    </row>
    <row r="125" spans="1:9" x14ac:dyDescent="0.3">
      <c r="A125" s="310" t="s">
        <v>170</v>
      </c>
      <c r="B125" s="325">
        <v>11.14</v>
      </c>
      <c r="C125" s="101">
        <v>14.176</v>
      </c>
      <c r="D125" s="101">
        <v>17.774999999999999</v>
      </c>
      <c r="E125" s="223">
        <v>22.113</v>
      </c>
      <c r="F125" s="312">
        <v>1.64E-4</v>
      </c>
      <c r="G125" s="304">
        <v>2.254912</v>
      </c>
      <c r="H125" s="314">
        <v>4.5820749999999997</v>
      </c>
      <c r="I125" s="329">
        <f t="shared" si="25"/>
        <v>20.990806313210076</v>
      </c>
    </row>
    <row r="126" spans="1:9" x14ac:dyDescent="0.3">
      <c r="A126" s="310" t="s">
        <v>167</v>
      </c>
      <c r="B126" s="325">
        <v>11.14</v>
      </c>
      <c r="C126" s="101">
        <v>14.176</v>
      </c>
      <c r="D126" s="101">
        <v>17.774999999999999</v>
      </c>
      <c r="E126" s="223">
        <v>22.113</v>
      </c>
      <c r="F126" s="312">
        <v>1.64E-4</v>
      </c>
      <c r="G126" s="304">
        <v>2.254912</v>
      </c>
      <c r="H126" s="314">
        <v>4.5820749999999997</v>
      </c>
      <c r="I126" s="329">
        <f t="shared" si="25"/>
        <v>20.990806313210076</v>
      </c>
    </row>
    <row r="127" spans="1:9" x14ac:dyDescent="0.3">
      <c r="A127" s="310" t="s">
        <v>169</v>
      </c>
      <c r="B127" s="325">
        <v>19.582999999999998</v>
      </c>
      <c r="C127" s="101">
        <v>25.204000000000001</v>
      </c>
      <c r="D127" s="101">
        <v>31.952999999999999</v>
      </c>
      <c r="E127" s="223">
        <v>40.012999999999998</v>
      </c>
      <c r="F127" s="312">
        <v>2.9700000000000001E-4</v>
      </c>
      <c r="G127" s="304">
        <v>2.2601360000000001</v>
      </c>
      <c r="H127" s="314">
        <v>7.4005830000000001</v>
      </c>
      <c r="I127" s="329">
        <f t="shared" si="25"/>
        <v>37.919684321980668</v>
      </c>
    </row>
    <row r="128" spans="1:9" x14ac:dyDescent="0.3">
      <c r="A128" s="310" t="s">
        <v>168</v>
      </c>
      <c r="B128" s="325">
        <v>19.582999999999998</v>
      </c>
      <c r="C128" s="101">
        <v>25.204000000000001</v>
      </c>
      <c r="D128" s="101">
        <v>31.952999999999999</v>
      </c>
      <c r="E128" s="223">
        <v>40.012999999999998</v>
      </c>
      <c r="F128" s="312">
        <v>2.9700000000000001E-4</v>
      </c>
      <c r="G128" s="304">
        <v>2.2601360000000001</v>
      </c>
      <c r="H128" s="314">
        <v>7.4005830000000001</v>
      </c>
      <c r="I128" s="329">
        <f t="shared" si="25"/>
        <v>37.919684321980668</v>
      </c>
    </row>
    <row r="129" spans="1:9" x14ac:dyDescent="0.3">
      <c r="A129" s="310" t="s">
        <v>145</v>
      </c>
      <c r="B129" s="325">
        <v>34.558999999999997</v>
      </c>
      <c r="C129" s="101">
        <v>45.198999999999998</v>
      </c>
      <c r="D129" s="101">
        <v>57.991</v>
      </c>
      <c r="E129" s="223">
        <v>73.156000000000006</v>
      </c>
      <c r="F129" s="312">
        <v>6.38E-4</v>
      </c>
      <c r="G129" s="304">
        <v>2.2360090000000001</v>
      </c>
      <c r="H129" s="314">
        <v>11.139218</v>
      </c>
      <c r="I129" s="329">
        <f t="shared" si="25"/>
        <v>69.100066603150907</v>
      </c>
    </row>
    <row r="130" spans="1:9" x14ac:dyDescent="0.3">
      <c r="A130" s="310" t="s">
        <v>146</v>
      </c>
      <c r="B130" s="325">
        <v>47.206000000000003</v>
      </c>
      <c r="C130" s="101">
        <v>61.902999999999999</v>
      </c>
      <c r="D130" s="101">
        <v>79.414000000000001</v>
      </c>
      <c r="E130" s="223">
        <v>99.959000000000003</v>
      </c>
      <c r="F130" s="312">
        <v>1.2650000000000001E-3</v>
      </c>
      <c r="G130" s="304">
        <v>2.1673469999999999</v>
      </c>
      <c r="H130" s="314">
        <v>13.600116999999999</v>
      </c>
      <c r="I130" s="329">
        <f t="shared" si="25"/>
        <v>94.537228203528159</v>
      </c>
    </row>
    <row r="131" spans="1:9" x14ac:dyDescent="0.3">
      <c r="A131" s="310" t="s">
        <v>147</v>
      </c>
      <c r="B131" s="325">
        <v>62.634999999999998</v>
      </c>
      <c r="C131" s="101">
        <v>83.64</v>
      </c>
      <c r="D131" s="101">
        <v>108.9</v>
      </c>
      <c r="E131" s="223">
        <v>138.73400000000001</v>
      </c>
      <c r="F131" s="312">
        <v>1.3550000000000001E-3</v>
      </c>
      <c r="G131" s="304">
        <v>2.222464</v>
      </c>
      <c r="H131" s="314">
        <v>16.006684</v>
      </c>
      <c r="I131" s="329">
        <f t="shared" si="25"/>
        <v>130.87956990368141</v>
      </c>
    </row>
    <row r="132" spans="1:9" x14ac:dyDescent="0.3">
      <c r="A132" s="310" t="s">
        <v>149</v>
      </c>
      <c r="B132" s="325">
        <v>12.044</v>
      </c>
      <c r="C132" s="101">
        <v>15.718</v>
      </c>
      <c r="D132" s="101">
        <v>20.395</v>
      </c>
      <c r="E132" s="223">
        <v>26.157</v>
      </c>
      <c r="F132" s="312">
        <v>4.0000000000000003E-5</v>
      </c>
      <c r="G132" s="304">
        <v>2.5655589999999999</v>
      </c>
      <c r="H132" s="314">
        <v>5.1766399999999999</v>
      </c>
      <c r="I132" s="329">
        <f t="shared" si="25"/>
        <v>24.726600387696898</v>
      </c>
    </row>
    <row r="133" spans="1:9" x14ac:dyDescent="0.3">
      <c r="A133" s="310" t="s">
        <v>150</v>
      </c>
      <c r="B133" s="325">
        <v>21.838000000000001</v>
      </c>
      <c r="C133" s="101">
        <v>29.143999999999998</v>
      </c>
      <c r="D133" s="101">
        <v>38.406999999999996</v>
      </c>
      <c r="E133" s="223">
        <v>49.331000000000003</v>
      </c>
      <c r="F133" s="312">
        <v>2.0699999999999999E-4</v>
      </c>
      <c r="G133" s="304">
        <v>2.3828870000000002</v>
      </c>
      <c r="H133" s="314">
        <v>6.7009840000000001</v>
      </c>
      <c r="I133" s="329">
        <f t="shared" si="25"/>
        <v>46.510235211014681</v>
      </c>
    </row>
    <row r="134" spans="1:9" x14ac:dyDescent="0.3">
      <c r="A134" s="310" t="s">
        <v>151</v>
      </c>
      <c r="B134" s="325">
        <v>44.088999999999999</v>
      </c>
      <c r="C134" s="101">
        <v>61.283000000000001</v>
      </c>
      <c r="D134" s="101">
        <v>81.59</v>
      </c>
      <c r="E134" s="223">
        <v>104.797</v>
      </c>
      <c r="F134" s="312">
        <v>2.9160000000000002E-3</v>
      </c>
      <c r="G134" s="304">
        <v>2.0394800000000002</v>
      </c>
      <c r="H134" s="314">
        <v>1.6022179999999999</v>
      </c>
      <c r="I134" s="329">
        <f t="shared" si="25"/>
        <v>98.720652726062241</v>
      </c>
    </row>
    <row r="135" spans="1:9" ht="15" thickBot="1" x14ac:dyDescent="0.35">
      <c r="A135" s="311" t="s">
        <v>152</v>
      </c>
      <c r="B135" s="326">
        <v>60.241999999999997</v>
      </c>
      <c r="C135" s="327">
        <v>83.376999999999995</v>
      </c>
      <c r="D135" s="327">
        <v>111.004</v>
      </c>
      <c r="E135" s="328">
        <v>142.57900000000001</v>
      </c>
      <c r="F135" s="313">
        <v>3.2569999999999999E-3</v>
      </c>
      <c r="G135" s="305">
        <v>2.0752670000000002</v>
      </c>
      <c r="H135" s="315">
        <v>4.0808580000000001</v>
      </c>
      <c r="I135" s="329">
        <f t="shared" si="25"/>
        <v>134.30425226610186</v>
      </c>
    </row>
  </sheetData>
  <sheetProtection sheet="1" objects="1" scenarios="1"/>
  <mergeCells count="25">
    <mergeCell ref="N4:O4"/>
    <mergeCell ref="B6:B17"/>
    <mergeCell ref="N6:O11"/>
    <mergeCell ref="N12:N18"/>
    <mergeCell ref="O12:O18"/>
    <mergeCell ref="B18:B42"/>
    <mergeCell ref="N20:O21"/>
    <mergeCell ref="A71:B71"/>
    <mergeCell ref="N23:O30"/>
    <mergeCell ref="O31:O38"/>
    <mergeCell ref="N31:N38"/>
    <mergeCell ref="B43:B56"/>
    <mergeCell ref="B57:B60"/>
    <mergeCell ref="C71:D71"/>
    <mergeCell ref="A63:L63"/>
    <mergeCell ref="F79:H79"/>
    <mergeCell ref="B79:E79"/>
    <mergeCell ref="B78:H78"/>
    <mergeCell ref="I79:J79"/>
    <mergeCell ref="C72:D72"/>
    <mergeCell ref="C74:D74"/>
    <mergeCell ref="A73:B73"/>
    <mergeCell ref="A74:B74"/>
    <mergeCell ref="A72:B72"/>
    <mergeCell ref="C73:D73"/>
  </mergeCells>
  <pageMargins left="0.7" right="0.7" top="0.75" bottom="0.75" header="0.3" footer="0.3"/>
  <pageSetup paperSize="3" scale="6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4" id="{D10F4E58-2B1B-4BCE-952F-FE52BAAF2747}">
            <xm:f>$C5=ArmEvaluation!$E$24</xm:f>
            <x14:dxf>
              <fill>
                <patternFill>
                  <bgColor theme="9" tint="0.39994506668294322"/>
                </patternFill>
              </fill>
            </x14:dxf>
          </x14:cfRule>
          <xm:sqref>A5:M60</xm:sqref>
        </x14:conditionalFormatting>
        <x14:conditionalFormatting xmlns:xm="http://schemas.microsoft.com/office/excel/2006/main">
          <x14:cfRule type="expression" priority="38" id="{9A8C6892-389A-4B35-A626-D94D0EADBF4C}">
            <xm:f>$G81=ArmEvaluation!$E$24</xm:f>
            <x14:dxf>
              <fill>
                <patternFill>
                  <bgColor theme="9" tint="0.39994506668294322"/>
                </patternFill>
              </fill>
            </x14:dxf>
          </x14:cfRule>
          <xm:sqref>A81:A135</xm:sqref>
        </x14:conditionalFormatting>
        <x14:conditionalFormatting xmlns:xm="http://schemas.microsoft.com/office/excel/2006/main">
          <x14:cfRule type="expression" priority="1" id="{191ADAF8-056F-4087-A809-6C32A1056DF5}">
            <xm:f>$C5=ArmEvaluation!$E$24</xm:f>
            <x14:dxf>
              <fill>
                <patternFill>
                  <bgColor theme="9" tint="0.59996337778862885"/>
                </patternFill>
              </fill>
            </x14:dxf>
          </x14:cfRule>
          <xm:sqref>A80:H135 I80 K87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7" tint="0.79998168889431442"/>
    <pageSetUpPr fitToPage="1"/>
  </sheetPr>
  <dimension ref="A1:N33"/>
  <sheetViews>
    <sheetView zoomScaleNormal="100" workbookViewId="0"/>
  </sheetViews>
  <sheetFormatPr defaultColWidth="9.109375" defaultRowHeight="14.4" x14ac:dyDescent="0.3"/>
  <cols>
    <col min="1" max="1" width="17.33203125" style="9" bestFit="1" customWidth="1"/>
    <col min="2" max="16384" width="9.109375" style="9"/>
  </cols>
  <sheetData>
    <row r="1" spans="1:14" ht="24.6" x14ac:dyDescent="0.3">
      <c r="A1" s="64" t="s">
        <v>97</v>
      </c>
      <c r="B1" s="65"/>
      <c r="C1" s="65"/>
      <c r="D1" s="65"/>
      <c r="E1" s="65"/>
      <c r="F1" s="65"/>
      <c r="G1" s="65"/>
      <c r="H1" s="65"/>
      <c r="I1" s="65"/>
      <c r="J1" s="65"/>
      <c r="K1" s="65"/>
      <c r="L1" s="65"/>
      <c r="M1" s="65"/>
      <c r="N1" s="66"/>
    </row>
    <row r="2" spans="1:14" x14ac:dyDescent="0.3">
      <c r="A2" s="67"/>
      <c r="B2" s="68"/>
      <c r="C2" s="68"/>
      <c r="D2" s="68"/>
      <c r="E2" s="68"/>
      <c r="F2" s="68"/>
      <c r="G2" s="68"/>
      <c r="H2" s="68"/>
      <c r="I2" s="68"/>
      <c r="J2" s="68"/>
      <c r="K2" s="68"/>
      <c r="L2" s="68"/>
      <c r="M2" s="68"/>
      <c r="N2" s="69"/>
    </row>
    <row r="3" spans="1:14" ht="17.399999999999999" x14ac:dyDescent="0.3">
      <c r="A3" s="70" t="s">
        <v>174</v>
      </c>
      <c r="B3" s="71" t="s">
        <v>226</v>
      </c>
      <c r="C3" s="68"/>
      <c r="D3" s="68"/>
      <c r="E3" s="68"/>
      <c r="F3" s="68"/>
      <c r="G3" s="68"/>
      <c r="H3" s="68"/>
      <c r="I3" s="68"/>
      <c r="J3" s="68"/>
      <c r="K3" s="68"/>
      <c r="L3" s="68"/>
      <c r="M3" s="68"/>
      <c r="N3" s="69"/>
    </row>
    <row r="4" spans="1:14" ht="15.6" x14ac:dyDescent="0.3">
      <c r="A4" s="72"/>
      <c r="B4" s="73" t="s">
        <v>175</v>
      </c>
      <c r="C4" s="74"/>
      <c r="D4" s="68"/>
      <c r="E4" s="68"/>
      <c r="F4" s="68"/>
      <c r="G4" s="68"/>
      <c r="H4" s="68"/>
      <c r="I4" s="68"/>
      <c r="J4" s="68"/>
      <c r="K4" s="68"/>
      <c r="L4" s="68"/>
      <c r="M4" s="68"/>
      <c r="N4" s="69"/>
    </row>
    <row r="5" spans="1:14" ht="15.6" x14ac:dyDescent="0.3">
      <c r="A5" s="72"/>
      <c r="B5" s="75"/>
      <c r="C5" s="68"/>
      <c r="D5" s="68"/>
      <c r="E5" s="68"/>
      <c r="F5" s="68"/>
      <c r="G5" s="68"/>
      <c r="H5" s="68"/>
      <c r="I5" s="68"/>
      <c r="J5" s="68"/>
      <c r="K5" s="68"/>
      <c r="L5" s="68"/>
      <c r="M5" s="68"/>
      <c r="N5" s="69"/>
    </row>
    <row r="6" spans="1:14" ht="15.6" x14ac:dyDescent="0.3">
      <c r="A6" s="72"/>
      <c r="B6" s="75"/>
      <c r="C6" s="68"/>
      <c r="D6" s="68"/>
      <c r="E6" s="68"/>
      <c r="F6" s="68"/>
      <c r="G6" s="68"/>
      <c r="H6" s="68"/>
      <c r="I6" s="68"/>
      <c r="J6" s="68"/>
      <c r="K6" s="68"/>
      <c r="L6" s="68"/>
      <c r="M6" s="68"/>
      <c r="N6" s="69"/>
    </row>
    <row r="7" spans="1:14" ht="15.6" x14ac:dyDescent="0.3">
      <c r="A7" s="76"/>
      <c r="B7" s="75"/>
      <c r="C7" s="68"/>
      <c r="D7" s="68"/>
      <c r="E7" s="68"/>
      <c r="F7" s="68"/>
      <c r="G7" s="68"/>
      <c r="H7" s="68"/>
      <c r="I7" s="68"/>
      <c r="J7" s="68"/>
      <c r="K7" s="68"/>
      <c r="L7" s="68"/>
      <c r="M7" s="68"/>
      <c r="N7" s="69"/>
    </row>
    <row r="8" spans="1:14" ht="17.399999999999999" x14ac:dyDescent="0.3">
      <c r="A8" s="70"/>
      <c r="B8" s="68"/>
      <c r="C8" s="71"/>
      <c r="D8" s="68"/>
      <c r="E8" s="68"/>
      <c r="F8" s="68"/>
      <c r="G8" s="68"/>
      <c r="H8" s="68"/>
      <c r="I8" s="68"/>
      <c r="J8" s="68"/>
      <c r="K8" s="68"/>
      <c r="L8" s="68"/>
      <c r="M8" s="68"/>
      <c r="N8" s="69"/>
    </row>
    <row r="9" spans="1:14" ht="15.6" x14ac:dyDescent="0.3">
      <c r="A9" s="72"/>
      <c r="B9" s="75"/>
      <c r="C9" s="68"/>
      <c r="D9" s="68"/>
      <c r="E9" s="68"/>
      <c r="F9" s="68"/>
      <c r="G9" s="68"/>
      <c r="H9" s="68"/>
      <c r="I9" s="68"/>
      <c r="J9" s="68"/>
      <c r="K9" s="68"/>
      <c r="L9" s="68"/>
      <c r="M9" s="68"/>
      <c r="N9" s="69"/>
    </row>
    <row r="10" spans="1:14" ht="15.6" x14ac:dyDescent="0.3">
      <c r="A10" s="77"/>
      <c r="B10" s="75"/>
      <c r="C10" s="68"/>
      <c r="D10" s="68"/>
      <c r="E10" s="68"/>
      <c r="F10" s="68"/>
      <c r="G10" s="68"/>
      <c r="H10" s="68"/>
      <c r="I10" s="68"/>
      <c r="J10" s="68"/>
      <c r="K10" s="68"/>
      <c r="L10" s="68"/>
      <c r="M10" s="68"/>
      <c r="N10" s="69"/>
    </row>
    <row r="11" spans="1:14" ht="17.399999999999999" x14ac:dyDescent="0.3">
      <c r="A11" s="70"/>
      <c r="B11" s="68"/>
      <c r="C11" s="71"/>
      <c r="D11" s="68"/>
      <c r="E11" s="68"/>
      <c r="F11" s="68"/>
      <c r="G11" s="68"/>
      <c r="H11" s="68"/>
      <c r="I11" s="68"/>
      <c r="J11" s="68"/>
      <c r="K11" s="68"/>
      <c r="L11" s="68"/>
      <c r="M11" s="68"/>
      <c r="N11" s="69"/>
    </row>
    <row r="12" spans="1:14" ht="15.6" x14ac:dyDescent="0.3">
      <c r="A12" s="72"/>
      <c r="B12" s="75"/>
      <c r="C12" s="68"/>
      <c r="D12" s="68"/>
      <c r="E12" s="68"/>
      <c r="F12" s="68"/>
      <c r="G12" s="68"/>
      <c r="H12" s="68"/>
      <c r="I12" s="68"/>
      <c r="J12" s="68"/>
      <c r="K12" s="68"/>
      <c r="L12" s="68"/>
      <c r="M12" s="68"/>
      <c r="N12" s="69"/>
    </row>
    <row r="13" spans="1:14" ht="15.6" x14ac:dyDescent="0.3">
      <c r="A13" s="72"/>
      <c r="B13" s="71"/>
      <c r="C13" s="68"/>
      <c r="D13" s="68"/>
      <c r="E13" s="68"/>
      <c r="F13" s="68"/>
      <c r="G13" s="68"/>
      <c r="H13" s="68"/>
      <c r="I13" s="68"/>
      <c r="J13" s="68"/>
      <c r="K13" s="68"/>
      <c r="L13" s="68"/>
      <c r="M13" s="68"/>
      <c r="N13" s="69"/>
    </row>
    <row r="14" spans="1:14" ht="17.399999999999999" x14ac:dyDescent="0.3">
      <c r="A14" s="70"/>
      <c r="B14" s="68"/>
      <c r="C14" s="71"/>
      <c r="D14" s="68"/>
      <c r="E14" s="68"/>
      <c r="F14" s="68"/>
      <c r="G14" s="68"/>
      <c r="H14" s="68"/>
      <c r="I14" s="68"/>
      <c r="J14" s="68"/>
      <c r="K14" s="68"/>
      <c r="L14" s="68"/>
      <c r="M14" s="68"/>
      <c r="N14" s="69"/>
    </row>
    <row r="15" spans="1:14" ht="15.6" x14ac:dyDescent="0.3">
      <c r="A15" s="72"/>
      <c r="B15" s="75"/>
      <c r="C15" s="68"/>
      <c r="D15" s="68"/>
      <c r="E15" s="68"/>
      <c r="F15" s="68"/>
      <c r="G15" s="68"/>
      <c r="H15" s="68"/>
      <c r="I15" s="68"/>
      <c r="J15" s="68"/>
      <c r="K15" s="68"/>
      <c r="L15" s="68"/>
      <c r="M15" s="68"/>
      <c r="N15" s="69"/>
    </row>
    <row r="16" spans="1:14" ht="15.6" x14ac:dyDescent="0.3">
      <c r="A16" s="78"/>
      <c r="B16" s="73"/>
      <c r="C16" s="68"/>
      <c r="D16" s="68"/>
      <c r="E16" s="68"/>
      <c r="F16" s="68"/>
      <c r="G16" s="68"/>
      <c r="H16" s="68"/>
      <c r="I16" s="68"/>
      <c r="J16" s="68"/>
      <c r="K16" s="68"/>
      <c r="L16" s="68"/>
      <c r="M16" s="68"/>
      <c r="N16" s="69"/>
    </row>
    <row r="17" spans="1:14" ht="15.6" x14ac:dyDescent="0.3">
      <c r="A17" s="78"/>
      <c r="B17" s="73"/>
      <c r="C17" s="68"/>
      <c r="D17" s="68"/>
      <c r="E17" s="68"/>
      <c r="F17" s="68"/>
      <c r="G17" s="68"/>
      <c r="H17" s="68"/>
      <c r="I17" s="68"/>
      <c r="J17" s="68"/>
      <c r="K17" s="68"/>
      <c r="L17" s="68"/>
      <c r="M17" s="68"/>
      <c r="N17" s="69"/>
    </row>
    <row r="18" spans="1:14" ht="17.399999999999999" x14ac:dyDescent="0.3">
      <c r="A18" s="70"/>
      <c r="B18" s="79"/>
      <c r="C18" s="68"/>
      <c r="D18" s="68"/>
      <c r="E18" s="68"/>
      <c r="F18" s="68"/>
      <c r="G18" s="68"/>
      <c r="H18" s="68"/>
      <c r="I18" s="68"/>
      <c r="J18" s="68"/>
      <c r="K18" s="68"/>
      <c r="L18" s="68"/>
      <c r="M18" s="68"/>
      <c r="N18" s="69"/>
    </row>
    <row r="19" spans="1:14" ht="15.6" x14ac:dyDescent="0.3">
      <c r="A19" s="78"/>
      <c r="B19" s="68"/>
      <c r="C19" s="68"/>
      <c r="D19" s="68"/>
      <c r="E19" s="68"/>
      <c r="F19" s="68"/>
      <c r="G19" s="68"/>
      <c r="H19" s="68"/>
      <c r="I19" s="68"/>
      <c r="J19" s="68"/>
      <c r="K19" s="68"/>
      <c r="L19" s="68"/>
      <c r="M19" s="68"/>
      <c r="N19" s="69"/>
    </row>
    <row r="20" spans="1:14" ht="15.6" x14ac:dyDescent="0.3">
      <c r="A20" s="78"/>
      <c r="B20" s="80"/>
      <c r="C20" s="68"/>
      <c r="D20" s="68"/>
      <c r="E20" s="68"/>
      <c r="F20" s="68"/>
      <c r="G20" s="68"/>
      <c r="H20" s="68"/>
      <c r="I20" s="68"/>
      <c r="J20" s="68"/>
      <c r="K20" s="68"/>
      <c r="L20" s="68"/>
      <c r="M20" s="68"/>
      <c r="N20" s="69"/>
    </row>
    <row r="21" spans="1:14" ht="17.399999999999999" x14ac:dyDescent="0.3">
      <c r="A21" s="70"/>
      <c r="B21" s="79"/>
      <c r="C21" s="68"/>
      <c r="D21" s="68"/>
      <c r="E21" s="68"/>
      <c r="F21" s="68"/>
      <c r="G21" s="68"/>
      <c r="H21" s="68"/>
      <c r="I21" s="68"/>
      <c r="J21" s="68"/>
      <c r="K21" s="68"/>
      <c r="L21" s="68"/>
      <c r="M21" s="68"/>
      <c r="N21" s="69"/>
    </row>
    <row r="22" spans="1:14" ht="17.399999999999999" x14ac:dyDescent="0.3">
      <c r="A22" s="70"/>
      <c r="B22" s="68"/>
      <c r="C22" s="68"/>
      <c r="D22" s="68"/>
      <c r="E22" s="68"/>
      <c r="F22" s="68"/>
      <c r="G22" s="68"/>
      <c r="H22" s="68"/>
      <c r="I22" s="68"/>
      <c r="J22" s="80"/>
      <c r="K22" s="68"/>
      <c r="L22" s="68"/>
      <c r="M22" s="68"/>
      <c r="N22" s="69"/>
    </row>
    <row r="23" spans="1:14" ht="15.6" x14ac:dyDescent="0.3">
      <c r="A23" s="72"/>
      <c r="B23" s="68"/>
      <c r="C23" s="68"/>
      <c r="D23" s="68"/>
      <c r="E23" s="68"/>
      <c r="F23" s="68"/>
      <c r="G23" s="68"/>
      <c r="H23" s="68"/>
      <c r="I23" s="68"/>
      <c r="J23" s="68"/>
      <c r="K23" s="68"/>
      <c r="L23" s="68"/>
      <c r="M23" s="68"/>
      <c r="N23" s="69"/>
    </row>
    <row r="24" spans="1:14" ht="15.6" x14ac:dyDescent="0.3">
      <c r="A24" s="72"/>
      <c r="B24" s="68"/>
      <c r="C24" s="68"/>
      <c r="D24" s="68"/>
      <c r="E24" s="68"/>
      <c r="F24" s="68"/>
      <c r="G24" s="68"/>
      <c r="H24" s="68"/>
      <c r="I24" s="68"/>
      <c r="J24" s="68"/>
      <c r="K24" s="68"/>
      <c r="L24" s="68"/>
      <c r="M24" s="68"/>
      <c r="N24" s="69"/>
    </row>
    <row r="25" spans="1:14" ht="15.6" x14ac:dyDescent="0.3">
      <c r="A25" s="72"/>
      <c r="B25" s="68"/>
      <c r="C25" s="68"/>
      <c r="D25" s="68"/>
      <c r="E25" s="68"/>
      <c r="F25" s="68"/>
      <c r="G25" s="68"/>
      <c r="H25" s="68"/>
      <c r="I25" s="68"/>
      <c r="J25" s="68"/>
      <c r="K25" s="68"/>
      <c r="L25" s="68"/>
      <c r="M25" s="68"/>
      <c r="N25" s="69"/>
    </row>
    <row r="26" spans="1:14" ht="15.6" x14ac:dyDescent="0.3">
      <c r="A26" s="72"/>
      <c r="B26" s="68"/>
      <c r="C26" s="68"/>
      <c r="D26" s="68"/>
      <c r="E26" s="68"/>
      <c r="F26" s="68"/>
      <c r="G26" s="68"/>
      <c r="H26" s="68"/>
      <c r="I26" s="68"/>
      <c r="J26" s="68"/>
      <c r="K26" s="68"/>
      <c r="L26" s="68"/>
      <c r="M26" s="68"/>
      <c r="N26" s="69"/>
    </row>
    <row r="27" spans="1:14" ht="15.6" x14ac:dyDescent="0.3">
      <c r="A27" s="72"/>
      <c r="B27" s="68"/>
      <c r="C27" s="68"/>
      <c r="D27" s="68"/>
      <c r="E27" s="68"/>
      <c r="F27" s="68"/>
      <c r="G27" s="68"/>
      <c r="H27" s="68"/>
      <c r="I27" s="68"/>
      <c r="J27" s="68"/>
      <c r="K27" s="68"/>
      <c r="L27" s="68"/>
      <c r="M27" s="68"/>
      <c r="N27" s="69"/>
    </row>
    <row r="28" spans="1:14" ht="15.6" x14ac:dyDescent="0.3">
      <c r="A28" s="72"/>
      <c r="B28" s="68"/>
      <c r="C28" s="68"/>
      <c r="D28" s="68"/>
      <c r="E28" s="68"/>
      <c r="F28" s="68"/>
      <c r="G28" s="68"/>
      <c r="H28" s="68"/>
      <c r="I28" s="68"/>
      <c r="J28" s="68"/>
      <c r="K28" s="68"/>
      <c r="L28" s="68"/>
      <c r="M28" s="68"/>
      <c r="N28" s="69"/>
    </row>
    <row r="29" spans="1:14" ht="15.6" x14ac:dyDescent="0.3">
      <c r="A29" s="72"/>
      <c r="B29" s="68"/>
      <c r="C29" s="68"/>
      <c r="D29" s="68"/>
      <c r="E29" s="68"/>
      <c r="F29" s="68"/>
      <c r="G29" s="68"/>
      <c r="H29" s="68"/>
      <c r="I29" s="68"/>
      <c r="J29" s="68"/>
      <c r="K29" s="68"/>
      <c r="L29" s="68"/>
      <c r="M29" s="68"/>
      <c r="N29" s="69"/>
    </row>
    <row r="30" spans="1:14" ht="15" thickBot="1" x14ac:dyDescent="0.35">
      <c r="A30" s="81"/>
      <c r="B30" s="82"/>
      <c r="C30" s="82"/>
      <c r="D30" s="82"/>
      <c r="E30" s="82"/>
      <c r="F30" s="82"/>
      <c r="G30" s="82"/>
      <c r="H30" s="82"/>
      <c r="I30" s="82"/>
      <c r="J30" s="82"/>
      <c r="K30" s="82"/>
      <c r="L30" s="82"/>
      <c r="M30" s="82"/>
      <c r="N30" s="83"/>
    </row>
    <row r="32" spans="1:14" x14ac:dyDescent="0.3">
      <c r="J32" s="10"/>
    </row>
    <row r="33" spans="10:10" x14ac:dyDescent="0.3">
      <c r="J33" s="10"/>
    </row>
  </sheetData>
  <sheetProtection sheet="1" objects="1" scenarios="1"/>
  <pageMargins left="0.7" right="0.7" top="0.75" bottom="0.75" header="0.3" footer="0.3"/>
  <pageSetup scale="98" orientation="landscape" r:id="rId1"/>
  <headerFooter>
    <oddFooter>&amp;L&amp;D&amp;C&amp;F&amp;R&amp;A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B156091838F4479CE8F27A6E100A2D" ma:contentTypeVersion="0" ma:contentTypeDescription="Create a new document." ma:contentTypeScope="" ma:versionID="d01a7b8c8fbe646a915a7959a98f4e3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F48C8E-1A1F-48FF-B605-4A08037E52D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5205565-B1B7-40BC-8DE5-8BE9C7D7B0DC}">
  <ds:schemaRefs>
    <ds:schemaRef ds:uri="http://schemas.microsoft.com/sharepoint/v3/contenttype/forms"/>
  </ds:schemaRefs>
</ds:datastoreItem>
</file>

<file path=customXml/itemProps3.xml><?xml version="1.0" encoding="utf-8"?>
<ds:datastoreItem xmlns:ds="http://schemas.openxmlformats.org/officeDocument/2006/customXml" ds:itemID="{AAFC120E-9A08-483F-BF38-587A5EE4A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Directions</vt:lpstr>
      <vt:lpstr>WindSpeedMap</vt:lpstr>
      <vt:lpstr>ArmEvaluation</vt:lpstr>
      <vt:lpstr>RatingSummarySheet</vt:lpstr>
      <vt:lpstr>Dimensions</vt:lpstr>
      <vt:lpstr>GraphValues</vt:lpstr>
      <vt:lpstr>CFI&amp;Designation</vt:lpstr>
      <vt:lpstr>Changes</vt:lpstr>
      <vt:lpstr>ArmEvaluation!Print_Area</vt:lpstr>
      <vt:lpstr>Changes!Print_Area</vt:lpstr>
      <vt:lpstr>Directions!Print_Area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Pavlov</dc:creator>
  <cp:lastModifiedBy>Pavlov, Andre</cp:lastModifiedBy>
  <cp:lastPrinted>2018-11-13T19:33:44Z</cp:lastPrinted>
  <dcterms:created xsi:type="dcterms:W3CDTF">2016-04-13T19:48:35Z</dcterms:created>
  <dcterms:modified xsi:type="dcterms:W3CDTF">2022-11-02T13:18:52Z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0x010100BDB156091838F4479CE8F27A6E100A2D</vt:lpwstr>
  </property>
</Properties>
</file>