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codata\shares\CO\SDO\Software\ComputerEngineering\Signals-Mastarm-Index649-030-Excel\StandardMastArmsV1.7Beta\"/>
    </mc:Choice>
  </mc:AlternateContent>
  <xr:revisionPtr revIDLastSave="0" documentId="13_ncr:1_{9CF86C4F-11E4-4569-9661-18E49349DCD7}" xr6:coauthVersionLast="47" xr6:coauthVersionMax="47" xr10:uidLastSave="{00000000-0000-0000-0000-000000000000}"/>
  <bookViews>
    <workbookView xWindow="-108" yWindow="-108" windowWidth="23256" windowHeight="12576" tabRatio="773" xr2:uid="{00000000-000D-0000-FFFF-FFFF00000000}"/>
  </bookViews>
  <sheets>
    <sheet name="Directions" sheetId="5" r:id="rId1"/>
    <sheet name="Arm1Design" sheetId="1" r:id="rId2"/>
    <sheet name="Arm2Design" sheetId="6" r:id="rId3"/>
    <sheet name="TabulationSheet" sheetId="7" r:id="rId4"/>
    <sheet name="Dimensions" sheetId="2" r:id="rId5"/>
    <sheet name="GraphValues" sheetId="3" r:id="rId6"/>
    <sheet name="CFI&amp;Designation" sheetId="4" r:id="rId7"/>
    <sheet name="Changes" sheetId="9" r:id="rId8"/>
  </sheets>
  <definedNames>
    <definedName name="Choices">Dimensions!$AC$3:$AC$11</definedName>
    <definedName name="_xlnm.Print_Area" localSheetId="1">Arm1Design!$A$1:$N$41</definedName>
    <definedName name="_xlnm.Print_Area" localSheetId="2">Arm2Design!$A$1:$N$41</definedName>
    <definedName name="_xlnm.Print_Area" localSheetId="7">Changes!$A$1:$N$32</definedName>
    <definedName name="_xlnm.Print_Area" localSheetId="0">Directions!$A$1:$N$38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4" l="1"/>
  <c r="E67" i="4"/>
  <c r="E66" i="4"/>
  <c r="E65" i="4"/>
  <c r="E64" i="4"/>
  <c r="E63" i="4"/>
  <c r="E62" i="4"/>
  <c r="E61" i="4"/>
  <c r="E60" i="4"/>
  <c r="E59" i="4"/>
  <c r="E58" i="4"/>
  <c r="E57" i="4"/>
  <c r="E56" i="4"/>
  <c r="B53" i="4" l="1"/>
  <c r="D17" i="2"/>
  <c r="D27" i="2"/>
  <c r="D26" i="2"/>
  <c r="D23" i="2"/>
  <c r="C27" i="2"/>
  <c r="C25" i="2"/>
  <c r="D31" i="2"/>
  <c r="C31" i="2"/>
  <c r="C23" i="2"/>
  <c r="D25" i="2"/>
  <c r="D16" i="2"/>
  <c r="D14" i="2"/>
  <c r="C18" i="2"/>
  <c r="C16" i="2"/>
  <c r="C14" i="2"/>
  <c r="D8" i="2"/>
  <c r="D7" i="2"/>
  <c r="D5" i="2"/>
  <c r="C9" i="2"/>
  <c r="C7" i="2"/>
  <c r="C5" i="2"/>
  <c r="L40" i="3"/>
  <c r="K40" i="3"/>
  <c r="J40" i="3"/>
  <c r="I40" i="3"/>
  <c r="H40" i="3"/>
  <c r="G40" i="3"/>
  <c r="F40" i="3"/>
  <c r="E40" i="3"/>
  <c r="D40" i="3"/>
  <c r="C40" i="3"/>
  <c r="L36" i="3"/>
  <c r="K36" i="3"/>
  <c r="J36" i="3"/>
  <c r="I36" i="3"/>
  <c r="H36" i="3"/>
  <c r="G36" i="3"/>
  <c r="F36" i="3"/>
  <c r="E36" i="3"/>
  <c r="D36" i="3"/>
  <c r="C36" i="3"/>
  <c r="I4" i="7" l="1"/>
  <c r="B8" i="6"/>
  <c r="J4" i="7" l="1"/>
  <c r="V5" i="7" l="1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5" i="7"/>
  <c r="H4" i="7" l="1"/>
  <c r="K24" i="6" l="1"/>
  <c r="K24" i="1"/>
  <c r="Q19" i="4" l="1"/>
  <c r="E44" i="4"/>
  <c r="C44" i="4"/>
  <c r="F39" i="4"/>
  <c r="B39" i="4"/>
  <c r="L5" i="7" l="1"/>
  <c r="D47" i="2" l="1"/>
  <c r="Q17" i="4"/>
  <c r="G39" i="4"/>
  <c r="E39" i="4"/>
  <c r="B33" i="4"/>
  <c r="E33" i="4" s="1"/>
  <c r="C53" i="4" l="1"/>
  <c r="M28" i="4"/>
  <c r="L28" i="4"/>
  <c r="M27" i="4"/>
  <c r="L27" i="4"/>
  <c r="M5" i="7"/>
  <c r="E45" i="4"/>
  <c r="W67" i="2"/>
  <c r="W60" i="2"/>
  <c r="Y60" i="2" s="1"/>
  <c r="W53" i="2"/>
  <c r="Y53" i="2" s="1"/>
  <c r="W46" i="2"/>
  <c r="Y46" i="2" s="1"/>
  <c r="W39" i="2"/>
  <c r="Y39" i="2" s="1"/>
  <c r="W32" i="2"/>
  <c r="Y32" i="2" s="1"/>
  <c r="W25" i="2"/>
  <c r="Y25" i="2" s="1"/>
  <c r="W18" i="2"/>
  <c r="Y18" i="2" s="1"/>
  <c r="W11" i="2"/>
  <c r="Y11" i="2" s="1"/>
  <c r="W4" i="2"/>
  <c r="Y4" i="2" s="1"/>
  <c r="V67" i="2"/>
  <c r="X67" i="2" s="1"/>
  <c r="V60" i="2"/>
  <c r="V53" i="2"/>
  <c r="V46" i="2"/>
  <c r="V39" i="2"/>
  <c r="V32" i="2"/>
  <c r="V25" i="2"/>
  <c r="V18" i="2"/>
  <c r="V11" i="2"/>
  <c r="V4" i="2"/>
  <c r="N4" i="2"/>
  <c r="M4" i="2"/>
  <c r="N11" i="2"/>
  <c r="M11" i="2"/>
  <c r="N18" i="2"/>
  <c r="M18" i="2"/>
  <c r="N25" i="2"/>
  <c r="M25" i="2"/>
  <c r="N32" i="2"/>
  <c r="M32" i="2"/>
  <c r="N39" i="2"/>
  <c r="M39" i="2"/>
  <c r="N46" i="2"/>
  <c r="M46" i="2"/>
  <c r="N53" i="2"/>
  <c r="M53" i="2"/>
  <c r="N60" i="2"/>
  <c r="M60" i="2"/>
  <c r="N67" i="2"/>
  <c r="M67" i="2"/>
  <c r="AF4" i="2"/>
  <c r="AF5" i="2" s="1"/>
  <c r="AF6" i="2" s="1"/>
  <c r="AF7" i="2" s="1"/>
  <c r="AF8" i="2" s="1"/>
  <c r="AE12" i="2"/>
  <c r="AE13" i="2" s="1"/>
  <c r="AE26" i="2"/>
  <c r="F26" i="4"/>
  <c r="E26" i="4"/>
  <c r="D26" i="4"/>
  <c r="C26" i="4"/>
  <c r="B26" i="4"/>
  <c r="AA47" i="2" l="1"/>
  <c r="AA46" i="2"/>
  <c r="AA49" i="2"/>
  <c r="AA48" i="2"/>
  <c r="AA50" i="2"/>
  <c r="AB11" i="2"/>
  <c r="AC11" i="2" s="1"/>
  <c r="X11" i="2"/>
  <c r="AA55" i="2"/>
  <c r="AA53" i="2"/>
  <c r="AA57" i="2"/>
  <c r="AA54" i="2"/>
  <c r="AA56" i="2"/>
  <c r="X18" i="2"/>
  <c r="AB18" i="2"/>
  <c r="AC18" i="2" s="1"/>
  <c r="AA7" i="2"/>
  <c r="AA8" i="2"/>
  <c r="AA5" i="2"/>
  <c r="AA4" i="2"/>
  <c r="AA6" i="2"/>
  <c r="AA63" i="2"/>
  <c r="AA64" i="2"/>
  <c r="AA61" i="2"/>
  <c r="AA60" i="2"/>
  <c r="AA62" i="2"/>
  <c r="AA43" i="2"/>
  <c r="AA40" i="2"/>
  <c r="AA39" i="2"/>
  <c r="AA42" i="2"/>
  <c r="AA41" i="2"/>
  <c r="AB4" i="2"/>
  <c r="AC4" i="2" s="1"/>
  <c r="X4" i="2"/>
  <c r="AB60" i="2"/>
  <c r="X60" i="2"/>
  <c r="X25" i="2"/>
  <c r="AB25" i="2"/>
  <c r="AC25" i="2" s="1"/>
  <c r="AA15" i="2"/>
  <c r="AA13" i="2"/>
  <c r="AA11" i="2"/>
  <c r="AA14" i="2"/>
  <c r="AA12" i="2"/>
  <c r="AB53" i="2"/>
  <c r="X53" i="2"/>
  <c r="AB32" i="2"/>
  <c r="X32" i="2"/>
  <c r="AA19" i="2"/>
  <c r="AA21" i="2"/>
  <c r="AA18" i="2"/>
  <c r="AA20" i="2"/>
  <c r="AA22" i="2"/>
  <c r="X39" i="2"/>
  <c r="AB39" i="2"/>
  <c r="AC39" i="2" s="1"/>
  <c r="AA27" i="2"/>
  <c r="AA28" i="2"/>
  <c r="AA26" i="2"/>
  <c r="AA25" i="2"/>
  <c r="AA29" i="2"/>
  <c r="AB46" i="2"/>
  <c r="AC46" i="2" s="1"/>
  <c r="X46" i="2"/>
  <c r="AA35" i="2"/>
  <c r="AA36" i="2"/>
  <c r="AA33" i="2"/>
  <c r="AA32" i="2"/>
  <c r="AA34" i="2"/>
  <c r="Z68" i="2"/>
  <c r="Z69" i="2"/>
  <c r="Z67" i="2"/>
  <c r="Z71" i="2"/>
  <c r="Z70" i="2"/>
  <c r="AB67" i="2"/>
  <c r="Y67" i="2"/>
  <c r="AB26" i="4"/>
  <c r="D24" i="6"/>
  <c r="A39" i="4" s="1"/>
  <c r="E43" i="2"/>
  <c r="N19" i="3"/>
  <c r="N23" i="3" s="1"/>
  <c r="AE14" i="2"/>
  <c r="AE15" i="2" s="1"/>
  <c r="AE16" i="2" s="1"/>
  <c r="AE17" i="2" s="1"/>
  <c r="AE18" i="2" s="1"/>
  <c r="AE19" i="2" s="1"/>
  <c r="AE20" i="2" s="1"/>
  <c r="AE21" i="2" s="1"/>
  <c r="AE22" i="2" s="1"/>
  <c r="AE23" i="2" s="1"/>
  <c r="F42" i="2"/>
  <c r="AC60" i="2" l="1"/>
  <c r="AC32" i="2"/>
  <c r="AC53" i="2"/>
  <c r="Z56" i="2"/>
  <c r="Z57" i="2"/>
  <c r="Z54" i="2"/>
  <c r="Z53" i="2"/>
  <c r="Z55" i="2"/>
  <c r="Z8" i="2"/>
  <c r="Z5" i="2"/>
  <c r="Z7" i="2"/>
  <c r="Z6" i="2"/>
  <c r="Z4" i="2"/>
  <c r="Z12" i="2"/>
  <c r="Z15" i="2"/>
  <c r="Z14" i="2"/>
  <c r="Z13" i="2"/>
  <c r="Z11" i="2"/>
  <c r="Z48" i="2"/>
  <c r="Z46" i="2"/>
  <c r="Z50" i="2"/>
  <c r="Z49" i="2"/>
  <c r="Z47" i="2"/>
  <c r="Z28" i="2"/>
  <c r="Z29" i="2"/>
  <c r="Z26" i="2"/>
  <c r="Z27" i="2"/>
  <c r="Z25" i="2"/>
  <c r="Z20" i="2"/>
  <c r="Z22" i="2"/>
  <c r="Z18" i="2"/>
  <c r="Z21" i="2"/>
  <c r="Z19" i="2"/>
  <c r="Z40" i="2"/>
  <c r="Z39" i="2"/>
  <c r="Z42" i="2"/>
  <c r="Z43" i="2"/>
  <c r="Z41" i="2"/>
  <c r="Z36" i="2"/>
  <c r="Z33" i="2"/>
  <c r="Z32" i="2"/>
  <c r="Z35" i="2"/>
  <c r="Z34" i="2"/>
  <c r="Z64" i="2"/>
  <c r="Z61" i="2"/>
  <c r="Z62" i="2"/>
  <c r="Z60" i="2"/>
  <c r="Z63" i="2"/>
  <c r="AC67" i="2"/>
  <c r="Q15" i="3"/>
  <c r="AA71" i="2"/>
  <c r="AA67" i="2"/>
  <c r="AA68" i="2"/>
  <c r="AA70" i="2"/>
  <c r="AA69" i="2"/>
  <c r="O19" i="3"/>
  <c r="O3" i="3"/>
  <c r="O20" i="3"/>
  <c r="O21" i="3" s="1"/>
  <c r="N22" i="3"/>
  <c r="AF26" i="2"/>
  <c r="O7" i="3" l="1"/>
  <c r="O6" i="3"/>
  <c r="O22" i="3"/>
  <c r="O23" i="3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O12" i="3" l="1"/>
  <c r="O13" i="3" s="1"/>
  <c r="F33" i="4"/>
  <c r="A7" i="4" l="1"/>
  <c r="A8" i="4" l="1"/>
  <c r="D46" i="2"/>
  <c r="A9" i="4" l="1"/>
  <c r="U28" i="4"/>
  <c r="M4" i="7"/>
  <c r="O17" i="4"/>
  <c r="A10" i="4"/>
  <c r="A11" i="4" s="1"/>
  <c r="E26" i="6"/>
  <c r="D28" i="6"/>
  <c r="D29" i="6" s="1"/>
  <c r="E28" i="6"/>
  <c r="E29" i="6" s="1"/>
  <c r="D27" i="6"/>
  <c r="E27" i="6"/>
  <c r="D26" i="6"/>
  <c r="I25" i="6"/>
  <c r="H25" i="6"/>
  <c r="K27" i="6"/>
  <c r="Z26" i="4"/>
  <c r="M20" i="4"/>
  <c r="E42" i="2"/>
  <c r="C45" i="4"/>
  <c r="D24" i="1"/>
  <c r="A33" i="4" s="1"/>
  <c r="L20" i="4" l="1"/>
  <c r="D26" i="1"/>
  <c r="D28" i="1"/>
  <c r="D29" i="1" s="1"/>
  <c r="E26" i="1"/>
  <c r="E27" i="1"/>
  <c r="E28" i="1"/>
  <c r="E29" i="1" s="1"/>
  <c r="D27" i="1"/>
  <c r="AA27" i="4"/>
  <c r="D39" i="4" s="1"/>
  <c r="N3" i="3"/>
  <c r="O4" i="3"/>
  <c r="O5" i="3" s="1"/>
  <c r="D48" i="2"/>
  <c r="B54" i="4" s="1"/>
  <c r="M19" i="4" l="1"/>
  <c r="L19" i="4"/>
  <c r="I26" i="6"/>
  <c r="B6" i="6"/>
  <c r="B1" i="4"/>
  <c r="H1" i="4"/>
  <c r="D33" i="4"/>
  <c r="N7" i="3"/>
  <c r="N6" i="3"/>
  <c r="Z19" i="4"/>
  <c r="AB19" i="4" s="1"/>
  <c r="P25" i="2"/>
  <c r="C32" i="2"/>
  <c r="E32" i="2" s="1"/>
  <c r="H26" i="6" l="1"/>
  <c r="AC23" i="4"/>
  <c r="F23" i="2"/>
  <c r="F26" i="2"/>
  <c r="E23" i="2"/>
  <c r="C26" i="2"/>
  <c r="E26" i="2" s="1"/>
  <c r="E25" i="2"/>
  <c r="E27" i="2"/>
  <c r="F25" i="2"/>
  <c r="F27" i="2"/>
  <c r="E16" i="2"/>
  <c r="E18" i="2"/>
  <c r="E14" i="2"/>
  <c r="C17" i="2"/>
  <c r="E17" i="2" s="1"/>
  <c r="F16" i="2"/>
  <c r="D18" i="2"/>
  <c r="F18" i="2" s="1"/>
  <c r="D13" i="2"/>
  <c r="F13" i="2" s="1"/>
  <c r="H13" i="2" s="1"/>
  <c r="F17" i="2"/>
  <c r="C6" i="2"/>
  <c r="E6" i="2" s="1"/>
  <c r="E9" i="2"/>
  <c r="C4" i="2"/>
  <c r="C8" i="2"/>
  <c r="E8" i="2" s="1"/>
  <c r="F5" i="2"/>
  <c r="F8" i="2"/>
  <c r="D6" i="2"/>
  <c r="F6" i="2" s="1"/>
  <c r="D9" i="2"/>
  <c r="F9" i="2" s="1"/>
  <c r="D24" i="2"/>
  <c r="F24" i="2" s="1"/>
  <c r="D22" i="2"/>
  <c r="F22" i="2" s="1"/>
  <c r="E5" i="2"/>
  <c r="I25" i="1"/>
  <c r="I26" i="1"/>
  <c r="C22" i="2"/>
  <c r="I22" i="2" s="1"/>
  <c r="F14" i="2"/>
  <c r="C13" i="2"/>
  <c r="I13" i="2" s="1"/>
  <c r="F31" i="2"/>
  <c r="H26" i="1"/>
  <c r="AA23" i="4"/>
  <c r="H25" i="1"/>
  <c r="N11" i="3"/>
  <c r="D4" i="2"/>
  <c r="F4" i="2" s="1"/>
  <c r="H4" i="2" s="1"/>
  <c r="E7" i="2"/>
  <c r="C15" i="2"/>
  <c r="E15" i="2" s="1"/>
  <c r="F7" i="2"/>
  <c r="D15" i="2"/>
  <c r="F15" i="2" s="1"/>
  <c r="D32" i="2"/>
  <c r="F32" i="2" s="1"/>
  <c r="C24" i="2"/>
  <c r="E24" i="2" s="1"/>
  <c r="E31" i="2"/>
  <c r="S39" i="2"/>
  <c r="T39" i="2" s="1"/>
  <c r="S67" i="2"/>
  <c r="S60" i="2"/>
  <c r="S46" i="2"/>
  <c r="S53" i="2"/>
  <c r="R28" i="2"/>
  <c r="R27" i="2"/>
  <c r="R26" i="2"/>
  <c r="R25" i="2"/>
  <c r="R29" i="2"/>
  <c r="S11" i="2"/>
  <c r="T11" i="2" s="1"/>
  <c r="C18" i="4" s="1"/>
  <c r="O25" i="2"/>
  <c r="S25" i="2"/>
  <c r="T25" i="2" s="1"/>
  <c r="E18" i="4" s="1"/>
  <c r="O18" i="2"/>
  <c r="S18" i="2"/>
  <c r="T18" i="2" s="1"/>
  <c r="D18" i="4" s="1"/>
  <c r="S4" i="2"/>
  <c r="S32" i="2"/>
  <c r="T32" i="2" s="1"/>
  <c r="F18" i="4" s="1"/>
  <c r="P11" i="2"/>
  <c r="P18" i="2"/>
  <c r="O4" i="2"/>
  <c r="P4" i="2"/>
  <c r="O11" i="2"/>
  <c r="P46" i="2"/>
  <c r="O46" i="2"/>
  <c r="P67" i="2"/>
  <c r="O67" i="2"/>
  <c r="P60" i="2"/>
  <c r="O60" i="2"/>
  <c r="P53" i="2"/>
  <c r="O53" i="2"/>
  <c r="O39" i="2"/>
  <c r="P39" i="2"/>
  <c r="P32" i="2"/>
  <c r="O32" i="2"/>
  <c r="H28" i="2" l="1"/>
  <c r="H22" i="2"/>
  <c r="H9" i="2"/>
  <c r="H8" i="2"/>
  <c r="H7" i="2"/>
  <c r="H5" i="2"/>
  <c r="H6" i="2"/>
  <c r="E4" i="2"/>
  <c r="G4" i="2" s="1"/>
  <c r="I4" i="2"/>
  <c r="G10" i="2"/>
  <c r="I3" i="3"/>
  <c r="I26" i="3"/>
  <c r="I31" i="2"/>
  <c r="T67" i="2"/>
  <c r="T60" i="2"/>
  <c r="J18" i="4" s="1"/>
  <c r="E26" i="3"/>
  <c r="F26" i="3"/>
  <c r="D26" i="3"/>
  <c r="C26" i="3"/>
  <c r="L26" i="3"/>
  <c r="C19" i="3"/>
  <c r="D19" i="3"/>
  <c r="E19" i="3"/>
  <c r="F19" i="3"/>
  <c r="E20" i="3"/>
  <c r="E21" i="3" s="1"/>
  <c r="C20" i="3"/>
  <c r="C21" i="3" s="1"/>
  <c r="F20" i="3"/>
  <c r="F21" i="3" s="1"/>
  <c r="D20" i="3"/>
  <c r="D21" i="3" s="1"/>
  <c r="J26" i="3"/>
  <c r="C10" i="3"/>
  <c r="G26" i="3"/>
  <c r="J19" i="3"/>
  <c r="J26" i="4"/>
  <c r="H19" i="2"/>
  <c r="K18" i="4"/>
  <c r="K26" i="4"/>
  <c r="G18" i="4"/>
  <c r="G26" i="4"/>
  <c r="E13" i="2"/>
  <c r="G13" i="2" s="1"/>
  <c r="E22" i="2"/>
  <c r="G22" i="2" s="1"/>
  <c r="J3" i="3"/>
  <c r="H35" i="2"/>
  <c r="H39" i="2"/>
  <c r="H31" i="2"/>
  <c r="H36" i="2"/>
  <c r="H32" i="2"/>
  <c r="H33" i="2"/>
  <c r="H37" i="2"/>
  <c r="H38" i="2"/>
  <c r="H34" i="2"/>
  <c r="T4" i="2"/>
  <c r="B18" i="4" s="1"/>
  <c r="N12" i="3"/>
  <c r="N13" i="3" s="1"/>
  <c r="H10" i="2"/>
  <c r="G39" i="2"/>
  <c r="G35" i="2"/>
  <c r="G38" i="2"/>
  <c r="G34" i="2"/>
  <c r="G32" i="2"/>
  <c r="G37" i="2"/>
  <c r="G33" i="2"/>
  <c r="G36" i="2"/>
  <c r="G31" i="2"/>
  <c r="T53" i="2"/>
  <c r="T46" i="2"/>
  <c r="R69" i="2"/>
  <c r="R68" i="2"/>
  <c r="R67" i="2"/>
  <c r="R71" i="2"/>
  <c r="R70" i="2"/>
  <c r="R64" i="2"/>
  <c r="R63" i="2"/>
  <c r="R62" i="2"/>
  <c r="R61" i="2"/>
  <c r="R60" i="2"/>
  <c r="R55" i="2"/>
  <c r="R54" i="2"/>
  <c r="R53" i="2"/>
  <c r="R57" i="2"/>
  <c r="R56" i="2"/>
  <c r="R46" i="2"/>
  <c r="R50" i="2"/>
  <c r="R49" i="2"/>
  <c r="R48" i="2"/>
  <c r="R47" i="2"/>
  <c r="R43" i="2"/>
  <c r="R42" i="2"/>
  <c r="R41" i="2"/>
  <c r="R40" i="2"/>
  <c r="R39" i="2"/>
  <c r="H10" i="3" s="1"/>
  <c r="R22" i="2"/>
  <c r="R21" i="2"/>
  <c r="R20" i="2"/>
  <c r="R19" i="2"/>
  <c r="R18" i="2"/>
  <c r="R14" i="2"/>
  <c r="R13" i="2"/>
  <c r="R12" i="2"/>
  <c r="R11" i="2"/>
  <c r="D10" i="3" s="1"/>
  <c r="R15" i="2"/>
  <c r="Q67" i="2"/>
  <c r="Q71" i="2"/>
  <c r="Q70" i="2"/>
  <c r="Q69" i="2"/>
  <c r="Q68" i="2"/>
  <c r="Q64" i="2"/>
  <c r="Q63" i="2"/>
  <c r="Q62" i="2"/>
  <c r="Q61" i="2"/>
  <c r="Q60" i="2"/>
  <c r="Q57" i="2"/>
  <c r="Q56" i="2"/>
  <c r="Q55" i="2"/>
  <c r="Q54" i="2"/>
  <c r="Q53" i="2"/>
  <c r="Q48" i="2"/>
  <c r="Q47" i="2"/>
  <c r="Q46" i="2"/>
  <c r="Q50" i="2"/>
  <c r="Q49" i="2"/>
  <c r="Q43" i="2"/>
  <c r="Q42" i="2"/>
  <c r="Q41" i="2"/>
  <c r="Q40" i="2"/>
  <c r="Q39" i="2"/>
  <c r="H3" i="3" s="1"/>
  <c r="Q27" i="2"/>
  <c r="Q26" i="2"/>
  <c r="Q25" i="2"/>
  <c r="Q29" i="2"/>
  <c r="Q28" i="2"/>
  <c r="Q20" i="2"/>
  <c r="Q19" i="2"/>
  <c r="Q18" i="2"/>
  <c r="Q22" i="2"/>
  <c r="Q21" i="2"/>
  <c r="Q15" i="2"/>
  <c r="Q14" i="2"/>
  <c r="Q13" i="2"/>
  <c r="Q12" i="2"/>
  <c r="Q11" i="2"/>
  <c r="D3" i="3" s="1"/>
  <c r="Q8" i="2"/>
  <c r="Q4" i="2"/>
  <c r="Q5" i="2"/>
  <c r="Q7" i="2"/>
  <c r="Q6" i="2"/>
  <c r="R8" i="2"/>
  <c r="R4" i="2"/>
  <c r="R5" i="2"/>
  <c r="R7" i="2"/>
  <c r="R6" i="2"/>
  <c r="R35" i="2"/>
  <c r="R34" i="2"/>
  <c r="R33" i="2"/>
  <c r="R36" i="2"/>
  <c r="R32" i="2"/>
  <c r="Q35" i="2"/>
  <c r="Q32" i="2"/>
  <c r="G3" i="3" s="1"/>
  <c r="Q34" i="2"/>
  <c r="Q36" i="2"/>
  <c r="Q33" i="2"/>
  <c r="K3" i="3" l="1"/>
  <c r="K7" i="3" s="1"/>
  <c r="E39" i="3"/>
  <c r="F39" i="3"/>
  <c r="D39" i="3"/>
  <c r="C39" i="3"/>
  <c r="G8" i="2"/>
  <c r="G9" i="2"/>
  <c r="G5" i="2"/>
  <c r="G7" i="2"/>
  <c r="F29" i="3"/>
  <c r="F28" i="3"/>
  <c r="F27" i="3"/>
  <c r="F30" i="3"/>
  <c r="F22" i="3"/>
  <c r="F23" i="3"/>
  <c r="E29" i="3"/>
  <c r="E28" i="3"/>
  <c r="E27" i="3"/>
  <c r="E30" i="3"/>
  <c r="E22" i="3"/>
  <c r="E23" i="3"/>
  <c r="J27" i="3"/>
  <c r="J30" i="3"/>
  <c r="J28" i="3"/>
  <c r="J29" i="3"/>
  <c r="D23" i="3"/>
  <c r="D22" i="3"/>
  <c r="C23" i="3"/>
  <c r="C22" i="3"/>
  <c r="J22" i="3"/>
  <c r="J23" i="3"/>
  <c r="L27" i="3"/>
  <c r="L28" i="3"/>
  <c r="L30" i="3"/>
  <c r="L29" i="3"/>
  <c r="I27" i="3"/>
  <c r="I30" i="3"/>
  <c r="I29" i="3"/>
  <c r="I28" i="3"/>
  <c r="G28" i="3"/>
  <c r="G27" i="3"/>
  <c r="G30" i="3"/>
  <c r="G29" i="3"/>
  <c r="C28" i="3"/>
  <c r="C30" i="3"/>
  <c r="C29" i="3"/>
  <c r="C27" i="3"/>
  <c r="D30" i="3"/>
  <c r="D29" i="3"/>
  <c r="D27" i="3"/>
  <c r="D28" i="3"/>
  <c r="D7" i="3"/>
  <c r="D6" i="3"/>
  <c r="D14" i="3"/>
  <c r="D11" i="3"/>
  <c r="D13" i="3"/>
  <c r="D12" i="3"/>
  <c r="C12" i="3"/>
  <c r="C14" i="3"/>
  <c r="C11" i="3"/>
  <c r="C13" i="3"/>
  <c r="F3" i="3"/>
  <c r="H17" i="2"/>
  <c r="H15" i="2"/>
  <c r="H18" i="2"/>
  <c r="H16" i="2"/>
  <c r="H14" i="2"/>
  <c r="H26" i="3"/>
  <c r="H27" i="2"/>
  <c r="H23" i="2"/>
  <c r="H26" i="2"/>
  <c r="H25" i="2"/>
  <c r="H24" i="2"/>
  <c r="H19" i="3"/>
  <c r="G24" i="2"/>
  <c r="G27" i="2"/>
  <c r="G23" i="2"/>
  <c r="G26" i="2"/>
  <c r="G25" i="2"/>
  <c r="G17" i="2"/>
  <c r="G15" i="2"/>
  <c r="G16" i="2"/>
  <c r="G14" i="2"/>
  <c r="J20" i="3" s="1"/>
  <c r="J21" i="3" s="1"/>
  <c r="G18" i="2"/>
  <c r="H7" i="3"/>
  <c r="H6" i="3"/>
  <c r="G7" i="3"/>
  <c r="G6" i="3"/>
  <c r="J6" i="3"/>
  <c r="J7" i="3"/>
  <c r="I6" i="3"/>
  <c r="I7" i="3"/>
  <c r="H13" i="3"/>
  <c r="H14" i="3"/>
  <c r="H11" i="3"/>
  <c r="H12" i="3"/>
  <c r="K19" i="3"/>
  <c r="I19" i="3"/>
  <c r="G10" i="3"/>
  <c r="I10" i="3"/>
  <c r="F10" i="3"/>
  <c r="L19" i="3"/>
  <c r="J10" i="3"/>
  <c r="K26" i="3"/>
  <c r="K10" i="3"/>
  <c r="E10" i="3"/>
  <c r="G19" i="2"/>
  <c r="E3" i="3"/>
  <c r="L10" i="1"/>
  <c r="J17" i="4" s="1"/>
  <c r="L11" i="1" s="1"/>
  <c r="M10" i="6"/>
  <c r="K25" i="4" s="1"/>
  <c r="M11" i="6" s="1"/>
  <c r="M10" i="1"/>
  <c r="K17" i="4" s="1"/>
  <c r="M11" i="1" s="1"/>
  <c r="J10" i="6"/>
  <c r="H25" i="4" s="1"/>
  <c r="L10" i="6"/>
  <c r="J25" i="4" s="1"/>
  <c r="L11" i="6" s="1"/>
  <c r="K10" i="6"/>
  <c r="I25" i="4" s="1"/>
  <c r="K11" i="6" s="1"/>
  <c r="J10" i="1"/>
  <c r="K10" i="1"/>
  <c r="I17" i="4" s="1"/>
  <c r="K11" i="1" s="1"/>
  <c r="I26" i="4"/>
  <c r="I18" i="4"/>
  <c r="F10" i="6"/>
  <c r="D25" i="4" s="1"/>
  <c r="F11" i="6" s="1"/>
  <c r="H10" i="6"/>
  <c r="G10" i="6"/>
  <c r="E25" i="4" s="1"/>
  <c r="G11" i="6" s="1"/>
  <c r="I10" i="6"/>
  <c r="G25" i="4" s="1"/>
  <c r="I11" i="6" s="1"/>
  <c r="D10" i="6"/>
  <c r="B25" i="4" s="1"/>
  <c r="D11" i="6" s="1"/>
  <c r="E10" i="6"/>
  <c r="C25" i="4" s="1"/>
  <c r="E11" i="6" s="1"/>
  <c r="G10" i="1"/>
  <c r="E17" i="4" s="1"/>
  <c r="C4" i="3"/>
  <c r="C5" i="3" s="1"/>
  <c r="G20" i="3"/>
  <c r="G21" i="3" s="1"/>
  <c r="C3" i="3"/>
  <c r="C35" i="3" s="1"/>
  <c r="G19" i="3"/>
  <c r="L3" i="3"/>
  <c r="H18" i="4"/>
  <c r="H26" i="4"/>
  <c r="L26" i="4" s="1"/>
  <c r="L10" i="3"/>
  <c r="G28" i="2"/>
  <c r="F10" i="1"/>
  <c r="D17" i="4" s="1"/>
  <c r="E10" i="1"/>
  <c r="C17" i="4" s="1"/>
  <c r="D10" i="1"/>
  <c r="B17" i="4" s="1"/>
  <c r="I10" i="1"/>
  <c r="H10" i="1"/>
  <c r="F17" i="4" s="1"/>
  <c r="J11" i="6" l="1"/>
  <c r="L25" i="4"/>
  <c r="K6" i="3"/>
  <c r="J39" i="3"/>
  <c r="J4" i="3"/>
  <c r="K4" i="3"/>
  <c r="G6" i="2"/>
  <c r="I20" i="3"/>
  <c r="I21" i="3" s="1"/>
  <c r="L20" i="3"/>
  <c r="L21" i="3" s="1"/>
  <c r="K20" i="3"/>
  <c r="K21" i="3" s="1"/>
  <c r="H39" i="3"/>
  <c r="G39" i="3"/>
  <c r="I4" i="3"/>
  <c r="F7" i="3"/>
  <c r="L23" i="3"/>
  <c r="L22" i="3"/>
  <c r="I22" i="3"/>
  <c r="I23" i="3"/>
  <c r="H28" i="3"/>
  <c r="H29" i="3"/>
  <c r="H27" i="3"/>
  <c r="H30" i="3"/>
  <c r="G22" i="3"/>
  <c r="G23" i="3"/>
  <c r="K23" i="3"/>
  <c r="K22" i="3"/>
  <c r="K27" i="3"/>
  <c r="K30" i="3"/>
  <c r="K29" i="3"/>
  <c r="K28" i="3"/>
  <c r="H23" i="3"/>
  <c r="H22" i="3"/>
  <c r="D4" i="3"/>
  <c r="G4" i="3"/>
  <c r="F4" i="3"/>
  <c r="F5" i="3" s="1"/>
  <c r="L4" i="3"/>
  <c r="L5" i="3" s="1"/>
  <c r="E14" i="3"/>
  <c r="E12" i="3"/>
  <c r="E13" i="3"/>
  <c r="E11" i="3"/>
  <c r="H20" i="3"/>
  <c r="H21" i="3" s="1"/>
  <c r="H4" i="3"/>
  <c r="C7" i="3"/>
  <c r="C6" i="3"/>
  <c r="F6" i="3"/>
  <c r="E4" i="3"/>
  <c r="E5" i="3" s="1"/>
  <c r="L6" i="3"/>
  <c r="L7" i="3"/>
  <c r="E7" i="3"/>
  <c r="E6" i="3"/>
  <c r="F12" i="3"/>
  <c r="F11" i="3"/>
  <c r="F14" i="3"/>
  <c r="F13" i="3"/>
  <c r="I14" i="3"/>
  <c r="I12" i="3"/>
  <c r="I11" i="3"/>
  <c r="I13" i="3"/>
  <c r="G13" i="3"/>
  <c r="G11" i="3"/>
  <c r="G14" i="3"/>
  <c r="G12" i="3"/>
  <c r="L11" i="3"/>
  <c r="L12" i="3"/>
  <c r="L13" i="3"/>
  <c r="L14" i="3"/>
  <c r="K11" i="3"/>
  <c r="K13" i="3"/>
  <c r="K12" i="3"/>
  <c r="K14" i="3"/>
  <c r="J14" i="3"/>
  <c r="J11" i="3"/>
  <c r="J12" i="3"/>
  <c r="J13" i="3"/>
  <c r="AC17" i="4"/>
  <c r="L18" i="4"/>
  <c r="H27" i="1" s="1"/>
  <c r="AB20" i="4"/>
  <c r="AC20" i="4" s="1"/>
  <c r="F25" i="4"/>
  <c r="F11" i="1"/>
  <c r="E11" i="1"/>
  <c r="H11" i="1"/>
  <c r="D11" i="1"/>
  <c r="Z20" i="4"/>
  <c r="G17" i="4"/>
  <c r="H17" i="4"/>
  <c r="J11" i="1" s="1"/>
  <c r="G11" i="1"/>
  <c r="I39" i="3" l="1"/>
  <c r="K39" i="3"/>
  <c r="L39" i="3"/>
  <c r="D5" i="3"/>
  <c r="D35" i="3"/>
  <c r="E35" i="3"/>
  <c r="K5" i="3"/>
  <c r="K35" i="3"/>
  <c r="I5" i="3"/>
  <c r="I35" i="3"/>
  <c r="J5" i="3"/>
  <c r="J35" i="3"/>
  <c r="F35" i="3"/>
  <c r="L35" i="3"/>
  <c r="H5" i="3"/>
  <c r="H35" i="3"/>
  <c r="G5" i="3"/>
  <c r="G35" i="3"/>
  <c r="H27" i="6"/>
  <c r="AA17" i="4"/>
  <c r="H11" i="6"/>
  <c r="I11" i="1"/>
  <c r="AA20" i="4"/>
  <c r="L17" i="4"/>
  <c r="M29" i="4" l="1"/>
  <c r="E48" i="4" s="1"/>
  <c r="L29" i="4"/>
  <c r="E47" i="4" s="1"/>
  <c r="C37" i="4" s="1"/>
  <c r="H28" i="6"/>
  <c r="AC22" i="4"/>
  <c r="AA22" i="4"/>
  <c r="T26" i="4" s="1"/>
  <c r="L21" i="4"/>
  <c r="M21" i="4"/>
  <c r="C48" i="4" s="1"/>
  <c r="H28" i="1"/>
  <c r="C47" i="4" l="1"/>
  <c r="C31" i="4" s="1"/>
  <c r="U26" i="4"/>
  <c r="AC6" i="4" s="1"/>
  <c r="I29" i="6"/>
  <c r="H29" i="6"/>
  <c r="X6" i="4"/>
  <c r="I29" i="1"/>
  <c r="H29" i="1"/>
  <c r="AE13" i="4" l="1"/>
  <c r="AE8" i="4"/>
  <c r="AE7" i="4"/>
  <c r="AE12" i="4"/>
  <c r="AE10" i="4"/>
  <c r="AE9" i="4"/>
  <c r="AE11" i="4"/>
  <c r="AE6" i="4"/>
  <c r="Z11" i="4"/>
  <c r="Z8" i="4"/>
  <c r="Z13" i="4"/>
  <c r="Z12" i="4"/>
  <c r="Z10" i="4"/>
  <c r="Z7" i="4"/>
  <c r="Z6" i="4"/>
  <c r="Z9" i="4"/>
  <c r="V18" i="4" l="1"/>
  <c r="W18" i="4"/>
  <c r="D34" i="4"/>
  <c r="D40" i="4"/>
  <c r="AC18" i="4"/>
  <c r="AA19" i="4"/>
  <c r="AC19" i="4" s="1"/>
  <c r="C33" i="4"/>
  <c r="AA18" i="4"/>
  <c r="T23" i="4" s="1"/>
  <c r="C39" i="4"/>
  <c r="A40" i="4" s="1"/>
  <c r="A34" i="4" l="1"/>
  <c r="AB21" i="4"/>
  <c r="Z21" i="4"/>
  <c r="T27" i="4" s="1"/>
  <c r="AC21" i="4" l="1"/>
  <c r="U27" i="4"/>
  <c r="AA21" i="4"/>
  <c r="T24" i="4" s="1"/>
  <c r="T25" i="4" s="1"/>
  <c r="W7" i="4" l="1"/>
  <c r="W8" i="4"/>
  <c r="W9" i="4"/>
  <c r="W10" i="4"/>
  <c r="W11" i="4"/>
  <c r="W12" i="4"/>
  <c r="W13" i="4"/>
  <c r="W6" i="4"/>
  <c r="AB11" i="4" l="1"/>
  <c r="AD11" i="4" s="1"/>
  <c r="AF11" i="4" s="1"/>
  <c r="AB6" i="4"/>
  <c r="AD6" i="4" s="1"/>
  <c r="AF6" i="4" s="1"/>
  <c r="AB9" i="4"/>
  <c r="AD9" i="4" s="1"/>
  <c r="AF9" i="4" s="1"/>
  <c r="AB13" i="4"/>
  <c r="AD13" i="4" s="1"/>
  <c r="AF13" i="4" s="1"/>
  <c r="AB12" i="4"/>
  <c r="AD12" i="4" s="1"/>
  <c r="AF12" i="4" s="1"/>
  <c r="AB10" i="4"/>
  <c r="AD10" i="4" s="1"/>
  <c r="AB8" i="4"/>
  <c r="AD8" i="4" s="1"/>
  <c r="AF8" i="4" s="1"/>
  <c r="AB7" i="4"/>
  <c r="AD7" i="4" s="1"/>
  <c r="AF7" i="4" s="1"/>
  <c r="Y8" i="4"/>
  <c r="AA8" i="4" s="1"/>
  <c r="Y10" i="4"/>
  <c r="Y9" i="4"/>
  <c r="AA9" i="4" s="1"/>
  <c r="Y12" i="4"/>
  <c r="AA12" i="4" s="1"/>
  <c r="Y11" i="4"/>
  <c r="AA11" i="4" s="1"/>
  <c r="Y7" i="4"/>
  <c r="AA7" i="4" s="1"/>
  <c r="Y6" i="4"/>
  <c r="AA6" i="4" s="1"/>
  <c r="Y13" i="4"/>
  <c r="AA13" i="4" s="1"/>
  <c r="W17" i="4" l="1"/>
  <c r="V17" i="4"/>
  <c r="AF10" i="4"/>
  <c r="W19" i="4" s="1"/>
  <c r="AA10" i="4"/>
  <c r="V19" i="4" s="1"/>
  <c r="G40" i="4" l="1"/>
  <c r="A41" i="4" s="1"/>
  <c r="G34" i="4"/>
  <c r="A35" i="4" s="1"/>
  <c r="C43" i="4" l="1"/>
  <c r="X4" i="7" s="1"/>
  <c r="K25" i="6" l="1"/>
  <c r="K25" i="1"/>
</calcChain>
</file>

<file path=xl/sharedStrings.xml><?xml version="1.0" encoding="utf-8"?>
<sst xmlns="http://schemas.openxmlformats.org/spreadsheetml/2006/main" count="667" uniqueCount="355">
  <si>
    <t>Signal\Sign #2</t>
  </si>
  <si>
    <t>Signal\Sign #3</t>
  </si>
  <si>
    <t>Signal\Sign #4</t>
  </si>
  <si>
    <t>Signal\Sign #5</t>
  </si>
  <si>
    <t>Signal\Sign #6</t>
  </si>
  <si>
    <t>Signal\Sign #8</t>
  </si>
  <si>
    <t>X Arm</t>
  </si>
  <si>
    <t>Y Arm</t>
  </si>
  <si>
    <t>Width</t>
  </si>
  <si>
    <t>Height</t>
  </si>
  <si>
    <t>Width Center</t>
  </si>
  <si>
    <t>Height Center</t>
  </si>
  <si>
    <t>Graph X</t>
  </si>
  <si>
    <t>Graph Y</t>
  </si>
  <si>
    <t>Sign Width (in.)</t>
  </si>
  <si>
    <t>Sign Height (in.)</t>
  </si>
  <si>
    <t>Signal\Sign #10</t>
  </si>
  <si>
    <t>Slope</t>
  </si>
  <si>
    <t>Length</t>
  </si>
  <si>
    <t>Tip Center</t>
  </si>
  <si>
    <t>None</t>
  </si>
  <si>
    <t>Area (SF)</t>
  </si>
  <si>
    <t>Area</t>
  </si>
  <si>
    <t>Arm Lengths</t>
  </si>
  <si>
    <t>Total Arm Length (ft)</t>
  </si>
  <si>
    <t>Regular</t>
  </si>
  <si>
    <t>Wind Speed</t>
  </si>
  <si>
    <t>mph</t>
  </si>
  <si>
    <t>Signal Orientation</t>
  </si>
  <si>
    <t>1=Vertical, 2=Horizontal</t>
  </si>
  <si>
    <t>Arm Length</t>
  </si>
  <si>
    <t>3 Head</t>
  </si>
  <si>
    <t>Horizontal w/ Back Plate</t>
  </si>
  <si>
    <t>4 Head</t>
  </si>
  <si>
    <t>5 Head</t>
  </si>
  <si>
    <t>Doghouse</t>
  </si>
  <si>
    <t>Signal\Sign #7</t>
  </si>
  <si>
    <t>X Pole</t>
  </si>
  <si>
    <t>Y Pole</t>
  </si>
  <si>
    <t>Signal\Sign #1</t>
  </si>
  <si>
    <t>Signal\Sign #9</t>
  </si>
  <si>
    <t>Heavy Duty</t>
  </si>
  <si>
    <t>Wall Thickness (in)</t>
  </si>
  <si>
    <t>S 
(in3)</t>
  </si>
  <si>
    <t>Z 
(in3)</t>
  </si>
  <si>
    <t>Mr=φMn
(kip*ft)</t>
  </si>
  <si>
    <t>Sign/Sig 
Mwl 
(kip*ft)</t>
  </si>
  <si>
    <r>
      <t>Sign/Signal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</si>
  <si>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Arm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</si>
  <si>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=φM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
(kip*ft)</t>
    </r>
  </si>
  <si>
    <t>Sign/Sig. Wind Pressure (psf)</t>
  </si>
  <si>
    <t>Dist from Pole (ft.)</t>
  </si>
  <si>
    <t>Dia. at Arm Base (in)</t>
  </si>
  <si>
    <r>
      <t>Total Moment (M</t>
    </r>
    <r>
      <rPr>
        <vertAlign val="subscript"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>)</t>
    </r>
  </si>
  <si>
    <t>Weight</t>
  </si>
  <si>
    <t>Tube Wind Pressure (psf)</t>
  </si>
  <si>
    <t>Fy 
(ksi)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</si>
  <si>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dl</t>
    </r>
    <r>
      <rPr>
        <b/>
        <sz val="11"/>
        <color theme="1"/>
        <rFont val="Calibri"/>
        <family val="2"/>
        <scheme val="minor"/>
      </rPr>
      <t xml:space="preserve">
(kip*ft)</t>
    </r>
  </si>
  <si>
    <t>Total</t>
  </si>
  <si>
    <r>
      <t>Resistance (M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  <r>
      <rPr>
        <sz val="11"/>
        <color theme="1"/>
        <rFont val="Calibri"/>
        <family val="2"/>
      </rPr>
      <t>φM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) (kip*ft)</t>
    </r>
  </si>
  <si>
    <r>
      <t>1.1*Arm M</t>
    </r>
    <r>
      <rPr>
        <vertAlign val="subscript"/>
        <sz val="11"/>
        <color theme="1"/>
        <rFont val="Calibri"/>
        <family val="2"/>
        <scheme val="minor"/>
      </rPr>
      <t>dl</t>
    </r>
    <r>
      <rPr>
        <sz val="11"/>
        <color theme="1"/>
        <rFont val="Calibri"/>
        <family val="2"/>
        <scheme val="minor"/>
      </rPr>
      <t xml:space="preserve"> (kip*ft) </t>
    </r>
  </si>
  <si>
    <r>
      <t>1.1*Sign/Signal M</t>
    </r>
    <r>
      <rPr>
        <vertAlign val="subscript"/>
        <sz val="10"/>
        <color theme="1"/>
        <rFont val="Calibri"/>
        <family val="2"/>
        <scheme val="minor"/>
      </rPr>
      <t>dl</t>
    </r>
    <r>
      <rPr>
        <sz val="10"/>
        <color theme="1"/>
        <rFont val="Calibri"/>
        <family val="2"/>
        <scheme val="minor"/>
      </rPr>
      <t xml:space="preserve"> (kip*ft) </t>
    </r>
  </si>
  <si>
    <t>Sign/Sig 
1.1*Mdl
(kip*ft)</t>
  </si>
  <si>
    <t>Diameter</t>
  </si>
  <si>
    <t>Index 17743 Drilled Shaft Capacities</t>
  </si>
  <si>
    <t>Extreme Event Arm Moment (kip*ft)</t>
  </si>
  <si>
    <t xml:space="preserve">Assumptions: </t>
  </si>
  <si>
    <t>Run the FDOT Mast Arm Mathcad Program for more accurate results.</t>
  </si>
  <si>
    <t>DS/20/5</t>
  </si>
  <si>
    <t>DS/18/5</t>
  </si>
  <si>
    <t>DS/16/5</t>
  </si>
  <si>
    <t>DS/16/4.5</t>
  </si>
  <si>
    <t>DS/14/5</t>
  </si>
  <si>
    <t>DS/14/4.5</t>
  </si>
  <si>
    <t>DS/12/4.5</t>
  </si>
  <si>
    <t>DS/12/4</t>
  </si>
  <si>
    <t>ID</t>
  </si>
  <si>
    <t>Load Case</t>
  </si>
  <si>
    <t>Luminaire</t>
  </si>
  <si>
    <t>1=No, 2=Yes</t>
  </si>
  <si>
    <t>Pole Designation</t>
  </si>
  <si>
    <t>Drilled Shaft</t>
  </si>
  <si>
    <t>DS</t>
  </si>
  <si>
    <t>Button Index</t>
  </si>
  <si>
    <t>Value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</si>
  <si>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130mph</t>
    </r>
    <r>
      <rPr>
        <b/>
        <sz val="11"/>
        <color theme="1"/>
        <rFont val="Calibri"/>
        <family val="2"/>
        <scheme val="minor"/>
      </rPr>
      <t xml:space="preserve">
(kip*ft)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</si>
  <si>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 mph</t>
    </r>
    <r>
      <rPr>
        <b/>
        <sz val="11"/>
        <color theme="1"/>
        <rFont val="Calibri"/>
        <family val="2"/>
        <scheme val="minor"/>
      </rPr>
      <t xml:space="preserve">
(kip*ft)</t>
    </r>
  </si>
  <si>
    <t>Est. Regular Arm CFI</t>
  </si>
  <si>
    <t>Est. HD Arm CFI</t>
  </si>
  <si>
    <t>Shaft 
2-Arm Factor</t>
  </si>
  <si>
    <t>Shear</t>
  </si>
  <si>
    <t>N/A</t>
  </si>
  <si>
    <t>Torsion</t>
  </si>
  <si>
    <t>Moment dl</t>
  </si>
  <si>
    <t>Moment wl</t>
  </si>
  <si>
    <t>Moment Total</t>
  </si>
  <si>
    <t>Check Torsion</t>
  </si>
  <si>
    <t xml:space="preserve">Check </t>
  </si>
  <si>
    <t>Pole Base Shears &amp; Moments</t>
  </si>
  <si>
    <t>Min Shaft Diameter</t>
  </si>
  <si>
    <t>Check Mom. &amp; Min Dia.</t>
  </si>
  <si>
    <t>Reg Arm / HD Arm</t>
  </si>
  <si>
    <t>Foundation is cohesionless with a friction angle of 30 degree, N=15, Unit weight of soil = 50 pcf.</t>
  </si>
  <si>
    <t>Part 4 is the Drilled Shaft: DS/xx/y where xx is the shaft length and y is the shaft diameter.</t>
  </si>
  <si>
    <t>Mast Arm Assembly ID consists of three parts for a single arm and 4 parts for a double Arm.  Each part is separated by "-".</t>
  </si>
  <si>
    <t>Part 3 is the Pole: Px/y/z where x is the pole ID, y is "S" for single arm or "D" for double arms and z is "L" for luminaire or blank for no luminaire.</t>
  </si>
  <si>
    <t>Notes:</t>
  </si>
  <si>
    <t>dl att</t>
  </si>
  <si>
    <t>dl arm</t>
  </si>
  <si>
    <t>wl pole</t>
  </si>
  <si>
    <t>wl att</t>
  </si>
  <si>
    <t>wl arm</t>
  </si>
  <si>
    <t>Index</t>
  </si>
  <si>
    <t>Design Arm Designation</t>
  </si>
  <si>
    <t>Directions</t>
  </si>
  <si>
    <t>2md Arm ID</t>
  </si>
  <si>
    <t>User Selection</t>
  </si>
  <si>
    <t xml:space="preserve">Forces at Top of DS </t>
  </si>
  <si>
    <t>One Arm</t>
  </si>
  <si>
    <t>Two Arms</t>
  </si>
  <si>
    <t>One Arm Mast Arm Assembly</t>
  </si>
  <si>
    <t>Two Arm Mast Arm Assembly</t>
  </si>
  <si>
    <t>wall thk   (in)</t>
  </si>
  <si>
    <t>base dia (in)</t>
  </si>
  <si>
    <t>No foundation offset is considered.  If the top of drilled shaft &gt; 2 feet above ground, run the Mathcad Mast Arm Program.</t>
  </si>
  <si>
    <t>A30/D/H</t>
  </si>
  <si>
    <t>A40/D</t>
  </si>
  <si>
    <t>A40/D/H</t>
  </si>
  <si>
    <t>A50/D</t>
  </si>
  <si>
    <t>A50/D/H</t>
  </si>
  <si>
    <t>A60/D</t>
  </si>
  <si>
    <t>A60/D/H</t>
  </si>
  <si>
    <t>A70/D</t>
  </si>
  <si>
    <t>A70/D/H</t>
  </si>
  <si>
    <t>A78/D</t>
  </si>
  <si>
    <t>A78/D/H</t>
  </si>
  <si>
    <t>Pole ID</t>
  </si>
  <si>
    <t>Max Design CFI %</t>
  </si>
  <si>
    <t>Tip Dia</t>
  </si>
  <si>
    <t>Values for Arm Graph</t>
  </si>
  <si>
    <t>A30/D</t>
  </si>
  <si>
    <t>Arm 1 Length, Signal/Sign Location and Size</t>
  </si>
  <si>
    <t>Arm 1 Length (ft)</t>
  </si>
  <si>
    <t>Arm 1 Loads</t>
  </si>
  <si>
    <t>Arm 2 Length (ft)</t>
  </si>
  <si>
    <t>Arm 2 Length, Signal/Sign Location and Size</t>
  </si>
  <si>
    <t>Arm 2 Loads</t>
  </si>
  <si>
    <t>Arm 1 Length</t>
  </si>
  <si>
    <t>Arm 2 Length</t>
  </si>
  <si>
    <t>Arm 1</t>
  </si>
  <si>
    <t>Arm 2</t>
  </si>
  <si>
    <t>Arm Without Attachments: Dead Load Moment, Wind Load Moment and Moment Capacity at Base Connection</t>
  </si>
  <si>
    <t>Arm 1 Attachments: Extreme Event Dead Load Moment, Wind Load Moment at Base Connection</t>
  </si>
  <si>
    <t>Arm 2 Attachments: Extreme Event Dead Load Moment, Wind Load Moment at Base Connection</t>
  </si>
  <si>
    <t>Arm 1
Mwl 
(kip*ft)</t>
  </si>
  <si>
    <t>Arm 1
1.1*Mdl
(kip*ft)</t>
  </si>
  <si>
    <t>Arm 2
Mwl 
(kip*ft)</t>
  </si>
  <si>
    <t>Arm 2
1.1*Mdl
(kip*ft)</t>
  </si>
  <si>
    <t>ARM 1</t>
  </si>
  <si>
    <t>ARM 2</t>
  </si>
  <si>
    <t>Assembly ID</t>
  </si>
  <si>
    <t>1 Arm Assembly</t>
  </si>
  <si>
    <t>2 Arm Assembly</t>
  </si>
  <si>
    <t>Arm Length(s)</t>
  </si>
  <si>
    <t>DS 
Index #</t>
  </si>
  <si>
    <t>1 Arm DS
Index #</t>
  </si>
  <si>
    <t>2 Arm DS
Index #</t>
  </si>
  <si>
    <t>Drilled Shaft Index req'd for Torsion</t>
  </si>
  <si>
    <t>Required Drilled Shaft Index Number Required (see Table for size)</t>
  </si>
  <si>
    <t>ID No.</t>
  </si>
  <si>
    <t>Total Arm Length</t>
  </si>
  <si>
    <t>Paint Color</t>
  </si>
  <si>
    <t>Arm 1 Shear</t>
  </si>
  <si>
    <t>Arm 1 Moment</t>
  </si>
  <si>
    <t>Arm 2 Shear</t>
  </si>
  <si>
    <t>Arm 2 Moment</t>
  </si>
  <si>
    <t>Station</t>
  </si>
  <si>
    <t>Arm 2 length is always equal to or smaller than Arm 1 length.</t>
  </si>
  <si>
    <t>Part 1 is Arm 1: Axx/y/z, where xx is the arm length, y is "S" for single arm or "D" for double arms and z is "H" for heavy duty arm or blank for regular arm.</t>
  </si>
  <si>
    <t>Part 2 is Arm 2 and has the same nomenclature as the 1st arm.  For single arm assemblies, Part 2 is omitted.</t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</si>
  <si>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Arm 1 data (see above).</t>
    </r>
  </si>
  <si>
    <r>
      <t>2.  In the</t>
    </r>
    <r>
      <rPr>
        <b/>
        <i/>
        <sz val="12"/>
        <rFont val="Times New Roman"/>
        <family val="1"/>
      </rPr>
      <t xml:space="preserve"> Arm2Design</t>
    </r>
    <r>
      <rPr>
        <sz val="12"/>
        <rFont val="Times New Roman"/>
        <family val="1"/>
      </rPr>
      <t xml:space="preserve"> tab, enter the following data .</t>
    </r>
  </si>
  <si>
    <r>
      <t xml:space="preserve">a.  The Mast Arm Assembly ID is shown in the bottom right corner on the </t>
    </r>
    <r>
      <rPr>
        <b/>
        <i/>
        <sz val="12"/>
        <color theme="1"/>
        <rFont val="Times New Roman"/>
        <family val="1"/>
      </rPr>
      <t>Arm1Design</t>
    </r>
    <r>
      <rPr>
        <sz val="12"/>
        <color theme="1"/>
        <rFont val="Times New Roman"/>
        <family val="1"/>
      </rPr>
      <t xml:space="preserve"> tab..</t>
    </r>
  </si>
  <si>
    <t>TabulationSheet Tab</t>
  </si>
  <si>
    <t>1. Ffill out the remaiming fields for the Mast Arm Assembly</t>
  </si>
  <si>
    <t>2.  Cut and paste both rows of data down the sheet . Paste columns A-M first then N-Y second.  Paste the data using Values(V).</t>
  </si>
  <si>
    <r>
      <t xml:space="preserve">3.  The Mast Arm Assembly ID is shown in the bottom right corner on the </t>
    </r>
    <r>
      <rPr>
        <b/>
        <i/>
        <sz val="12"/>
        <color theme="1"/>
        <rFont val="Times New Roman"/>
        <family val="1"/>
      </rPr>
      <t>Arm2Design</t>
    </r>
    <r>
      <rPr>
        <sz val="12"/>
        <color theme="1"/>
        <rFont val="Times New Roman"/>
        <family val="1"/>
      </rPr>
      <t xml:space="preserve"> tab..</t>
    </r>
  </si>
  <si>
    <r>
      <t xml:space="preserve">2. In the </t>
    </r>
    <r>
      <rPr>
        <b/>
        <i/>
        <sz val="12"/>
        <rFont val="Times New Roman"/>
        <family val="1"/>
      </rPr>
      <t>Arm2Design</t>
    </r>
    <r>
      <rPr>
        <sz val="12"/>
        <rFont val="Times New Roman"/>
        <family val="1"/>
      </rPr>
      <t xml:space="preserve"> tab, enter "None" for the "Arm 2 Length".</t>
    </r>
  </si>
  <si>
    <t>All new Mast Arm Assemblies are designed for luminaire forces (allowance for future retrofits).</t>
  </si>
  <si>
    <t>Note: Poles are designed to have a smaller CFI than Arms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</si>
  <si>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</si>
  <si>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</si>
  <si>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+
P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*L</t>
    </r>
    <r>
      <rPr>
        <b/>
        <vertAlign val="subscript"/>
        <sz val="11"/>
        <color theme="1"/>
        <rFont val="Calibri"/>
        <family val="2"/>
        <scheme val="minor"/>
      </rPr>
      <t>shaft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</si>
  <si>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</t>
    </r>
  </si>
  <si>
    <t xml:space="preserve">Signal/ Sign 10 </t>
  </si>
  <si>
    <t xml:space="preserve">Signal/ Sign 9 </t>
  </si>
  <si>
    <t>Signal/ Sign 8</t>
  </si>
  <si>
    <t>Signal/ Sign 7</t>
  </si>
  <si>
    <t>Signal/ Sign 6</t>
  </si>
  <si>
    <t xml:space="preserve">Signal/ Sign 5 </t>
  </si>
  <si>
    <t xml:space="preserve">Signal/ Sign 4 </t>
  </si>
  <si>
    <t>Signal/ Sign 3</t>
  </si>
  <si>
    <t>Signal/ Sign 2</t>
  </si>
  <si>
    <t>Signal/ Sign 1</t>
  </si>
  <si>
    <t>2 Arm Assembly Loads and Capacity Check</t>
  </si>
  <si>
    <t>1 Arm Assembly Loads And Capacity Check</t>
  </si>
  <si>
    <t>Ensures anchor bolts fit inside rebar cage</t>
  </si>
  <si>
    <t>assume a 37.5' pole wl with lum</t>
  </si>
  <si>
    <t>Sheet No.</t>
  </si>
  <si>
    <t>Ped. Signal Yes/No</t>
  </si>
  <si>
    <t>Top of Shaft Elev.</t>
  </si>
  <si>
    <t>Mast Arm Assembly General Information</t>
  </si>
  <si>
    <t>Rdwy Crown Elev.</t>
  </si>
  <si>
    <t>Signal/Sign 1</t>
  </si>
  <si>
    <t>Signal/Sign 2</t>
  </si>
  <si>
    <t>Signal/Sign 3</t>
  </si>
  <si>
    <t>Signal/Sign 4</t>
  </si>
  <si>
    <t>Signal/Sign 5</t>
  </si>
  <si>
    <t>Signal/Sign 6</t>
  </si>
  <si>
    <t>Signal/Sign 7</t>
  </si>
  <si>
    <t>Signal/Sign 8</t>
  </si>
  <si>
    <t>Signal/Sign 9</t>
  </si>
  <si>
    <t>Signal/Sign 10</t>
  </si>
  <si>
    <t xml:space="preserve">Mast Arm Assembly Designation 
&amp; Dimensions (17743 &amp; 5) </t>
  </si>
  <si>
    <t xml:space="preserve"> Mast Arm Assembly Optional Dimensions (17745) and Special Instructions</t>
  </si>
  <si>
    <t>Signal 
Vert/Horiz</t>
  </si>
  <si>
    <t>Luminaire
Yes/No</t>
  </si>
  <si>
    <t>Roadway Arm #</t>
  </si>
  <si>
    <t>Custom Arm Length, Pole Height &amp; Shaft</t>
  </si>
  <si>
    <t>Signal/Sign 10 Global X</t>
  </si>
  <si>
    <t>Signal/Sign 9 Global X</t>
  </si>
  <si>
    <t>Signal/Sign 8 Global X</t>
  </si>
  <si>
    <t>Signal/Sign 7 Global X</t>
  </si>
  <si>
    <t>Signal/Sign 6 Global X</t>
  </si>
  <si>
    <t>Signal/Sign 5 Global X</t>
  </si>
  <si>
    <t>Signal/Sign 4 Global X</t>
  </si>
  <si>
    <t>Signal/Sign 3 Global X</t>
  </si>
  <si>
    <t>Signal/Sign 2 Global X</t>
  </si>
  <si>
    <t>Signal/Sign 1 Global X</t>
  </si>
  <si>
    <t>Signal/Sign 10 Global Y</t>
  </si>
  <si>
    <t>Signal/Sign 9 Global Y</t>
  </si>
  <si>
    <t>Signal/Sign 8 Global Y</t>
  </si>
  <si>
    <t>Signal/Sign 7 Global Y</t>
  </si>
  <si>
    <t>Signal/Sign 6 Global Y</t>
  </si>
  <si>
    <t>Signal/Sign 5 Global Y</t>
  </si>
  <si>
    <t>Signal/Sign 4 Global Y</t>
  </si>
  <si>
    <t>Signal/Sign 3 Global Y</t>
  </si>
  <si>
    <t>Signal/Sign 2 Global Y</t>
  </si>
  <si>
    <t>Signal/Sign 1 Global Y</t>
  </si>
  <si>
    <t>Signal/Sign Location (Distance from CL of Pole) and Size (# Heads or Sign Width x Height)</t>
  </si>
  <si>
    <t>Ped. Button</t>
  </si>
  <si>
    <t>Ped.  Signals</t>
  </si>
  <si>
    <t xml:space="preserve">used for OT &amp; Torsion </t>
  </si>
  <si>
    <t>Standard Mast Arm 
Assembly Designation</t>
  </si>
  <si>
    <t>Mast Arm Assembly Information</t>
  </si>
  <si>
    <t>Arm Mounting Ht. 
'UB' (ft)</t>
  </si>
  <si>
    <t>2 Arm Angle 
'UF' (deg)</t>
  </si>
  <si>
    <t>Lum. Angle 
'LL' (deg)</t>
  </si>
  <si>
    <t>Arm 1 Length
'FAA' (ft.)</t>
  </si>
  <si>
    <t>Arm 2 Length
'SAA' (ft.)</t>
  </si>
  <si>
    <t>Pole Height
'UAA' (ft.)</t>
  </si>
  <si>
    <t>Shaft Length
'DA' (ft.)</t>
  </si>
  <si>
    <t>Shaft Dia.
'DB' (ft.)</t>
  </si>
  <si>
    <t>Shaft Bar#
'RA'</t>
  </si>
  <si>
    <t>Shaft No. Bars
'RB'</t>
  </si>
  <si>
    <t>Shaft Tie Sp.
'RD' (in.)</t>
  </si>
  <si>
    <t>Shaft Tie No. Sp. 'RC'</t>
  </si>
  <si>
    <t>Handhole Loc.</t>
  </si>
  <si>
    <t>Tor wl att</t>
  </si>
  <si>
    <t>Tor wl arm</t>
  </si>
  <si>
    <t>For two arm mast arms, the foundation torsion and overturning moments are factored from the single arm torsion and overturning moments.</t>
  </si>
  <si>
    <t>Design Aid for FDOT Standard Mast Arm Assemblies (Standard Plans Index 649-030)</t>
  </si>
  <si>
    <t>Changes</t>
  </si>
  <si>
    <t>v1.2</t>
  </si>
  <si>
    <t>11/15/2018</t>
  </si>
  <si>
    <t>1. Added "Changes" tab.</t>
  </si>
  <si>
    <t>2. Updated drilled shaft selection cells (V17:W19 of CFI&amp;Designation).</t>
  </si>
  <si>
    <t>3. Updated sketch of TabulationSheet.</t>
  </si>
  <si>
    <t>Terminal Compartment
Yes/No</t>
  </si>
  <si>
    <t>v1.3</t>
  </si>
  <si>
    <t>1. Corrected pole designation on 'A50'-'A50' arms from 'P3' to 'P4'.</t>
  </si>
  <si>
    <t>12/26/2019</t>
  </si>
  <si>
    <t>v1.4</t>
  </si>
  <si>
    <t>5/27/2020</t>
  </si>
  <si>
    <t>1. Change the maximum CFI from 0.98 to 0.95..</t>
  </si>
  <si>
    <t>Arm Axial and Shear force ratios are no more than 5% of the CFI (i.e. Mu/Mr ≤ 0.95).</t>
  </si>
  <si>
    <t>For new designs, always design with backplates.</t>
  </si>
  <si>
    <t>Dist to Pole (ft.)</t>
  </si>
  <si>
    <t>Back Plate Size</t>
  </si>
  <si>
    <t>Vertical 6" Back Plate</t>
  </si>
  <si>
    <t>Vertical no Back Plate</t>
  </si>
  <si>
    <t>Horizontal 6" Back Plate</t>
  </si>
  <si>
    <t>Horizontal no Back Plate</t>
  </si>
  <si>
    <t>Vertical 2.5" Back Plate</t>
  </si>
  <si>
    <t>Horizontal 2.5" Back Plate</t>
  </si>
  <si>
    <t>Arm 1 - Sig 10</t>
  </si>
  <si>
    <t>Arm 1 - Sig 9</t>
  </si>
  <si>
    <t>Arm 1 - Sig 8</t>
  </si>
  <si>
    <t>Arm 1 - Sig 7</t>
  </si>
  <si>
    <t>Arm 2 - Sig 10</t>
  </si>
  <si>
    <t>Arm 2 - Sig 9</t>
  </si>
  <si>
    <t>Arm 2 - Sig 8</t>
  </si>
  <si>
    <t>Arm 2 - Sig 7</t>
  </si>
  <si>
    <t>Arm 1 - Sig 6</t>
  </si>
  <si>
    <t>Arm 2 - Sig 6</t>
  </si>
  <si>
    <t>Arm 2 - Sig 5</t>
  </si>
  <si>
    <t>Arm 2 - Sig 4</t>
  </si>
  <si>
    <t>Arm1 - Sig 5</t>
  </si>
  <si>
    <t>Arm 1 - Sig 4</t>
  </si>
  <si>
    <t>Arm 1 - Sig 3</t>
  </si>
  <si>
    <t>Arm 2 - Sig 3</t>
  </si>
  <si>
    <t>Arm 2 - Sig 2</t>
  </si>
  <si>
    <t>Arm 1 - Sig 2</t>
  </si>
  <si>
    <t>Arm 1 - Sig 1</t>
  </si>
  <si>
    <t>Arm 2 - Sig 1</t>
  </si>
  <si>
    <t>1=6", 2=0", 3=2.5" Flexible"</t>
  </si>
  <si>
    <t>v1.5</t>
  </si>
  <si>
    <t>9/10/2021</t>
  </si>
  <si>
    <t>1. Added 2.5 inch Flexible Backplates.</t>
  </si>
  <si>
    <t>All new Mast Arm Assemblies should be designed with 6 inch backplates.</t>
  </si>
  <si>
    <t>Arm CFI is the controlling component of the entire Mast Arm Assembly.</t>
  </si>
  <si>
    <t>Backplates</t>
  </si>
  <si>
    <t>v1.6</t>
  </si>
  <si>
    <t>Standard Plans Index 649-030</t>
  </si>
  <si>
    <r>
      <t>M</t>
    </r>
    <r>
      <rPr>
        <i/>
        <vertAlign val="subscript"/>
        <sz val="10"/>
        <color theme="1"/>
        <rFont val="Calibri"/>
        <family val="2"/>
        <scheme val="minor"/>
      </rPr>
      <t>wl</t>
    </r>
    <r>
      <rPr>
        <i/>
        <sz val="10"/>
        <color theme="1"/>
        <rFont val="Calibri"/>
        <family val="2"/>
        <scheme val="minor"/>
      </rPr>
      <t>. (kip*ft)</t>
    </r>
  </si>
  <si>
    <t>Arm 1 Sign/Signal Centers</t>
  </si>
  <si>
    <t>Arm 2 Sign/Signal Centers</t>
  </si>
  <si>
    <t>Arm to pole connection is assumed at 22 ft. above the base.</t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</si>
  <si>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following data shown in white cells:</t>
    </r>
  </si>
  <si>
    <r>
      <t xml:space="preserve">a.  </t>
    </r>
    <r>
      <rPr>
        <b/>
        <sz val="12"/>
        <color theme="1"/>
        <rFont val="Times New Roman"/>
        <family val="1"/>
      </rPr>
      <t>Wind Speed</t>
    </r>
    <r>
      <rPr>
        <sz val="12"/>
        <color theme="1"/>
        <rFont val="Times New Roman"/>
        <family val="1"/>
      </rPr>
      <t>: 130/150/170 mph.</t>
    </r>
  </si>
  <si>
    <r>
      <t xml:space="preserve">b.  </t>
    </r>
    <r>
      <rPr>
        <b/>
        <sz val="12"/>
        <color theme="1"/>
        <rFont val="Times New Roman"/>
        <family val="1"/>
      </rPr>
      <t>Signal Orientation</t>
    </r>
    <r>
      <rPr>
        <sz val="12"/>
        <color theme="1"/>
        <rFont val="Times New Roman"/>
        <family val="1"/>
      </rPr>
      <t>: Vertical/Horizontal, this selection only modifies the drawing.</t>
    </r>
  </si>
  <si>
    <r>
      <t xml:space="preserve">c.  </t>
    </r>
    <r>
      <rPr>
        <b/>
        <sz val="12"/>
        <color theme="1"/>
        <rFont val="Times New Roman"/>
        <family val="1"/>
      </rPr>
      <t>Back Plate Width</t>
    </r>
    <r>
      <rPr>
        <sz val="12"/>
        <color theme="1"/>
        <rFont val="Times New Roman"/>
        <family val="1"/>
      </rPr>
      <t>: use 6 inches for design, for flexible backplates choose"2.5 in.".</t>
    </r>
  </si>
  <si>
    <r>
      <t xml:space="preserve">d. </t>
    </r>
    <r>
      <rPr>
        <b/>
        <sz val="12"/>
        <color theme="1"/>
        <rFont val="Times New Roman"/>
        <family val="1"/>
      </rPr>
      <t xml:space="preserve"> Luminaire</t>
    </r>
    <r>
      <rPr>
        <sz val="12"/>
        <color theme="1"/>
        <rFont val="Times New Roman"/>
        <family val="1"/>
      </rPr>
      <t>: Yes/No.</t>
    </r>
  </si>
  <si>
    <r>
      <t xml:space="preserve">e. </t>
    </r>
    <r>
      <rPr>
        <b/>
        <sz val="12"/>
        <color theme="1"/>
        <rFont val="Times New Roman"/>
        <family val="1"/>
      </rPr>
      <t>Arm Length</t>
    </r>
    <r>
      <rPr>
        <sz val="12"/>
        <color theme="1"/>
        <rFont val="Times New Roman"/>
        <family val="1"/>
      </rPr>
      <t>, Signal Orientation, Backplates = "Yes".</t>
    </r>
  </si>
  <si>
    <r>
      <t xml:space="preserve">f. </t>
    </r>
    <r>
      <rPr>
        <b/>
        <sz val="12"/>
        <color theme="1"/>
        <rFont val="Times New Roman"/>
        <family val="1"/>
      </rPr>
      <t xml:space="preserve"> Distance to the signal/sign</t>
    </r>
    <r>
      <rPr>
        <sz val="12"/>
        <color theme="1"/>
        <rFont val="Times New Roman"/>
        <family val="1"/>
      </rPr>
      <t>.</t>
    </r>
  </si>
  <si>
    <r>
      <t xml:space="preserve">g.  </t>
    </r>
    <r>
      <rPr>
        <b/>
        <sz val="12"/>
        <color theme="1"/>
        <rFont val="Times New Roman"/>
        <family val="1"/>
      </rPr>
      <t>Type of signal/sign</t>
    </r>
    <r>
      <rPr>
        <sz val="12"/>
        <color theme="1"/>
        <rFont val="Times New Roman"/>
        <family val="1"/>
      </rPr>
      <t>.</t>
    </r>
  </si>
  <si>
    <r>
      <t xml:space="preserve">h.  </t>
    </r>
    <r>
      <rPr>
        <b/>
        <sz val="12"/>
        <color theme="1"/>
        <rFont val="Times New Roman"/>
        <family val="1"/>
      </rPr>
      <t>Sign Width and Height</t>
    </r>
    <r>
      <rPr>
        <sz val="12"/>
        <color theme="1"/>
        <rFont val="Times New Roman"/>
        <family val="1"/>
      </rPr>
      <t xml:space="preserve"> if required.</t>
    </r>
  </si>
  <si>
    <r>
      <t xml:space="preserve">a. </t>
    </r>
    <r>
      <rPr>
        <b/>
        <sz val="12"/>
        <color theme="1"/>
        <rFont val="Times New Roman"/>
        <family val="1"/>
      </rPr>
      <t>Arm Length</t>
    </r>
    <r>
      <rPr>
        <sz val="12"/>
        <color theme="1"/>
        <rFont val="Times New Roman"/>
        <family val="1"/>
      </rPr>
      <t>, Signal Orientation, Backplates = "Yes".</t>
    </r>
  </si>
  <si>
    <r>
      <t xml:space="preserve">b. </t>
    </r>
    <r>
      <rPr>
        <b/>
        <sz val="12"/>
        <color theme="1"/>
        <rFont val="Times New Roman"/>
        <family val="1"/>
      </rPr>
      <t xml:space="preserve"> Distance to the signal/sign</t>
    </r>
    <r>
      <rPr>
        <sz val="12"/>
        <color theme="1"/>
        <rFont val="Times New Roman"/>
        <family val="1"/>
      </rPr>
      <t>.</t>
    </r>
  </si>
  <si>
    <r>
      <t xml:space="preserve">c.  </t>
    </r>
    <r>
      <rPr>
        <b/>
        <sz val="12"/>
        <color theme="1"/>
        <rFont val="Times New Roman"/>
        <family val="1"/>
      </rPr>
      <t>Type of signal/sign</t>
    </r>
    <r>
      <rPr>
        <sz val="12"/>
        <color theme="1"/>
        <rFont val="Times New Roman"/>
        <family val="1"/>
      </rPr>
      <t>.</t>
    </r>
  </si>
  <si>
    <r>
      <t xml:space="preserve">d.  </t>
    </r>
    <r>
      <rPr>
        <b/>
        <sz val="12"/>
        <color theme="1"/>
        <rFont val="Times New Roman"/>
        <family val="1"/>
      </rPr>
      <t>Sign Width and Height</t>
    </r>
    <r>
      <rPr>
        <sz val="12"/>
        <color theme="1"/>
        <rFont val="Times New Roman"/>
        <family val="1"/>
      </rPr>
      <t xml:space="preserve"> if required.</t>
    </r>
  </si>
  <si>
    <t>11/1/2022</t>
  </si>
  <si>
    <t>1.  Formatting changes.</t>
  </si>
  <si>
    <r>
      <t>95% 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</rPr>
      <t xml:space="preserve"> (kip*ft)</t>
    </r>
  </si>
  <si>
    <t>3.  Changed the width on a signal head from 14.00" to 14.04".</t>
  </si>
  <si>
    <t>4.  Changed the area of the flexible backplate (only the sides of the back plate are flexible).</t>
  </si>
  <si>
    <r>
      <t xml:space="preserve">2.  Changed Kz in the equation for </t>
    </r>
    <r>
      <rPr>
        <b/>
        <sz val="12"/>
        <color theme="1"/>
        <rFont val="Times New Roman"/>
        <family val="1"/>
      </rPr>
      <t>Tube Wind Pressure</t>
    </r>
    <r>
      <rPr>
        <sz val="12"/>
        <color theme="1"/>
        <rFont val="Times New Roman"/>
        <family val="1"/>
      </rPr>
      <t xml:space="preserve"> and </t>
    </r>
    <r>
      <rPr>
        <b/>
        <sz val="12"/>
        <color theme="1"/>
        <rFont val="Times New Roman"/>
        <family val="1"/>
      </rPr>
      <t xml:space="preserve">Sign/Sig. Wind Pressure </t>
    </r>
    <r>
      <rPr>
        <sz val="12"/>
        <color theme="1"/>
        <rFont val="Times New Roman"/>
        <family val="1"/>
      </rPr>
      <t>from 1.0 to 0.94.</t>
    </r>
  </si>
  <si>
    <t>C</t>
  </si>
  <si>
    <r>
      <t>M</t>
    </r>
    <r>
      <rPr>
        <vertAlign val="subscript"/>
        <sz val="11"/>
        <color theme="1"/>
        <rFont val="Calibri"/>
        <family val="2"/>
        <scheme val="minor"/>
      </rPr>
      <t>wl.tube</t>
    </r>
  </si>
  <si>
    <t>lookup val</t>
  </si>
  <si>
    <t>A</t>
  </si>
  <si>
    <t>B</t>
  </si>
  <si>
    <t>Ax^B+C</t>
  </si>
  <si>
    <r>
      <t>5.  Added equations for Arm Wind Load Moment to approximate C</t>
    </r>
    <r>
      <rPr>
        <vertAlign val="subscript"/>
        <sz val="12"/>
        <color theme="1"/>
        <rFont val="Times New Roman"/>
        <family val="1"/>
      </rPr>
      <t>d</t>
    </r>
    <r>
      <rPr>
        <sz val="12"/>
        <color theme="1"/>
        <rFont val="Times New Roman"/>
        <family val="1"/>
      </rPr>
      <t xml:space="preserve"> changing with wind speed.</t>
    </r>
  </si>
  <si>
    <t>For new designs, always design with 6" backplates.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</si>
</sst>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FDOT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679555650502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bscript"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2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6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3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21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Protection="1">
      <protection locked="0"/>
    </xf>
    <xf numFmtId="0" fontId="0" fillId="4" borderId="43" xfId="0" applyFill="1" applyBorder="1" applyProtection="1"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4" xfId="0" applyFill="1" applyBorder="1" applyProtection="1">
      <protection locked="0"/>
    </xf>
    <xf numFmtId="0" fontId="0" fillId="0" borderId="43" xfId="0" applyBorder="1" applyProtection="1">
      <protection locked="0"/>
    </xf>
    <xf numFmtId="0" fontId="0" fillId="4" borderId="45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4" borderId="46" xfId="0" applyFill="1" applyBorder="1" applyProtection="1">
      <protection locked="0"/>
    </xf>
    <xf numFmtId="0" fontId="0" fillId="0" borderId="18" xfId="0" applyBorder="1"/>
    <xf numFmtId="0" fontId="0" fillId="0" borderId="23" xfId="0" applyBorder="1"/>
    <xf numFmtId="0" fontId="0" fillId="0" borderId="19" xfId="0" applyBorder="1"/>
    <xf numFmtId="0" fontId="0" fillId="3" borderId="13" xfId="0" applyFill="1" applyBorder="1"/>
    <xf numFmtId="0" fontId="0" fillId="3" borderId="21" xfId="0" applyFill="1" applyBorder="1"/>
    <xf numFmtId="0" fontId="0" fillId="3" borderId="43" xfId="0" applyFill="1" applyBorder="1"/>
    <xf numFmtId="1" fontId="0" fillId="0" borderId="44" xfId="0" applyNumberFormat="1" applyBorder="1" applyAlignment="1">
      <alignment horizontal="center" vertical="center"/>
    </xf>
    <xf numFmtId="0" fontId="0" fillId="3" borderId="33" xfId="0" applyFill="1" applyBorder="1"/>
    <xf numFmtId="2" fontId="0" fillId="0" borderId="22" xfId="0" applyNumberFormat="1" applyBorder="1"/>
    <xf numFmtId="2" fontId="0" fillId="0" borderId="34" xfId="0" applyNumberFormat="1" applyBorder="1"/>
    <xf numFmtId="0" fontId="0" fillId="0" borderId="33" xfId="0" applyBorder="1"/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2" fontId="0" fillId="0" borderId="2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7" borderId="86" xfId="0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textRotation="90" wrapText="1"/>
    </xf>
    <xf numFmtId="0" fontId="33" fillId="0" borderId="2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textRotation="90" wrapText="1"/>
    </xf>
    <xf numFmtId="0" fontId="33" fillId="0" borderId="51" xfId="0" applyFont="1" applyBorder="1" applyAlignment="1">
      <alignment horizontal="center" vertical="center" wrapText="1"/>
    </xf>
    <xf numFmtId="49" fontId="33" fillId="0" borderId="64" xfId="0" applyNumberFormat="1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41" xfId="0" applyNumberFormat="1" applyFont="1" applyBorder="1" applyAlignment="1">
      <alignment horizontal="center" vertical="center" wrapText="1"/>
    </xf>
    <xf numFmtId="49" fontId="33" fillId="0" borderId="104" xfId="0" applyNumberFormat="1" applyFont="1" applyBorder="1" applyAlignment="1">
      <alignment horizontal="center" vertical="center" wrapText="1"/>
    </xf>
    <xf numFmtId="49" fontId="33" fillId="0" borderId="26" xfId="0" applyNumberFormat="1" applyFont="1" applyBorder="1" applyAlignment="1">
      <alignment horizontal="center" vertical="center" wrapText="1"/>
    </xf>
    <xf numFmtId="49" fontId="33" fillId="0" borderId="103" xfId="0" applyNumberFormat="1" applyFont="1" applyBorder="1" applyAlignment="1">
      <alignment horizontal="center" vertical="center" wrapText="1"/>
    </xf>
    <xf numFmtId="49" fontId="33" fillId="0" borderId="48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24" xfId="0" applyNumberFormat="1" applyFont="1" applyBorder="1" applyAlignment="1">
      <alignment horizontal="center" vertical="center" wrapText="1"/>
    </xf>
    <xf numFmtId="49" fontId="33" fillId="0" borderId="50" xfId="0" applyNumberFormat="1" applyFont="1" applyBorder="1" applyAlignment="1">
      <alignment horizontal="center" vertical="center" wrapText="1"/>
    </xf>
    <xf numFmtId="49" fontId="33" fillId="0" borderId="8" xfId="0" applyNumberFormat="1" applyFont="1" applyBorder="1" applyAlignment="1">
      <alignment horizontal="center" vertical="center" wrapText="1"/>
    </xf>
    <xf numFmtId="49" fontId="33" fillId="0" borderId="25" xfId="0" applyNumberFormat="1" applyFont="1" applyBorder="1" applyAlignment="1">
      <alignment horizontal="center" vertical="center" wrapText="1"/>
    </xf>
    <xf numFmtId="49" fontId="33" fillId="0" borderId="63" xfId="0" applyNumberFormat="1" applyFont="1" applyBorder="1" applyAlignment="1">
      <alignment horizontal="center" vertical="center" wrapText="1"/>
    </xf>
    <xf numFmtId="49" fontId="33" fillId="0" borderId="77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 textRotation="90" wrapText="1"/>
    </xf>
    <xf numFmtId="0" fontId="33" fillId="0" borderId="36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49" fontId="33" fillId="0" borderId="39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33" fillId="0" borderId="37" xfId="0" applyFont="1" applyBorder="1" applyAlignment="1">
      <alignment horizontal="center" vertical="center" textRotation="90" wrapText="1"/>
    </xf>
    <xf numFmtId="0" fontId="33" fillId="0" borderId="19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/>
    </xf>
    <xf numFmtId="0" fontId="33" fillId="0" borderId="106" xfId="0" applyFont="1" applyBorder="1"/>
    <xf numFmtId="49" fontId="33" fillId="0" borderId="35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 wrapText="1"/>
    </xf>
    <xf numFmtId="0" fontId="33" fillId="0" borderId="36" xfId="0" applyFont="1" applyBorder="1" applyAlignment="1">
      <alignment vertical="center"/>
    </xf>
    <xf numFmtId="2" fontId="33" fillId="0" borderId="36" xfId="0" applyNumberFormat="1" applyFont="1" applyBorder="1" applyAlignment="1">
      <alignment vertical="center"/>
    </xf>
    <xf numFmtId="49" fontId="33" fillId="0" borderId="36" xfId="0" applyNumberFormat="1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33" fillId="0" borderId="35" xfId="0" applyFont="1" applyBorder="1" applyAlignment="1">
      <alignment horizontal="center"/>
    </xf>
    <xf numFmtId="2" fontId="33" fillId="0" borderId="36" xfId="0" applyNumberFormat="1" applyFont="1" applyBorder="1" applyAlignment="1">
      <alignment horizontal="center"/>
    </xf>
    <xf numFmtId="49" fontId="33" fillId="0" borderId="36" xfId="0" applyNumberFormat="1" applyFont="1" applyBorder="1" applyAlignment="1">
      <alignment horizontal="center"/>
    </xf>
    <xf numFmtId="0" fontId="33" fillId="0" borderId="106" xfId="0" applyFont="1" applyBorder="1" applyAlignment="1">
      <alignment horizontal="center"/>
    </xf>
    <xf numFmtId="0" fontId="33" fillId="0" borderId="106" xfId="0" applyFont="1" applyBorder="1" applyAlignment="1">
      <alignment vertical="center"/>
    </xf>
    <xf numFmtId="0" fontId="33" fillId="0" borderId="107" xfId="0" applyFont="1" applyBorder="1" applyAlignment="1">
      <alignment vertical="center"/>
    </xf>
    <xf numFmtId="0" fontId="33" fillId="0" borderId="61" xfId="0" applyFont="1" applyBorder="1" applyAlignment="1">
      <alignment horizontal="center"/>
    </xf>
    <xf numFmtId="0" fontId="33" fillId="0" borderId="102" xfId="0" applyFont="1" applyBorder="1" applyAlignment="1">
      <alignment horizontal="center"/>
    </xf>
    <xf numFmtId="0" fontId="33" fillId="0" borderId="108" xfId="0" applyFont="1" applyBorder="1"/>
    <xf numFmtId="0" fontId="33" fillId="0" borderId="59" xfId="0" applyFont="1" applyBorder="1" applyAlignment="1">
      <alignment vertical="center"/>
    </xf>
    <xf numFmtId="0" fontId="0" fillId="0" borderId="12" xfId="0" applyBorder="1" applyProtection="1">
      <protection locked="0"/>
    </xf>
    <xf numFmtId="0" fontId="17" fillId="4" borderId="12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8" fillId="4" borderId="12" xfId="0" applyFont="1" applyFill="1" applyBorder="1" applyProtection="1">
      <protection locked="0"/>
    </xf>
    <xf numFmtId="49" fontId="31" fillId="3" borderId="13" xfId="0" applyNumberFormat="1" applyFont="1" applyFill="1" applyBorder="1" applyAlignment="1">
      <alignment horizontal="left" vertical="center" indent="1"/>
    </xf>
    <xf numFmtId="49" fontId="17" fillId="3" borderId="21" xfId="0" applyNumberFormat="1" applyFont="1" applyFill="1" applyBorder="1" applyAlignment="1">
      <alignment horizontal="left" vertical="center" indent="1"/>
    </xf>
    <xf numFmtId="49" fontId="17" fillId="3" borderId="14" xfId="0" applyNumberFormat="1" applyFont="1" applyFill="1" applyBorder="1" applyAlignment="1">
      <alignment horizontal="left" vertical="center" indent="1"/>
    </xf>
    <xf numFmtId="49" fontId="17" fillId="3" borderId="43" xfId="0" applyNumberFormat="1" applyFont="1" applyFill="1" applyBorder="1" applyAlignment="1">
      <alignment horizontal="left" vertical="center" indent="1"/>
    </xf>
    <xf numFmtId="49" fontId="17" fillId="3" borderId="0" xfId="0" applyNumberFormat="1" applyFont="1" applyFill="1" applyAlignment="1">
      <alignment horizontal="left" vertical="center" indent="1"/>
    </xf>
    <xf numFmtId="49" fontId="17" fillId="3" borderId="44" xfId="0" applyNumberFormat="1" applyFont="1" applyFill="1" applyBorder="1" applyAlignment="1">
      <alignment horizontal="left" vertical="center" indent="1"/>
    </xf>
    <xf numFmtId="49" fontId="25" fillId="3" borderId="43" xfId="0" applyNumberFormat="1" applyFont="1" applyFill="1" applyBorder="1" applyAlignment="1">
      <alignment horizontal="left" vertical="center" indent="1"/>
    </xf>
    <xf numFmtId="49" fontId="23" fillId="3" borderId="0" xfId="0" applyNumberFormat="1" applyFont="1" applyFill="1" applyAlignment="1">
      <alignment horizontal="left" vertical="center" indent="1"/>
    </xf>
    <xf numFmtId="49" fontId="26" fillId="3" borderId="43" xfId="0" applyNumberFormat="1" applyFont="1" applyFill="1" applyBorder="1" applyAlignment="1">
      <alignment horizontal="left" vertical="center" indent="1"/>
    </xf>
    <xf numFmtId="49" fontId="27" fillId="3" borderId="0" xfId="0" applyNumberFormat="1" applyFont="1" applyFill="1" applyAlignment="1">
      <alignment horizontal="left" vertical="center" indent="1"/>
    </xf>
    <xf numFmtId="49" fontId="0" fillId="3" borderId="0" xfId="0" applyNumberFormat="1" applyFill="1" applyAlignment="1">
      <alignment horizontal="left" vertical="center" indent="1"/>
    </xf>
    <xf numFmtId="49" fontId="28" fillId="3" borderId="0" xfId="0" applyNumberFormat="1" applyFont="1" applyFill="1" applyAlignment="1">
      <alignment horizontal="left" vertical="center" indent="1"/>
    </xf>
    <xf numFmtId="49" fontId="27" fillId="3" borderId="43" xfId="0" applyNumberFormat="1" applyFont="1" applyFill="1" applyBorder="1" applyAlignment="1">
      <alignment horizontal="left" vertical="center" indent="1"/>
    </xf>
    <xf numFmtId="49" fontId="0" fillId="3" borderId="43" xfId="0" applyNumberFormat="1" applyFill="1" applyBorder="1" applyAlignment="1">
      <alignment horizontal="left" vertical="center" indent="1"/>
    </xf>
    <xf numFmtId="49" fontId="24" fillId="3" borderId="43" xfId="0" applyNumberFormat="1" applyFont="1" applyFill="1" applyBorder="1" applyAlignment="1">
      <alignment horizontal="left" vertical="center" indent="1"/>
    </xf>
    <xf numFmtId="49" fontId="28" fillId="3" borderId="43" xfId="0" applyNumberFormat="1" applyFont="1" applyFill="1" applyBorder="1" applyAlignment="1">
      <alignment horizontal="left" vertical="center" indent="1"/>
    </xf>
    <xf numFmtId="49" fontId="18" fillId="3" borderId="0" xfId="0" applyNumberFormat="1" applyFont="1" applyFill="1" applyAlignment="1">
      <alignment horizontal="left" vertical="center" indent="1"/>
    </xf>
    <xf numFmtId="49" fontId="17" fillId="3" borderId="33" xfId="0" applyNumberFormat="1" applyFont="1" applyFill="1" applyBorder="1" applyAlignment="1">
      <alignment horizontal="left" vertical="center" indent="1"/>
    </xf>
    <xf numFmtId="49" fontId="17" fillId="3" borderId="22" xfId="0" applyNumberFormat="1" applyFont="1" applyFill="1" applyBorder="1" applyAlignment="1">
      <alignment horizontal="left" vertical="center" indent="1"/>
    </xf>
    <xf numFmtId="49" fontId="0" fillId="3" borderId="34" xfId="0" applyNumberFormat="1" applyFill="1" applyBorder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" fillId="3" borderId="93" xfId="0" applyFont="1" applyFill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0" borderId="22" xfId="0" applyBorder="1"/>
    <xf numFmtId="0" fontId="1" fillId="5" borderId="18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4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5" xfId="0" applyBorder="1"/>
    <xf numFmtId="0" fontId="0" fillId="0" borderId="63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2" xfId="0" applyNumberFormat="1" applyBorder="1"/>
    <xf numFmtId="0" fontId="0" fillId="0" borderId="1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1" xfId="0" applyBorder="1"/>
    <xf numFmtId="0" fontId="0" fillId="0" borderId="20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/>
    <xf numFmtId="0" fontId="0" fillId="0" borderId="17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8" xfId="0" applyBorder="1"/>
    <xf numFmtId="0" fontId="0" fillId="0" borderId="25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35" xfId="0" applyFill="1" applyBorder="1" applyAlignment="1">
      <alignment vertical="center"/>
    </xf>
    <xf numFmtId="0" fontId="1" fillId="0" borderId="3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5" borderId="3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10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4" borderId="75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/>
    <xf numFmtId="0" fontId="0" fillId="3" borderId="2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03" xfId="0" applyNumberFormat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  <xf numFmtId="0" fontId="15" fillId="0" borderId="0" xfId="0" applyFont="1" applyAlignment="1">
      <alignment horizontal="left" vertical="center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110" xfId="0" applyFill="1" applyBorder="1" applyAlignment="1" applyProtection="1">
      <alignment horizontal="center" vertical="center" wrapText="1"/>
      <protection locked="0"/>
    </xf>
    <xf numFmtId="164" fontId="0" fillId="5" borderId="27" xfId="0" applyNumberFormat="1" applyFill="1" applyBorder="1" applyAlignment="1">
      <alignment horizontal="center"/>
    </xf>
    <xf numFmtId="164" fontId="0" fillId="5" borderId="31" xfId="0" applyNumberFormat="1" applyFill="1" applyBorder="1" applyAlignment="1">
      <alignment horizontal="center"/>
    </xf>
    <xf numFmtId="1" fontId="0" fillId="5" borderId="32" xfId="0" applyNumberFormat="1" applyFill="1" applyBorder="1" applyAlignment="1">
      <alignment horizontal="center" vertical="center"/>
    </xf>
    <xf numFmtId="1" fontId="0" fillId="5" borderId="80" xfId="0" applyNumberFormat="1" applyFill="1" applyBorder="1" applyAlignment="1">
      <alignment horizontal="center" vertical="center"/>
    </xf>
    <xf numFmtId="1" fontId="35" fillId="5" borderId="26" xfId="0" applyNumberFormat="1" applyFont="1" applyFill="1" applyBorder="1" applyAlignment="1" applyProtection="1">
      <alignment horizontal="center" vertical="center"/>
      <protection locked="0"/>
    </xf>
    <xf numFmtId="1" fontId="35" fillId="5" borderId="30" xfId="0" applyNumberFormat="1" applyFont="1" applyFill="1" applyBorder="1" applyAlignment="1" applyProtection="1">
      <alignment horizontal="center" vertical="center"/>
      <protection locked="0"/>
    </xf>
    <xf numFmtId="0" fontId="0" fillId="5" borderId="91" xfId="0" applyFill="1" applyBorder="1" applyAlignment="1">
      <alignment horizontal="center" vertical="center"/>
    </xf>
    <xf numFmtId="1" fontId="0" fillId="9" borderId="3" xfId="0" applyNumberFormat="1" applyFill="1" applyBorder="1" applyAlignment="1">
      <alignment horizontal="center" vertical="center"/>
    </xf>
    <xf numFmtId="1" fontId="0" fillId="9" borderId="24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5" fontId="0" fillId="9" borderId="20" xfId="0" applyNumberFormat="1" applyFill="1" applyBorder="1" applyAlignment="1">
      <alignment horizontal="center" vertical="center"/>
    </xf>
    <xf numFmtId="1" fontId="0" fillId="9" borderId="89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0" fillId="9" borderId="29" xfId="0" applyNumberFormat="1" applyFill="1" applyBorder="1" applyAlignment="1">
      <alignment horizontal="center" vertical="center"/>
    </xf>
    <xf numFmtId="0" fontId="0" fillId="9" borderId="43" xfId="0" applyFill="1" applyBorder="1" applyProtection="1">
      <protection locked="0"/>
    </xf>
    <xf numFmtId="0" fontId="0" fillId="9" borderId="0" xfId="0" applyFill="1" applyProtection="1">
      <protection locked="0"/>
    </xf>
    <xf numFmtId="0" fontId="0" fillId="9" borderId="44" xfId="0" applyFill="1" applyBorder="1" applyProtection="1">
      <protection locked="0"/>
    </xf>
    <xf numFmtId="0" fontId="0" fillId="9" borderId="43" xfId="0" applyFill="1" applyBorder="1" applyAlignment="1" applyProtection="1">
      <alignment horizontal="left" indent="2"/>
      <protection locked="0"/>
    </xf>
    <xf numFmtId="0" fontId="0" fillId="9" borderId="33" xfId="0" applyFill="1" applyBorder="1" applyAlignment="1" applyProtection="1">
      <alignment horizontal="left" indent="2"/>
      <protection locked="0"/>
    </xf>
    <xf numFmtId="0" fontId="0" fillId="9" borderId="22" xfId="0" applyFill="1" applyBorder="1" applyProtection="1">
      <protection locked="0"/>
    </xf>
    <xf numFmtId="0" fontId="0" fillId="9" borderId="34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3" borderId="67" xfId="0" applyFill="1" applyBorder="1" applyAlignment="1" applyProtection="1">
      <alignment vertical="center"/>
      <protection locked="0"/>
    </xf>
    <xf numFmtId="0" fontId="0" fillId="3" borderId="81" xfId="0" applyFill="1" applyBorder="1" applyAlignment="1" applyProtection="1">
      <alignment vertical="center"/>
      <protection locked="0"/>
    </xf>
    <xf numFmtId="0" fontId="0" fillId="3" borderId="67" xfId="0" applyFill="1" applyBorder="1" applyAlignment="1" applyProtection="1">
      <alignment horizontal="center" vertical="center" wrapText="1"/>
      <protection locked="0"/>
    </xf>
    <xf numFmtId="0" fontId="0" fillId="3" borderId="67" xfId="0" applyFill="1" applyBorder="1" applyProtection="1">
      <protection locked="0"/>
    </xf>
    <xf numFmtId="0" fontId="0" fillId="3" borderId="13" xfId="0" applyFill="1" applyBorder="1" applyAlignment="1">
      <alignment horizontal="left" vertical="center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 vertical="center"/>
      <protection locked="0"/>
    </xf>
    <xf numFmtId="0" fontId="0" fillId="14" borderId="0" xfId="0" applyFill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16" borderId="0" xfId="0" applyFill="1" applyAlignment="1" applyProtection="1">
      <alignment horizontal="center" vertical="center"/>
      <protection locked="0"/>
    </xf>
    <xf numFmtId="0" fontId="0" fillId="17" borderId="0" xfId="0" applyFill="1" applyAlignment="1" applyProtection="1">
      <alignment horizontal="center" vertical="center"/>
      <protection locked="0"/>
    </xf>
    <xf numFmtId="0" fontId="37" fillId="3" borderId="111" xfId="0" applyFont="1" applyFill="1" applyBorder="1" applyAlignment="1" applyProtection="1">
      <alignment horizontal="right"/>
      <protection locked="0"/>
    </xf>
    <xf numFmtId="0" fontId="37" fillId="5" borderId="111" xfId="0" applyFont="1" applyFill="1" applyBorder="1" applyAlignment="1" applyProtection="1">
      <alignment horizontal="right" vertical="center"/>
      <protection locked="0"/>
    </xf>
    <xf numFmtId="0" fontId="37" fillId="5" borderId="111" xfId="0" applyFont="1" applyFill="1" applyBorder="1" applyAlignment="1">
      <alignment horizontal="right" vertical="center"/>
    </xf>
    <xf numFmtId="0" fontId="37" fillId="5" borderId="112" xfId="0" applyFont="1" applyFill="1" applyBorder="1" applyAlignment="1">
      <alignment horizontal="right" vertical="center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77" xfId="0" applyFill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vertical="center" wrapText="1"/>
      <protection locked="0"/>
    </xf>
    <xf numFmtId="0" fontId="22" fillId="5" borderId="21" xfId="0" applyFont="1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10" borderId="44" xfId="0" applyFill="1" applyBorder="1" applyAlignment="1" applyProtection="1">
      <alignment horizontal="center" vertical="center"/>
      <protection locked="0"/>
    </xf>
    <xf numFmtId="0" fontId="0" fillId="5" borderId="43" xfId="0" applyFill="1" applyBorder="1" applyAlignment="1" applyProtection="1">
      <alignment horizontal="center" vertical="center" wrapText="1"/>
      <protection locked="0"/>
    </xf>
    <xf numFmtId="164" fontId="0" fillId="5" borderId="11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right" vertical="center"/>
      <protection locked="0"/>
    </xf>
    <xf numFmtId="0" fontId="37" fillId="5" borderId="0" xfId="0" applyFont="1" applyFill="1" applyAlignment="1">
      <alignment horizontal="right" vertical="center"/>
    </xf>
    <xf numFmtId="0" fontId="37" fillId="5" borderId="22" xfId="0" applyFont="1" applyFill="1" applyBorder="1" applyAlignment="1">
      <alignment horizontal="right" vertical="center"/>
    </xf>
    <xf numFmtId="164" fontId="0" fillId="5" borderId="115" xfId="0" applyNumberFormat="1" applyFill="1" applyBorder="1" applyAlignment="1">
      <alignment horizontal="center"/>
    </xf>
    <xf numFmtId="1" fontId="0" fillId="5" borderId="7" xfId="0" applyNumberFormat="1" applyFill="1" applyBorder="1" applyAlignment="1">
      <alignment horizontal="center" vertical="center"/>
    </xf>
    <xf numFmtId="1" fontId="35" fillId="5" borderId="15" xfId="0" applyNumberFormat="1" applyFont="1" applyFill="1" applyBorder="1" applyAlignment="1" applyProtection="1">
      <alignment horizontal="center" vertical="center"/>
      <protection locked="0"/>
    </xf>
    <xf numFmtId="1" fontId="35" fillId="5" borderId="117" xfId="0" applyNumberFormat="1" applyFont="1" applyFill="1" applyBorder="1" applyAlignment="1" applyProtection="1">
      <alignment horizontal="center" vertical="center"/>
      <protection locked="0"/>
    </xf>
    <xf numFmtId="0" fontId="0" fillId="4" borderId="116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1" fontId="36" fillId="5" borderId="115" xfId="0" applyNumberFormat="1" applyFont="1" applyFill="1" applyBorder="1" applyAlignment="1" applyProtection="1">
      <alignment horizontal="center" vertical="center"/>
      <protection locked="0"/>
    </xf>
    <xf numFmtId="1" fontId="36" fillId="5" borderId="27" xfId="0" applyNumberFormat="1" applyFont="1" applyFill="1" applyBorder="1" applyAlignment="1" applyProtection="1">
      <alignment horizontal="center" vertical="center"/>
      <protection locked="0"/>
    </xf>
    <xf numFmtId="1" fontId="36" fillId="5" borderId="114" xfId="0" applyNumberFormat="1" applyFont="1" applyFill="1" applyBorder="1" applyAlignment="1" applyProtection="1">
      <alignment horizontal="center" vertical="center"/>
      <protection locked="0"/>
    </xf>
    <xf numFmtId="1" fontId="36" fillId="5" borderId="118" xfId="0" applyNumberFormat="1" applyFont="1" applyFill="1" applyBorder="1" applyAlignment="1" applyProtection="1">
      <alignment horizontal="center" vertical="center"/>
      <protection locked="0"/>
    </xf>
    <xf numFmtId="1" fontId="36" fillId="5" borderId="116" xfId="0" applyNumberFormat="1" applyFont="1" applyFill="1" applyBorder="1" applyAlignment="1" applyProtection="1">
      <alignment horizontal="center" vertical="center"/>
      <protection locked="0"/>
    </xf>
    <xf numFmtId="1" fontId="36" fillId="5" borderId="119" xfId="0" applyNumberFormat="1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>
      <alignment vertical="top" wrapText="1"/>
    </xf>
    <xf numFmtId="1" fontId="0" fillId="9" borderId="26" xfId="0" applyNumberFormat="1" applyFill="1" applyBorder="1" applyAlignment="1">
      <alignment horizontal="center" vertical="center"/>
    </xf>
    <xf numFmtId="1" fontId="0" fillId="9" borderId="77" xfId="0" applyNumberFormat="1" applyFill="1" applyBorder="1" applyAlignment="1">
      <alignment horizontal="center" vertical="center"/>
    </xf>
    <xf numFmtId="1" fontId="0" fillId="9" borderId="124" xfId="0" applyNumberFormat="1" applyFill="1" applyBorder="1" applyAlignment="1">
      <alignment horizontal="center" vertical="center"/>
    </xf>
    <xf numFmtId="1" fontId="0" fillId="9" borderId="125" xfId="0" applyNumberFormat="1" applyFill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3" borderId="75" xfId="0" applyFill="1" applyBorder="1" applyAlignment="1">
      <alignment horizontal="center" vertical="center"/>
    </xf>
    <xf numFmtId="0" fontId="0" fillId="3" borderId="127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0" borderId="64" xfId="0" applyBorder="1"/>
    <xf numFmtId="0" fontId="0" fillId="0" borderId="63" xfId="0" applyBorder="1"/>
    <xf numFmtId="0" fontId="0" fillId="0" borderId="20" xfId="0" applyBorder="1"/>
    <xf numFmtId="0" fontId="0" fillId="0" borderId="13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64" fontId="39" fillId="0" borderId="75" xfId="0" applyNumberFormat="1" applyFont="1" applyBorder="1" applyAlignment="1">
      <alignment horizontal="center" vertical="center"/>
    </xf>
    <xf numFmtId="164" fontId="39" fillId="0" borderId="128" xfId="0" applyNumberFormat="1" applyFont="1" applyBorder="1" applyAlignment="1">
      <alignment horizontal="center" vertical="center"/>
    </xf>
    <xf numFmtId="164" fontId="39" fillId="0" borderId="5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25" xfId="0" applyBorder="1"/>
    <xf numFmtId="1" fontId="0" fillId="0" borderId="13" xfId="0" applyNumberFormat="1" applyBorder="1"/>
    <xf numFmtId="1" fontId="0" fillId="0" borderId="39" xfId="0" applyNumberFormat="1" applyBorder="1" applyAlignment="1">
      <alignment horizontal="center" vertical="center"/>
    </xf>
    <xf numFmtId="0" fontId="0" fillId="9" borderId="43" xfId="0" applyFill="1" applyBorder="1" applyAlignment="1" applyProtection="1">
      <alignment horizontal="left" indent="4"/>
      <protection locked="0"/>
    </xf>
    <xf numFmtId="0" fontId="1" fillId="3" borderId="87" xfId="0" applyFont="1" applyFill="1" applyBorder="1" applyAlignment="1">
      <alignment horizontal="right" vertical="center"/>
    </xf>
    <xf numFmtId="0" fontId="1" fillId="3" borderId="52" xfId="0" applyFont="1" applyFill="1" applyBorder="1" applyAlignment="1">
      <alignment horizontal="right" vertical="center"/>
    </xf>
    <xf numFmtId="0" fontId="0" fillId="3" borderId="88" xfId="0" applyFill="1" applyBorder="1" applyAlignment="1">
      <alignment horizontal="right" vertical="center" indent="1"/>
    </xf>
    <xf numFmtId="0" fontId="0" fillId="3" borderId="48" xfId="0" applyFill="1" applyBorder="1" applyAlignment="1">
      <alignment horizontal="right" vertical="center" indent="1"/>
    </xf>
    <xf numFmtId="0" fontId="1" fillId="5" borderId="78" xfId="0" applyFont="1" applyFill="1" applyBorder="1" applyAlignment="1" applyProtection="1">
      <alignment horizontal="center"/>
      <protection locked="0"/>
    </xf>
    <xf numFmtId="0" fontId="1" fillId="5" borderId="66" xfId="0" applyFont="1" applyFill="1" applyBorder="1" applyAlignment="1" applyProtection="1">
      <alignment horizontal="center"/>
      <protection locked="0"/>
    </xf>
    <xf numFmtId="0" fontId="1" fillId="5" borderId="79" xfId="0" applyFont="1" applyFill="1" applyBorder="1" applyAlignment="1" applyProtection="1">
      <alignment horizontal="center"/>
      <protection locked="0"/>
    </xf>
    <xf numFmtId="0" fontId="1" fillId="3" borderId="97" xfId="0" applyFont="1" applyFill="1" applyBorder="1" applyAlignment="1">
      <alignment horizontal="center"/>
    </xf>
    <xf numFmtId="0" fontId="1" fillId="3" borderId="98" xfId="0" applyFont="1" applyFill="1" applyBorder="1" applyAlignment="1">
      <alignment horizontal="center"/>
    </xf>
    <xf numFmtId="0" fontId="1" fillId="3" borderId="99" xfId="0" applyFont="1" applyFill="1" applyBorder="1" applyAlignment="1">
      <alignment horizont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wrapText="1"/>
      <protection locked="0"/>
    </xf>
    <xf numFmtId="0" fontId="1" fillId="3" borderId="55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0" fillId="3" borderId="95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19" fillId="7" borderId="10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101" xfId="0" applyFont="1" applyFill="1" applyBorder="1" applyAlignment="1">
      <alignment horizontal="center" vertical="center" wrapText="1"/>
    </xf>
    <xf numFmtId="0" fontId="19" fillId="7" borderId="81" xfId="0" applyFont="1" applyFill="1" applyBorder="1" applyAlignment="1">
      <alignment horizontal="center" vertical="center" wrapText="1"/>
    </xf>
    <xf numFmtId="0" fontId="19" fillId="7" borderId="82" xfId="0" applyFont="1" applyFill="1" applyBorder="1" applyAlignment="1">
      <alignment horizontal="center" vertical="center" wrapText="1"/>
    </xf>
    <xf numFmtId="0" fontId="19" fillId="7" borderId="83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 applyProtection="1">
      <alignment horizontal="center" vertical="center" wrapText="1"/>
      <protection locked="0"/>
    </xf>
    <xf numFmtId="0" fontId="8" fillId="5" borderId="92" xfId="0" applyFont="1" applyFill="1" applyBorder="1" applyAlignment="1" applyProtection="1">
      <alignment horizontal="center" vertical="center" wrapText="1"/>
      <protection locked="0"/>
    </xf>
    <xf numFmtId="0" fontId="22" fillId="4" borderId="67" xfId="0" applyFont="1" applyFill="1" applyBorder="1" applyAlignment="1" applyProtection="1">
      <alignment horizontal="center" vertical="center" wrapText="1"/>
      <protection locked="0"/>
    </xf>
    <xf numFmtId="0" fontId="22" fillId="4" borderId="44" xfId="0" applyFont="1" applyFill="1" applyBorder="1" applyAlignment="1" applyProtection="1">
      <alignment horizontal="center" vertical="center" wrapText="1"/>
      <protection locked="0"/>
    </xf>
    <xf numFmtId="0" fontId="0" fillId="3" borderId="96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" fillId="3" borderId="84" xfId="0" applyFont="1" applyFill="1" applyBorder="1" applyAlignment="1">
      <alignment horizontal="right" vertical="center"/>
    </xf>
    <xf numFmtId="0" fontId="1" fillId="3" borderId="85" xfId="0" applyFont="1" applyFill="1" applyBorder="1" applyAlignment="1">
      <alignment horizontal="right" vertical="center"/>
    </xf>
    <xf numFmtId="0" fontId="0" fillId="3" borderId="120" xfId="0" applyFill="1" applyBorder="1" applyAlignment="1">
      <alignment horizontal="right" vertical="center"/>
    </xf>
    <xf numFmtId="0" fontId="0" fillId="3" borderId="104" xfId="0" applyFill="1" applyBorder="1" applyAlignment="1">
      <alignment horizontal="right" vertical="center"/>
    </xf>
    <xf numFmtId="0" fontId="0" fillId="3" borderId="126" xfId="0" applyFill="1" applyBorder="1" applyAlignment="1">
      <alignment horizontal="right" vertical="center"/>
    </xf>
    <xf numFmtId="0" fontId="0" fillId="3" borderId="124" xfId="0" applyFill="1" applyBorder="1" applyAlignment="1">
      <alignment horizontal="right" vertical="center"/>
    </xf>
    <xf numFmtId="1" fontId="0" fillId="9" borderId="1" xfId="0" applyNumberFormat="1" applyFill="1" applyBorder="1" applyAlignment="1">
      <alignment horizontal="center" vertical="center"/>
    </xf>
    <xf numFmtId="1" fontId="0" fillId="9" borderId="29" xfId="0" applyNumberFormat="1" applyFill="1" applyBorder="1" applyAlignment="1">
      <alignment horizontal="center" vertical="center"/>
    </xf>
    <xf numFmtId="1" fontId="0" fillId="9" borderId="26" xfId="0" applyNumberFormat="1" applyFill="1" applyBorder="1" applyAlignment="1">
      <alignment horizontal="center" vertical="center"/>
    </xf>
    <xf numFmtId="1" fontId="0" fillId="9" borderId="30" xfId="0" applyNumberFormat="1" applyFill="1" applyBorder="1" applyAlignment="1">
      <alignment horizontal="center" vertical="center"/>
    </xf>
    <xf numFmtId="0" fontId="9" fillId="3" borderId="9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0" fillId="3" borderId="121" xfId="0" applyFill="1" applyBorder="1" applyAlignment="1">
      <alignment horizontal="right" vertical="center"/>
    </xf>
    <xf numFmtId="0" fontId="0" fillId="3" borderId="26" xfId="0" applyFill="1" applyBorder="1" applyAlignment="1">
      <alignment horizontal="right" vertical="center"/>
    </xf>
    <xf numFmtId="0" fontId="0" fillId="3" borderId="90" xfId="0" applyFill="1" applyBorder="1" applyAlignment="1">
      <alignment horizontal="right" vertical="center"/>
    </xf>
    <xf numFmtId="0" fontId="0" fillId="3" borderId="49" xfId="0" applyFill="1" applyBorder="1" applyAlignment="1">
      <alignment horizontal="right" vertical="center"/>
    </xf>
    <xf numFmtId="0" fontId="0" fillId="3" borderId="122" xfId="0" applyFill="1" applyBorder="1" applyAlignment="1">
      <alignment horizontal="right" vertical="center"/>
    </xf>
    <xf numFmtId="0" fontId="0" fillId="3" borderId="123" xfId="0" applyFill="1" applyBorder="1" applyAlignment="1">
      <alignment horizontal="right" vertical="center"/>
    </xf>
    <xf numFmtId="0" fontId="21" fillId="4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wrapText="1"/>
      <protection locked="0"/>
    </xf>
    <xf numFmtId="0" fontId="34" fillId="5" borderId="97" xfId="0" applyFont="1" applyFill="1" applyBorder="1" applyAlignment="1" applyProtection="1">
      <alignment horizontal="center" vertical="center" wrapText="1"/>
      <protection locked="0"/>
    </xf>
    <xf numFmtId="0" fontId="8" fillId="5" borderId="109" xfId="0" applyFont="1" applyFill="1" applyBorder="1" applyAlignment="1" applyProtection="1">
      <alignment horizontal="center" vertical="center" wrapText="1"/>
      <protection locked="0"/>
    </xf>
    <xf numFmtId="0" fontId="1" fillId="3" borderId="113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1" fillId="3" borderId="97" xfId="0" applyFont="1" applyFill="1" applyBorder="1" applyAlignment="1">
      <alignment horizontal="right" vertical="center"/>
    </xf>
    <xf numFmtId="0" fontId="1" fillId="3" borderId="109" xfId="0" applyFont="1" applyFill="1" applyBorder="1" applyAlignment="1">
      <alignment horizontal="right" vertical="center"/>
    </xf>
    <xf numFmtId="0" fontId="33" fillId="0" borderId="35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35" xfId="0" quotePrefix="1" applyFont="1" applyBorder="1" applyAlignment="1">
      <alignment horizontal="center" vertical="center" wrapText="1"/>
    </xf>
    <xf numFmtId="0" fontId="33" fillId="0" borderId="42" xfId="0" quotePrefix="1" applyFont="1" applyBorder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3" borderId="35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1" fillId="3" borderId="56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64" fontId="0" fillId="3" borderId="70" xfId="0" applyNumberFormat="1" applyFill="1" applyBorder="1" applyAlignment="1">
      <alignment horizontal="right" vertical="center"/>
    </xf>
    <xf numFmtId="164" fontId="0" fillId="3" borderId="71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top"/>
    </xf>
    <xf numFmtId="0" fontId="1" fillId="3" borderId="60" xfId="0" applyFont="1" applyFill="1" applyBorder="1" applyAlignment="1">
      <alignment horizontal="left" vertical="top"/>
    </xf>
    <xf numFmtId="0" fontId="1" fillId="3" borderId="48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5" fillId="0" borderId="44" xfId="0" applyFont="1" applyBorder="1" applyAlignment="1">
      <alignment horizontal="center" vertical="center" wrapText="1"/>
    </xf>
    <xf numFmtId="164" fontId="0" fillId="3" borderId="56" xfId="0" applyNumberFormat="1" applyFill="1" applyBorder="1" applyAlignment="1">
      <alignment horizontal="center" vertical="center"/>
    </xf>
    <xf numFmtId="164" fontId="0" fillId="3" borderId="41" xfId="0" applyNumberFormat="1" applyFill="1" applyBorder="1" applyAlignment="1">
      <alignment horizontal="center" vertical="center"/>
    </xf>
    <xf numFmtId="0" fontId="15" fillId="0" borderId="21" xfId="0" applyFont="1" applyBorder="1" applyAlignment="1">
      <alignment horizontal="right" vertic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left"/>
    </xf>
    <xf numFmtId="0" fontId="0" fillId="4" borderId="54" xfId="0" applyFill="1" applyBorder="1" applyAlignment="1">
      <alignment horizontal="left"/>
    </xf>
    <xf numFmtId="0" fontId="0" fillId="4" borderId="50" xfId="0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166" fontId="0" fillId="6" borderId="47" xfId="0" applyNumberFormat="1" applyFill="1" applyBorder="1" applyAlignment="1">
      <alignment horizontal="center" vertical="center"/>
    </xf>
    <xf numFmtId="166" fontId="0" fillId="6" borderId="65" xfId="0" applyNumberFormat="1" applyFill="1" applyBorder="1" applyAlignment="1">
      <alignment horizontal="center" vertical="center"/>
    </xf>
    <xf numFmtId="166" fontId="0" fillId="6" borderId="17" xfId="0" applyNumberFormat="1" applyFill="1" applyBorder="1" applyAlignment="1">
      <alignment horizontal="center" vertical="center"/>
    </xf>
    <xf numFmtId="166" fontId="0" fillId="6" borderId="68" xfId="0" applyNumberFormat="1" applyFill="1" applyBorder="1" applyAlignment="1">
      <alignment horizontal="center" vertical="center"/>
    </xf>
    <xf numFmtId="166" fontId="0" fillId="6" borderId="17" xfId="0" applyNumberFormat="1" applyFill="1" applyBorder="1" applyAlignment="1">
      <alignment horizontal="center"/>
    </xf>
    <xf numFmtId="166" fontId="0" fillId="6" borderId="68" xfId="0" applyNumberFormat="1" applyFill="1" applyBorder="1" applyAlignment="1">
      <alignment horizontal="center"/>
    </xf>
    <xf numFmtId="166" fontId="0" fillId="6" borderId="47" xfId="0" applyNumberFormat="1" applyFill="1" applyBorder="1" applyAlignment="1">
      <alignment horizontal="center"/>
    </xf>
    <xf numFmtId="166" fontId="0" fillId="6" borderId="65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73" xfId="0" applyFont="1" applyFill="1" applyBorder="1" applyAlignment="1">
      <alignment horizontal="left" vertical="top"/>
    </xf>
    <xf numFmtId="0" fontId="20" fillId="4" borderId="10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" xfId="0" builtinId="0"/>
  </cellStyles>
  <dxfs count="44"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9933FF"/>
      <color rgb="FFFC42F3"/>
      <color rgb="FF9999FF"/>
      <color rgb="FF6DFFF8"/>
      <color rgb="FF00FFFF"/>
      <color rgb="FFFFFF66"/>
      <color rgb="FF1F4E79"/>
      <color rgb="FFFF5050"/>
      <color rgb="FFCC66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Mast Arm 1 Elevation View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485616661489625E-2"/>
          <c:y val="0.1652247111495169"/>
          <c:w val="0.96263974658146068"/>
          <c:h val="0.68456098648046348"/>
        </c:manualLayout>
      </c:layout>
      <c:scatterChart>
        <c:scatterStyle val="lineMarker"/>
        <c:varyColors val="0"/>
        <c:ser>
          <c:idx val="0"/>
          <c:order val="0"/>
          <c:tx>
            <c:v>Signal/Sign 10</c:v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GraphValues!$C$3:$C$8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GraphValues!$C$10:$C$18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02-4252-B7BA-0E0EE94D773B}"/>
            </c:ext>
          </c:extLst>
        </c:ser>
        <c:ser>
          <c:idx val="1"/>
          <c:order val="1"/>
          <c:tx>
            <c:v>Signal/Sign 9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GraphValues!$D$3:$D$8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GraphValues!$D$10:$D$18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02-4252-B7BA-0E0EE94D773B}"/>
            </c:ext>
          </c:extLst>
        </c:ser>
        <c:ser>
          <c:idx val="3"/>
          <c:order val="2"/>
          <c:tx>
            <c:v>Signal/Sign 8</c:v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GraphValues!$E$3:$E$8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GraphValues!$E$10:$E$18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02-4252-B7BA-0E0EE94D773B}"/>
            </c:ext>
          </c:extLst>
        </c:ser>
        <c:ser>
          <c:idx val="4"/>
          <c:order val="3"/>
          <c:tx>
            <c:v>Signal/Sign 7</c:v>
          </c:tx>
          <c:spPr>
            <a:ln w="571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GraphValues!$F$3:$F$8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GraphValues!$F$10:$F$18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02-4252-B7BA-0E0EE94D773B}"/>
            </c:ext>
          </c:extLst>
        </c:ser>
        <c:ser>
          <c:idx val="5"/>
          <c:order val="4"/>
          <c:tx>
            <c:v>Signal/Sign 6</c:v>
          </c:tx>
          <c:spPr>
            <a:ln w="571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GraphValues!$G$3:$G$8</c:f>
              <c:numCache>
                <c:formatCode>0.00</c:formatCode>
                <c:ptCount val="6"/>
                <c:pt idx="0">
                  <c:v>57.914999999999999</c:v>
                </c:pt>
                <c:pt idx="1">
                  <c:v>60.085000000000001</c:v>
                </c:pt>
                <c:pt idx="2">
                  <c:v>60.085000000000001</c:v>
                </c:pt>
                <c:pt idx="3">
                  <c:v>57.914999999999999</c:v>
                </c:pt>
                <c:pt idx="4">
                  <c:v>57.914999999999999</c:v>
                </c:pt>
              </c:numCache>
            </c:numRef>
          </c:xVal>
          <c:yVal>
            <c:numRef>
              <c:f>GraphValues!$G$10:$G$18</c:f>
              <c:numCache>
                <c:formatCode>0.00</c:formatCode>
                <c:ptCount val="9"/>
                <c:pt idx="0">
                  <c:v>-3.4249999999999994</c:v>
                </c:pt>
                <c:pt idx="1">
                  <c:v>-3.4249999999999994</c:v>
                </c:pt>
                <c:pt idx="2">
                  <c:v>3.4249999999999994</c:v>
                </c:pt>
                <c:pt idx="3">
                  <c:v>3.4249999999999994</c:v>
                </c:pt>
                <c:pt idx="4">
                  <c:v>-3.4249999999999994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02-4252-B7BA-0E0EE94D773B}"/>
            </c:ext>
          </c:extLst>
        </c:ser>
        <c:ser>
          <c:idx val="6"/>
          <c:order val="5"/>
          <c:tx>
            <c:v>Signal/Sign 5</c:v>
          </c:tx>
          <c:spPr>
            <a:ln w="571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GraphValues!$H$3:$H$8</c:f>
              <c:numCache>
                <c:formatCode>0.00</c:formatCode>
                <c:ptCount val="6"/>
                <c:pt idx="0">
                  <c:v>53.5</c:v>
                </c:pt>
                <c:pt idx="1">
                  <c:v>56.5</c:v>
                </c:pt>
                <c:pt idx="2">
                  <c:v>56.5</c:v>
                </c:pt>
                <c:pt idx="3">
                  <c:v>53.5</c:v>
                </c:pt>
                <c:pt idx="4">
                  <c:v>53.5</c:v>
                </c:pt>
              </c:numCache>
            </c:numRef>
          </c:xVal>
          <c:yVal>
            <c:numRef>
              <c:f>GraphValues!$H$10:$H$18</c:f>
              <c:numCache>
                <c:formatCode>0.00</c:formatCode>
                <c:ptCount val="9"/>
                <c:pt idx="0">
                  <c:v>-1.5</c:v>
                </c:pt>
                <c:pt idx="1">
                  <c:v>-1.5</c:v>
                </c:pt>
                <c:pt idx="2">
                  <c:v>1.5</c:v>
                </c:pt>
                <c:pt idx="3">
                  <c:v>1.5</c:v>
                </c:pt>
                <c:pt idx="4">
                  <c:v>-1.5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02-4252-B7BA-0E0EE94D773B}"/>
            </c:ext>
          </c:extLst>
        </c:ser>
        <c:ser>
          <c:idx val="7"/>
          <c:order val="6"/>
          <c:tx>
            <c:v>Signal/Sign 4</c:v>
          </c:tx>
          <c:spPr>
            <a:ln w="571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GraphValues!$I$3:$I$8</c:f>
              <c:numCache>
                <c:formatCode>0.00</c:formatCode>
                <c:ptCount val="6"/>
                <c:pt idx="0">
                  <c:v>43.5</c:v>
                </c:pt>
                <c:pt idx="1">
                  <c:v>48.5</c:v>
                </c:pt>
                <c:pt idx="2">
                  <c:v>48.5</c:v>
                </c:pt>
                <c:pt idx="3">
                  <c:v>43.5</c:v>
                </c:pt>
                <c:pt idx="4">
                  <c:v>43.5</c:v>
                </c:pt>
              </c:numCache>
            </c:numRef>
          </c:xVal>
          <c:yVal>
            <c:numRef>
              <c:f>GraphValues!$I$10:$I$18</c:f>
              <c:numCache>
                <c:formatCode>0.00</c:formatCode>
                <c:ptCount val="9"/>
                <c:pt idx="0">
                  <c:v>-1.5</c:v>
                </c:pt>
                <c:pt idx="1">
                  <c:v>-1.5</c:v>
                </c:pt>
                <c:pt idx="2">
                  <c:v>1.5</c:v>
                </c:pt>
                <c:pt idx="3">
                  <c:v>1.5</c:v>
                </c:pt>
                <c:pt idx="4">
                  <c:v>-1.5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02-4252-B7BA-0E0EE94D773B}"/>
            </c:ext>
          </c:extLst>
        </c:ser>
        <c:ser>
          <c:idx val="8"/>
          <c:order val="7"/>
          <c:tx>
            <c:v>Signal/Sign 3</c:v>
          </c:tx>
          <c:spPr>
            <a:ln w="571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GraphValues!$J$3:$J$8</c:f>
              <c:numCache>
                <c:formatCode>0.00</c:formatCode>
                <c:ptCount val="6"/>
                <c:pt idx="0">
                  <c:v>32.914999999999999</c:v>
                </c:pt>
                <c:pt idx="1">
                  <c:v>35.085000000000001</c:v>
                </c:pt>
                <c:pt idx="2">
                  <c:v>35.085000000000001</c:v>
                </c:pt>
                <c:pt idx="3">
                  <c:v>32.914999999999999</c:v>
                </c:pt>
                <c:pt idx="4">
                  <c:v>32.914999999999999</c:v>
                </c:pt>
              </c:numCache>
            </c:numRef>
          </c:xVal>
          <c:yVal>
            <c:numRef>
              <c:f>GraphValues!$J$10:$J$18</c:f>
              <c:numCache>
                <c:formatCode>0.00</c:formatCode>
                <c:ptCount val="9"/>
                <c:pt idx="0">
                  <c:v>-2.2549999999999999</c:v>
                </c:pt>
                <c:pt idx="1">
                  <c:v>-2.2549999999999999</c:v>
                </c:pt>
                <c:pt idx="2">
                  <c:v>2.2549999999999999</c:v>
                </c:pt>
                <c:pt idx="3">
                  <c:v>2.2549999999999999</c:v>
                </c:pt>
                <c:pt idx="4">
                  <c:v>-2.2549999999999999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02-4252-B7BA-0E0EE94D773B}"/>
            </c:ext>
          </c:extLst>
        </c:ser>
        <c:ser>
          <c:idx val="9"/>
          <c:order val="8"/>
          <c:tx>
            <c:v>Signal/Sign 2</c:v>
          </c:tx>
          <c:spPr>
            <a:ln w="571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GraphValues!$K$3:$K$8</c:f>
              <c:numCache>
                <c:formatCode>0.00</c:formatCode>
                <c:ptCount val="6"/>
                <c:pt idx="0">
                  <c:v>17</c:v>
                </c:pt>
                <c:pt idx="1">
                  <c:v>27</c:v>
                </c:pt>
                <c:pt idx="2">
                  <c:v>27</c:v>
                </c:pt>
                <c:pt idx="3">
                  <c:v>17</c:v>
                </c:pt>
                <c:pt idx="4">
                  <c:v>17</c:v>
                </c:pt>
              </c:numCache>
            </c:numRef>
          </c:xVal>
          <c:yVal>
            <c:numRef>
              <c:f>GraphValues!$K$10:$K$18</c:f>
              <c:numCache>
                <c:formatCode>0.00</c:formatCode>
                <c:ptCount val="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02-4252-B7BA-0E0EE94D773B}"/>
            </c:ext>
          </c:extLst>
        </c:ser>
        <c:ser>
          <c:idx val="10"/>
          <c:order val="9"/>
          <c:tx>
            <c:v>Signal/Sign 1</c:v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GraphValues!$L$3:$L$8</c:f>
              <c:numCache>
                <c:formatCode>0.00</c:formatCode>
                <c:ptCount val="6"/>
                <c:pt idx="0">
                  <c:v>3</c:v>
                </c:pt>
                <c:pt idx="1">
                  <c:v>13</c:v>
                </c:pt>
                <c:pt idx="2">
                  <c:v>13</c:v>
                </c:pt>
                <c:pt idx="3">
                  <c:v>3</c:v>
                </c:pt>
                <c:pt idx="4">
                  <c:v>3</c:v>
                </c:pt>
              </c:numCache>
            </c:numRef>
          </c:xVal>
          <c:yVal>
            <c:numRef>
              <c:f>GraphValues!$L$10:$L$18</c:f>
              <c:numCache>
                <c:formatCode>0.00</c:formatCode>
                <c:ptCount val="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02-4252-B7BA-0E0EE94D773B}"/>
            </c:ext>
          </c:extLst>
        </c:ser>
        <c:ser>
          <c:idx val="2"/>
          <c:order val="10"/>
          <c:tx>
            <c:v>Arm</c:v>
          </c:tx>
          <c:spPr>
            <a:ln w="101600" cap="rnd">
              <a:solidFill>
                <a:schemeClr val="tx1">
                  <a:alpha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GraphValues!$N$3:$N$7</c:f>
              <c:numCache>
                <c:formatCode>0.00</c:formatCode>
                <c:ptCount val="5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60</c:v>
                </c:pt>
              </c:numCache>
            </c:numRef>
          </c:xVal>
          <c:yVal>
            <c:numRef>
              <c:f>GraphValues!$O$3:$O$7</c:f>
              <c:numCache>
                <c:formatCode>0.00</c:formatCode>
                <c:ptCount val="5"/>
                <c:pt idx="0">
                  <c:v>-0.25</c:v>
                </c:pt>
                <c:pt idx="1">
                  <c:v>-0.44999999999999996</c:v>
                </c:pt>
                <c:pt idx="2">
                  <c:v>0.44999999999999996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02-4252-B7BA-0E0EE94D773B}"/>
            </c:ext>
          </c:extLst>
        </c:ser>
        <c:ser>
          <c:idx val="11"/>
          <c:order val="11"/>
          <c:tx>
            <c:v>Pole</c:v>
          </c:tx>
          <c:spPr>
            <a:ln w="101600" cap="rnd">
              <a:solidFill>
                <a:schemeClr val="tx1">
                  <a:alpha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0</c:v>
                </c:pt>
                <c:pt idx="1">
                  <c:v>-1.0349999999999999</c:v>
                </c:pt>
                <c:pt idx="2">
                  <c:v>-0.80999999999999994</c:v>
                </c:pt>
                <c:pt idx="3">
                  <c:v>-0.22499999999999998</c:v>
                </c:pt>
                <c:pt idx="4">
                  <c:v>0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-10</c:v>
                </c:pt>
                <c:pt idx="1">
                  <c:v>-10</c:v>
                </c:pt>
                <c:pt idx="2">
                  <c:v>3</c:v>
                </c:pt>
                <c:pt idx="3">
                  <c:v>3</c:v>
                </c:pt>
                <c:pt idx="4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02-4252-B7BA-0E0EE94D773B}"/>
            </c:ext>
          </c:extLst>
        </c:ser>
        <c:ser>
          <c:idx val="12"/>
          <c:order val="12"/>
          <c:tx>
            <c:strRef>
              <c:f>GraphValues!$C$34</c:f>
              <c:strCache>
                <c:ptCount val="1"/>
                <c:pt idx="0">
                  <c:v>Arm 1 Sign/Signal Centers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8"/>
            <c:spPr>
              <a:noFill/>
              <a:ln w="19050">
                <a:solidFill>
                  <a:schemeClr val="bg1"/>
                </a:solidFill>
              </a:ln>
              <a:effectLst/>
            </c:spPr>
          </c:marker>
          <c:xVal>
            <c:numRef>
              <c:f>GraphValues!$C$35:$L$35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</c:v>
                </c:pt>
                <c:pt idx="5">
                  <c:v>55</c:v>
                </c:pt>
                <c:pt idx="6">
                  <c:v>46</c:v>
                </c:pt>
                <c:pt idx="7">
                  <c:v>34</c:v>
                </c:pt>
                <c:pt idx="8">
                  <c:v>22</c:v>
                </c:pt>
                <c:pt idx="9">
                  <c:v>8</c:v>
                </c:pt>
              </c:numCache>
            </c:numRef>
          </c:xVal>
          <c:yVal>
            <c:numRef>
              <c:f>GraphValues!$C$36:$L$36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1E-4D2A-8D17-BE2EA29D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090288"/>
        <c:axId val="501174096"/>
        <c:extLst/>
      </c:scatterChart>
      <c:valAx>
        <c:axId val="499090288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4096"/>
        <c:crosses val="autoZero"/>
        <c:crossBetween val="midCat"/>
        <c:majorUnit val="5"/>
      </c:valAx>
      <c:valAx>
        <c:axId val="501174096"/>
        <c:scaling>
          <c:orientation val="minMax"/>
          <c:max val="5"/>
          <c:min val="-1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090288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b"/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Mast Arm 2 Elevation View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290224591954974E-2"/>
          <c:y val="0.17796714446610998"/>
          <c:w val="0.96263974658146068"/>
          <c:h val="0.68456098648046348"/>
        </c:manualLayout>
      </c:layout>
      <c:scatterChart>
        <c:scatterStyle val="lineMarker"/>
        <c:varyColors val="0"/>
        <c:ser>
          <c:idx val="0"/>
          <c:order val="0"/>
          <c:tx>
            <c:v>Signal/Sign 10</c:v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GraphValues!$C$19:$C$23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GraphValues!$C$26:$C$30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53-4EE1-BEB5-DE80DCD22745}"/>
            </c:ext>
          </c:extLst>
        </c:ser>
        <c:ser>
          <c:idx val="1"/>
          <c:order val="1"/>
          <c:tx>
            <c:v>Signal/Sign 9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GraphValues!$D$19:$D$23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53-4EE1-BEB5-DE80DCD22745}"/>
            </c:ext>
          </c:extLst>
        </c:ser>
        <c:ser>
          <c:idx val="3"/>
          <c:order val="2"/>
          <c:tx>
            <c:v>Signal/Sign 8</c:v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GraphValues!$E$19:$E$23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GraphValues!$E$26:$E$30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53-4EE1-BEB5-DE80DCD22745}"/>
            </c:ext>
          </c:extLst>
        </c:ser>
        <c:ser>
          <c:idx val="4"/>
          <c:order val="3"/>
          <c:tx>
            <c:v>Signal/Sign 7</c:v>
          </c:tx>
          <c:spPr>
            <a:ln w="571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GraphValues!$F$19:$F$23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GraphValues!$F$26:$F$30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53-4EE1-BEB5-DE80DCD22745}"/>
            </c:ext>
          </c:extLst>
        </c:ser>
        <c:ser>
          <c:idx val="5"/>
          <c:order val="4"/>
          <c:tx>
            <c:v>Signal/Sign 6</c:v>
          </c:tx>
          <c:spPr>
            <a:ln w="571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GraphValues!$G$19:$G$23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GraphValues!$G$26:$G$30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53-4EE1-BEB5-DE80DCD22745}"/>
            </c:ext>
          </c:extLst>
        </c:ser>
        <c:ser>
          <c:idx val="6"/>
          <c:order val="5"/>
          <c:tx>
            <c:v>Signal/Sign 5</c:v>
          </c:tx>
          <c:spPr>
            <a:ln w="571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GraphValues!$H$19:$H$23</c:f>
              <c:numCache>
                <c:formatCode>0.00</c:formatCode>
                <c:ptCount val="5"/>
                <c:pt idx="0">
                  <c:v>46.914999999999999</c:v>
                </c:pt>
                <c:pt idx="1">
                  <c:v>49.085000000000001</c:v>
                </c:pt>
                <c:pt idx="2">
                  <c:v>49.085000000000001</c:v>
                </c:pt>
                <c:pt idx="3">
                  <c:v>46.914999999999999</c:v>
                </c:pt>
                <c:pt idx="4">
                  <c:v>46.914999999999999</c:v>
                </c:pt>
              </c:numCache>
            </c:numRef>
          </c:xVal>
          <c:yVal>
            <c:numRef>
              <c:f>GraphValues!$H$26:$H$30</c:f>
              <c:numCache>
                <c:formatCode>0.00</c:formatCode>
                <c:ptCount val="5"/>
                <c:pt idx="0">
                  <c:v>-3.4249999999999994</c:v>
                </c:pt>
                <c:pt idx="1">
                  <c:v>-3.4249999999999994</c:v>
                </c:pt>
                <c:pt idx="2">
                  <c:v>3.4249999999999994</c:v>
                </c:pt>
                <c:pt idx="3">
                  <c:v>3.4249999999999994</c:v>
                </c:pt>
                <c:pt idx="4">
                  <c:v>-3.4249999999999994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53-4EE1-BEB5-DE80DCD22745}"/>
            </c:ext>
          </c:extLst>
        </c:ser>
        <c:ser>
          <c:idx val="7"/>
          <c:order val="6"/>
          <c:tx>
            <c:v>Signal/Sign 4</c:v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GraphValues!$I$19:$I$23</c:f>
              <c:numCache>
                <c:formatCode>0.00</c:formatCode>
                <c:ptCount val="5"/>
                <c:pt idx="0">
                  <c:v>40.5</c:v>
                </c:pt>
                <c:pt idx="1">
                  <c:v>43.5</c:v>
                </c:pt>
                <c:pt idx="2">
                  <c:v>43.5</c:v>
                </c:pt>
                <c:pt idx="3">
                  <c:v>40.5</c:v>
                </c:pt>
                <c:pt idx="4">
                  <c:v>40.5</c:v>
                </c:pt>
              </c:numCache>
            </c:numRef>
          </c:xVal>
          <c:yVal>
            <c:numRef>
              <c:f>GraphValues!$I$26:$I$30</c:f>
              <c:numCache>
                <c:formatCode>0.00</c:formatCode>
                <c:ptCount val="5"/>
                <c:pt idx="0">
                  <c:v>-1.5</c:v>
                </c:pt>
                <c:pt idx="1">
                  <c:v>-1.5</c:v>
                </c:pt>
                <c:pt idx="2">
                  <c:v>1.5</c:v>
                </c:pt>
                <c:pt idx="3">
                  <c:v>1.5</c:v>
                </c:pt>
                <c:pt idx="4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53-4EE1-BEB5-DE80DCD22745}"/>
            </c:ext>
          </c:extLst>
        </c:ser>
        <c:ser>
          <c:idx val="8"/>
          <c:order val="7"/>
          <c:tx>
            <c:v>Signal/Sign 3</c:v>
          </c:tx>
          <c:spPr>
            <a:ln w="571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GraphValues!$J$19:$J$23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GraphValues!$J$26:$J$30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53-4EE1-BEB5-DE80DCD22745}"/>
            </c:ext>
          </c:extLst>
        </c:ser>
        <c:ser>
          <c:idx val="9"/>
          <c:order val="8"/>
          <c:tx>
            <c:v>Signal/Sign 2</c:v>
          </c:tx>
          <c:spPr>
            <a:ln w="571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GraphValues!$K$19:$K$23</c:f>
              <c:numCache>
                <c:formatCode>0.00</c:formatCode>
                <c:ptCount val="5"/>
                <c:pt idx="0">
                  <c:v>20.914999999999999</c:v>
                </c:pt>
                <c:pt idx="1">
                  <c:v>23.085000000000001</c:v>
                </c:pt>
                <c:pt idx="2">
                  <c:v>23.085000000000001</c:v>
                </c:pt>
                <c:pt idx="3">
                  <c:v>20.914999999999999</c:v>
                </c:pt>
                <c:pt idx="4">
                  <c:v>20.914999999999999</c:v>
                </c:pt>
              </c:numCache>
            </c:numRef>
          </c:xVal>
          <c:yVal>
            <c:numRef>
              <c:f>GraphValues!$K$26:$K$30</c:f>
              <c:numCache>
                <c:formatCode>0.00</c:formatCode>
                <c:ptCount val="5"/>
                <c:pt idx="0">
                  <c:v>-2.2549999999999999</c:v>
                </c:pt>
                <c:pt idx="1">
                  <c:v>-2.2549999999999999</c:v>
                </c:pt>
                <c:pt idx="2">
                  <c:v>2.2549999999999999</c:v>
                </c:pt>
                <c:pt idx="3">
                  <c:v>2.2549999999999999</c:v>
                </c:pt>
                <c:pt idx="4">
                  <c:v>-2.2549999999999999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53-4EE1-BEB5-DE80DCD22745}"/>
            </c:ext>
          </c:extLst>
        </c:ser>
        <c:ser>
          <c:idx val="10"/>
          <c:order val="9"/>
          <c:tx>
            <c:v>Signal/Sign 1</c:v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GraphValues!$L$19:$L$23</c:f>
              <c:numCache>
                <c:formatCode>0.00</c:formatCode>
                <c:ptCount val="5"/>
                <c:pt idx="0">
                  <c:v>10.914999999999999</c:v>
                </c:pt>
                <c:pt idx="1">
                  <c:v>13.085000000000001</c:v>
                </c:pt>
                <c:pt idx="2">
                  <c:v>13.085000000000001</c:v>
                </c:pt>
                <c:pt idx="3">
                  <c:v>10.914999999999999</c:v>
                </c:pt>
                <c:pt idx="4">
                  <c:v>10.914999999999999</c:v>
                </c:pt>
              </c:numCache>
            </c:numRef>
          </c:xVal>
          <c:yVal>
            <c:numRef>
              <c:f>GraphValues!$L$26:$L$30</c:f>
              <c:numCache>
                <c:formatCode>0.00</c:formatCode>
                <c:ptCount val="5"/>
                <c:pt idx="0">
                  <c:v>-2.2549999999999999</c:v>
                </c:pt>
                <c:pt idx="1">
                  <c:v>-2.2549999999999999</c:v>
                </c:pt>
                <c:pt idx="2">
                  <c:v>2.2549999999999999</c:v>
                </c:pt>
                <c:pt idx="3">
                  <c:v>2.2549999999999999</c:v>
                </c:pt>
                <c:pt idx="4">
                  <c:v>-2.2549999999999999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253-4EE1-BEB5-DE80DCD22745}"/>
            </c:ext>
          </c:extLst>
        </c:ser>
        <c:ser>
          <c:idx val="2"/>
          <c:order val="10"/>
          <c:tx>
            <c:v>Arm</c:v>
          </c:tx>
          <c:spPr>
            <a:ln w="101600" cap="rnd">
              <a:solidFill>
                <a:schemeClr val="tx1">
                  <a:alpha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GraphValues!$N$19:$N$23</c:f>
              <c:numCache>
                <c:formatCode>0.00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50</c:v>
                </c:pt>
              </c:numCache>
            </c:numRef>
          </c:xVal>
          <c:yVal>
            <c:numRef>
              <c:f>GraphValues!$O$19:$O$23</c:f>
              <c:numCache>
                <c:formatCode>0.00</c:formatCode>
                <c:ptCount val="5"/>
                <c:pt idx="0">
                  <c:v>-0.25</c:v>
                </c:pt>
                <c:pt idx="1">
                  <c:v>-0.41666666666666663</c:v>
                </c:pt>
                <c:pt idx="2">
                  <c:v>0.41666666666666663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53-4EE1-BEB5-DE80DCD22745}"/>
            </c:ext>
          </c:extLst>
        </c:ser>
        <c:ser>
          <c:idx val="11"/>
          <c:order val="11"/>
          <c:tx>
            <c:v>Pole</c:v>
          </c:tx>
          <c:spPr>
            <a:ln w="101600" cap="rnd">
              <a:solidFill>
                <a:schemeClr val="tx1">
                  <a:alpha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0</c:v>
                </c:pt>
                <c:pt idx="1">
                  <c:v>-1.0349999999999999</c:v>
                </c:pt>
                <c:pt idx="2">
                  <c:v>-0.80999999999999994</c:v>
                </c:pt>
                <c:pt idx="3">
                  <c:v>-0.22499999999999998</c:v>
                </c:pt>
                <c:pt idx="4">
                  <c:v>0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-10</c:v>
                </c:pt>
                <c:pt idx="1">
                  <c:v>-10</c:v>
                </c:pt>
                <c:pt idx="2">
                  <c:v>3</c:v>
                </c:pt>
                <c:pt idx="3">
                  <c:v>3</c:v>
                </c:pt>
                <c:pt idx="4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253-4EE1-BEB5-DE80DCD22745}"/>
            </c:ext>
          </c:extLst>
        </c:ser>
        <c:ser>
          <c:idx val="12"/>
          <c:order val="12"/>
          <c:tx>
            <c:strRef>
              <c:f>GraphValues!$C$38</c:f>
              <c:strCache>
                <c:ptCount val="1"/>
                <c:pt idx="0">
                  <c:v>Arm 2 Sign/Signal Centers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8"/>
            <c:spPr>
              <a:noFill/>
              <a:ln w="19050">
                <a:solidFill>
                  <a:schemeClr val="bg1"/>
                </a:solidFill>
              </a:ln>
              <a:effectLst/>
            </c:spPr>
          </c:marker>
          <c:xVal>
            <c:numRef>
              <c:f>GraphValues!$C$39:$L$39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  <c:pt idx="6">
                  <c:v>42</c:v>
                </c:pt>
                <c:pt idx="7">
                  <c:v>0</c:v>
                </c:pt>
                <c:pt idx="8">
                  <c:v>22</c:v>
                </c:pt>
                <c:pt idx="9">
                  <c:v>12</c:v>
                </c:pt>
              </c:numCache>
            </c:numRef>
          </c:xVal>
          <c:yVal>
            <c:numRef>
              <c:f>GraphValues!$C$40:$L$40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5C-4B27-AB21-9EE62D00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169392"/>
        <c:axId val="501168608"/>
        <c:extLst/>
      </c:scatterChart>
      <c:valAx>
        <c:axId val="501169392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68608"/>
        <c:crosses val="autoZero"/>
        <c:crossBetween val="midCat"/>
        <c:majorUnit val="5"/>
      </c:valAx>
      <c:valAx>
        <c:axId val="501168608"/>
        <c:scaling>
          <c:orientation val="minMax"/>
          <c:max val="5"/>
          <c:min val="-1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69392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 w="127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Arm Loads And Resistances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4494094488188976"/>
          <c:y val="5.9259259259259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854501357640998E-2"/>
          <c:y val="1.909445716448565E-2"/>
          <c:w val="0.90091469816272962"/>
          <c:h val="0.86740988184557744"/>
        </c:manualLayout>
      </c:layout>
      <c:scatterChart>
        <c:scatterStyle val="lineMarker"/>
        <c:varyColors val="0"/>
        <c:ser>
          <c:idx val="1"/>
          <c:order val="0"/>
          <c:tx>
            <c:v>HD Arm 1 Resistance</c:v>
          </c:tx>
          <c:spPr>
            <a:ln w="25400" cap="rnd">
              <a:solidFill>
                <a:srgbClr val="FF5050"/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2"/>
              </a:solidFill>
              <a:ln w="9525">
                <a:solidFill>
                  <a:srgbClr val="FF5050"/>
                </a:solidFill>
              </a:ln>
              <a:effectLst/>
            </c:spPr>
          </c:marker>
          <c:dPt>
            <c:idx val="3"/>
            <c:marker>
              <c:symbol val="plus"/>
              <c:size val="8"/>
              <c:spPr>
                <a:solidFill>
                  <a:schemeClr val="accent2"/>
                </a:solidFill>
                <a:ln w="9525">
                  <a:solidFill>
                    <a:srgbClr val="FF505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5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3-409B-B004-0489DDFC76D1}"/>
              </c:ext>
            </c:extLst>
          </c:dPt>
          <c:dLbls>
            <c:dLbl>
              <c:idx val="0"/>
              <c:layout>
                <c:manualLayout>
                  <c:x val="-6.5961792089421656E-2"/>
                  <c:y val="-3.649159486755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3-409B-B004-0489DDFC76D1}"/>
                </c:ext>
              </c:extLst>
            </c:dLbl>
            <c:dLbl>
              <c:idx val="1"/>
              <c:layout>
                <c:manualLayout>
                  <c:x val="-7.3714759535655094E-2"/>
                  <c:y val="-3.79191466163089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1702902808791E-2"/>
                      <c:h val="4.1567384376738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C3-409B-B004-0489DDFC76D1}"/>
                </c:ext>
              </c:extLst>
            </c:dLbl>
            <c:dLbl>
              <c:idx val="2"/>
              <c:layout>
                <c:manualLayout>
                  <c:x val="-5.46642117496507E-2"/>
                  <c:y val="-2.90782174712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C3-409B-B004-0489DDFC76D1}"/>
                </c:ext>
              </c:extLst>
            </c:dLbl>
            <c:dLbl>
              <c:idx val="3"/>
              <c:layout>
                <c:manualLayout>
                  <c:x val="-6.2417048615191754E-2"/>
                  <c:y val="-1.8809511766061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3-409B-B004-0489DDFC76D1}"/>
                </c:ext>
              </c:extLst>
            </c:dLbl>
            <c:dLbl>
              <c:idx val="4"/>
              <c:layout>
                <c:manualLayout>
                  <c:x val="-5.9100299029785454E-2"/>
                  <c:y val="-2.62231139737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3-409B-B004-0489DDFC76D1}"/>
                </c:ext>
              </c:extLst>
            </c:dLbl>
            <c:dLbl>
              <c:idx val="5"/>
              <c:layout>
                <c:manualLayout>
                  <c:x val="-5.3855786683380993E-2"/>
                  <c:y val="-1.3675271319136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'CFI&amp;Designation'!$O$6:$O$11</c:f>
              <c:numCache>
                <c:formatCode>0</c:formatCode>
                <c:ptCount val="6"/>
                <c:pt idx="0">
                  <c:v>125</c:v>
                </c:pt>
                <c:pt idx="1">
                  <c:v>166</c:v>
                </c:pt>
                <c:pt idx="2">
                  <c:v>245</c:v>
                </c:pt>
                <c:pt idx="3">
                  <c:v>342</c:v>
                </c:pt>
                <c:pt idx="4">
                  <c:v>423</c:v>
                </c:pt>
                <c:pt idx="5">
                  <c:v>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9C3-409B-B004-0489DDFC76D1}"/>
            </c:ext>
          </c:extLst>
        </c:ser>
        <c:ser>
          <c:idx val="0"/>
          <c:order val="1"/>
          <c:tx>
            <c:v>Reg Arm 1 Resistance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1"/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767030986798294E-2"/>
                  <c:y val="-2.9653959207989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C3-409B-B004-0489DDFC76D1}"/>
                </c:ext>
              </c:extLst>
            </c:dLbl>
            <c:dLbl>
              <c:idx val="1"/>
              <c:layout>
                <c:manualLayout>
                  <c:x val="-5.1077943615257047E-2"/>
                  <c:y val="-1.9360973882547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C3-409B-B004-0489DDFC76D1}"/>
                </c:ext>
              </c:extLst>
            </c:dLbl>
            <c:dLbl>
              <c:idx val="2"/>
              <c:layout>
                <c:manualLayout>
                  <c:x val="-5.2466799858972853E-2"/>
                  <c:y val="-1.823354521798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C3-409B-B004-0489DDFC76D1}"/>
                </c:ext>
              </c:extLst>
            </c:dLbl>
            <c:dLbl>
              <c:idx val="3"/>
              <c:layout>
                <c:manualLayout>
                  <c:x val="-5.8830780480798109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C3-409B-B004-0489DDFC76D1}"/>
                </c:ext>
              </c:extLst>
            </c:dLbl>
            <c:dLbl>
              <c:idx val="4"/>
              <c:layout>
                <c:manualLayout>
                  <c:x val="-5.632258654235385E-2"/>
                  <c:y val="-2.279204392812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C3-409B-B004-0489DDFC76D1}"/>
                </c:ext>
              </c:extLst>
            </c:dLbl>
            <c:dLbl>
              <c:idx val="5"/>
              <c:layout>
                <c:manualLayout>
                  <c:x val="-5.6053067993366498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'CFI&amp;Designation'!$H$6:$H$11</c:f>
              <c:numCache>
                <c:formatCode>0</c:formatCode>
                <c:ptCount val="6"/>
                <c:pt idx="0">
                  <c:v>107</c:v>
                </c:pt>
                <c:pt idx="1">
                  <c:v>145</c:v>
                </c:pt>
                <c:pt idx="2">
                  <c:v>216</c:v>
                </c:pt>
                <c:pt idx="3">
                  <c:v>300</c:v>
                </c:pt>
                <c:pt idx="4">
                  <c:v>381</c:v>
                </c:pt>
                <c:pt idx="5">
                  <c:v>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9C3-409B-B004-0489DDFC76D1}"/>
            </c:ext>
          </c:extLst>
        </c:ser>
        <c:ser>
          <c:idx val="3"/>
          <c:order val="2"/>
          <c:tx>
            <c:v>HD Arm 1 Load</c:v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76200" cap="rnd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222222222222223E-2"/>
                  <c:y val="9.11680911680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Arm1Design!$I$29</c:f>
              <c:numCache>
                <c:formatCode>0</c:formatCode>
                <c:ptCount val="1"/>
                <c:pt idx="0">
                  <c:v>343.87863711347194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9C3-409B-B004-0489DDFC76D1}"/>
            </c:ext>
          </c:extLst>
        </c:ser>
        <c:ser>
          <c:idx val="2"/>
          <c:order val="3"/>
          <c:tx>
            <c:v>Reg. Arm 1 Load</c:v>
          </c:tx>
          <c:spPr>
            <a:ln w="76200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76200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111111111111112E-2"/>
                  <c:y val="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C3-409B-B004-0489DDFC7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Arm1Design!$H$29</c:f>
              <c:numCache>
                <c:formatCode>0</c:formatCode>
                <c:ptCount val="1"/>
                <c:pt idx="0">
                  <c:v>331.85501937244533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9C3-409B-B004-0489DDFC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172920"/>
        <c:axId val="501172136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'CFI&amp;Designation'!$S$46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'CFI&amp;Designation'!$T$47:$T$62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3-29C3-409B-B004-0489DDFC76D1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'CFI&amp;Designation'!$T$46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'CFI&amp;Designation'!$U$47:$U$62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9C3-409B-B004-0489DDFC76D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'CFI&amp;Designation'!$V$47:$V$62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9C3-409B-B004-0489DDFC76D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'CFI&amp;Designation'!$W$47:$W$62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9C3-409B-B004-0489DDFC76D1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'CFI&amp;Designation'!$X$47:$X$62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9C3-409B-B004-0489DDFC76D1}"/>
                  </c:ext>
                </c:extLst>
              </c15:ser>
            </c15:filteredScatterSeries>
          </c:ext>
        </c:extLst>
      </c:scatterChart>
      <c:valAx>
        <c:axId val="501172920"/>
        <c:scaling>
          <c:orientation val="minMax"/>
          <c:max val="8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Arm Lengths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2136"/>
        <c:crosses val="autoZero"/>
        <c:crossBetween val="midCat"/>
      </c:valAx>
      <c:valAx>
        <c:axId val="50117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Arm Moment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72920"/>
        <c:crosses val="autoZero"/>
        <c:crossBetween val="midCat"/>
      </c:valAx>
      <c:spPr>
        <a:solidFill>
          <a:schemeClr val="bg1">
            <a:lumMod val="95000"/>
          </a:schemeClr>
        </a:solidFill>
        <a:ln w="25400">
          <a:solidFill>
            <a:schemeClr val="tx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39971566054245"/>
          <c:y val="0.12507957018193236"/>
          <c:w val="0.67452945247515705"/>
          <c:h val="4.8180208737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254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H$6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firstButton="1" fmlaLink="$I$6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J$6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checked="Checked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firstButton="1" fmlaLink="$K$6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firstButton="1" fmlaLink="Arm2Design!$L$6" lockText="1" noThreeD="1"/>
</file>

<file path=xl/ctrlProps/ctrlProp126.xml><?xml version="1.0" encoding="utf-8"?>
<formControlPr xmlns="http://schemas.microsoft.com/office/spreadsheetml/2009/9/main" objectType="Radio" checked="Checked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$E$6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fmlaLink="$M$6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List" dx="22" fmlaLink="Dimensions!$C$47" fmlaRange="Dimensions!$AF$2:$AF$8" noThreeD="1" sel="4" val="0"/>
</file>

<file path=xl/ctrlProps/ctrlProp138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F$6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Dimensions!$C$45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G$6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H$6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I$6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Dimensions!$C$49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$J$6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checked="Checked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noThreeD="1"/>
</file>

<file path=xl/ctrlProps/ctrlProp50.xml><?xml version="1.0" encoding="utf-8"?>
<formControlPr xmlns="http://schemas.microsoft.com/office/spreadsheetml/2009/9/main" objectType="Radio" firstButton="1" fmlaLink="$K$6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fmlaLink="Arm1Design!$L$6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fmlaLink="$M$6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List" dx="22" fmlaLink="Dimensions!$C$46" fmlaRange="Dimensions!$AF$3:$AF$8" noThreeD="1" sel="4" val="0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Dimensions!$C$48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checked="Checked" firstButton="1" fmlaLink="Dimensions!$C$50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Radio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checked="Checked" firstButton="1" fmlaLink="$D$6" lockText="1" noThreeD="1"/>
</file>

<file path=xl/ctrlProps/ctrlProp8.xml><?xml version="1.0" encoding="utf-8"?>
<formControlPr xmlns="http://schemas.microsoft.com/office/spreadsheetml/2009/9/main" objectType="Radio" checked="Checked" firstButton="1" fmlaLink="$D$6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checked="Checked" firstButton="1" fmlaLink="$E$6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checked="Checked" firstButton="1" fmlaLink="$F$6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checked="Checked" firstButton="1" fmlaLink="$G$6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</xdr:row>
          <xdr:rowOff>716280</xdr:rowOff>
        </xdr:from>
        <xdr:to>
          <xdr:col>2</xdr:col>
          <xdr:colOff>7620</xdr:colOff>
          <xdr:row>6</xdr:row>
          <xdr:rowOff>152400</xdr:rowOff>
        </xdr:to>
        <xdr:sp macro="" textlink="">
          <xdr:nvSpPr>
            <xdr:cNvPr id="1056" name="Group Box 32" descr="Back Plates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 Plate Width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</xdr:row>
          <xdr:rowOff>60960</xdr:rowOff>
        </xdr:from>
        <xdr:to>
          <xdr:col>2</xdr:col>
          <xdr:colOff>30480</xdr:colOff>
          <xdr:row>5</xdr:row>
          <xdr:rowOff>586740</xdr:rowOff>
        </xdr:to>
        <xdr:sp macro="" textlink="">
          <xdr:nvSpPr>
            <xdr:cNvPr id="1055" name="Group Box 31" descr="Signal Orientation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Signal Orientation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1</xdr:colOff>
      <xdr:row>11</xdr:row>
      <xdr:rowOff>135255</xdr:rowOff>
    </xdr:from>
    <xdr:to>
      <xdr:col>12</xdr:col>
      <xdr:colOff>742950</xdr:colOff>
      <xdr:row>22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188590</xdr:colOff>
          <xdr:row>5</xdr:row>
          <xdr:rowOff>207645</xdr:rowOff>
        </xdr:from>
        <xdr:to>
          <xdr:col>1</xdr:col>
          <xdr:colOff>942978</xdr:colOff>
          <xdr:row>5</xdr:row>
          <xdr:rowOff>531493</xdr:rowOff>
        </xdr:to>
        <xdr:grpSp>
          <xdr:nvGrpSpPr>
            <xdr:cNvPr id="4" name="Group 3" title="Signal Orientation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386710" y="1213485"/>
              <a:ext cx="754388" cy="323848"/>
              <a:chOff x="4467240" y="165905"/>
              <a:chExt cx="637936" cy="357970"/>
            </a:xfrm>
            <a:solidFill>
              <a:schemeClr val="bg1">
                <a:alpha val="63000"/>
              </a:schemeClr>
            </a:solidFill>
          </xdr:grpSpPr>
          <xdr:sp macro="" textlink="">
            <xdr:nvSpPr>
              <xdr:cNvPr id="1045" name="Option Button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100-000015040000}"/>
                  </a:ext>
                </a:extLst>
              </xdr:cNvPr>
              <xdr:cNvSpPr/>
            </xdr:nvSpPr>
            <xdr:spPr bwMode="auto">
              <a:xfrm>
                <a:off x="4467240" y="165905"/>
                <a:ext cx="637930" cy="18007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Vertical</a:t>
                </a:r>
              </a:p>
            </xdr:txBody>
          </xdr:sp>
          <xdr:sp macro="" textlink="">
            <xdr:nvSpPr>
              <xdr:cNvPr id="1046" name="Option Button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100-000016040000}"/>
                  </a:ext>
                </a:extLst>
              </xdr:cNvPr>
              <xdr:cNvSpPr/>
            </xdr:nvSpPr>
            <xdr:spPr bwMode="auto">
              <a:xfrm>
                <a:off x="4467243" y="363325"/>
                <a:ext cx="637933" cy="16055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8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Horizontal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5</xdr:row>
          <xdr:rowOff>72461</xdr:rowOff>
        </xdr:from>
        <xdr:to>
          <xdr:col>3</xdr:col>
          <xdr:colOff>658072</xdr:colOff>
          <xdr:row>5</xdr:row>
          <xdr:rowOff>1091280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2400297" y="1078301"/>
              <a:ext cx="581875" cy="1018819"/>
              <a:chOff x="1733547" y="1558361"/>
              <a:chExt cx="581884" cy="1018818"/>
            </a:xfrm>
          </xdr:grpSpPr>
          <xdr:sp macro="" textlink="">
            <xdr:nvSpPr>
              <xdr:cNvPr id="1062" name="Option Button 38" descr="None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100-00002604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063" name="Option Button 39" descr="3 Head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100-000027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064" name="Option Button 40" descr="4 Head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100-000028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065" name="Option Button 41" descr="5 Head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100-000029040000}"/>
                  </a:ext>
                </a:extLst>
              </xdr:cNvPr>
              <xdr:cNvSpPr/>
            </xdr:nvSpPr>
            <xdr:spPr bwMode="auto">
              <a:xfrm>
                <a:off x="1734403" y="2154342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069" name="Option Button 45" descr="Dog House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100-00002D040000}"/>
                  </a:ext>
                </a:extLst>
              </xdr:cNvPr>
              <xdr:cNvSpPr/>
            </xdr:nvSpPr>
            <xdr:spPr bwMode="auto">
              <a:xfrm>
                <a:off x="1734880" y="2365938"/>
                <a:ext cx="580373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5</xdr:row>
          <xdr:rowOff>76200</xdr:rowOff>
        </xdr:from>
        <xdr:to>
          <xdr:col>4</xdr:col>
          <xdr:colOff>667597</xdr:colOff>
          <xdr:row>5</xdr:row>
          <xdr:rowOff>1121903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100-00004D000000}"/>
                </a:ext>
              </a:extLst>
            </xdr:cNvPr>
            <xdr:cNvGrpSpPr/>
          </xdr:nvGrpSpPr>
          <xdr:grpSpPr>
            <a:xfrm>
              <a:off x="3164205" y="1082040"/>
              <a:ext cx="581872" cy="1045703"/>
              <a:chOff x="1733547" y="1558364"/>
              <a:chExt cx="581857" cy="1045707"/>
            </a:xfrm>
          </xdr:grpSpPr>
          <xdr:sp macro="" textlink="">
            <xdr:nvSpPr>
              <xdr:cNvPr id="1107" name="Option Button 83" descr="None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100-000053040000}"/>
                  </a:ext>
                </a:extLst>
              </xdr:cNvPr>
              <xdr:cNvSpPr/>
            </xdr:nvSpPr>
            <xdr:spPr bwMode="auto">
              <a:xfrm>
                <a:off x="1733553" y="1558364"/>
                <a:ext cx="581026" cy="2381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08" name="Option Button 84" descr="3 Head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100-00005404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09" name="Option Button 85" descr="4 Head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100-00005504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0" name="Option Button 86" descr="5 Head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100-000056040000}"/>
                  </a:ext>
                </a:extLst>
              </xdr:cNvPr>
              <xdr:cNvSpPr/>
            </xdr:nvSpPr>
            <xdr:spPr bwMode="auto">
              <a:xfrm>
                <a:off x="1734387" y="2154342"/>
                <a:ext cx="581017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1" name="Option Button 87" descr="Dog House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100-000057040000}"/>
                  </a:ext>
                </a:extLst>
              </xdr:cNvPr>
              <xdr:cNvSpPr/>
            </xdr:nvSpPr>
            <xdr:spPr bwMode="auto">
              <a:xfrm>
                <a:off x="1734880" y="2365946"/>
                <a:ext cx="58037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5</xdr:row>
          <xdr:rowOff>76200</xdr:rowOff>
        </xdr:from>
        <xdr:to>
          <xdr:col>5</xdr:col>
          <xdr:colOff>677123</xdr:colOff>
          <xdr:row>5</xdr:row>
          <xdr:rowOff>1121903</xdr:rowOff>
        </xdr:to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GrpSpPr/>
          </xdr:nvGrpSpPr>
          <xdr:grpSpPr>
            <a:xfrm>
              <a:off x="3918586" y="1082040"/>
              <a:ext cx="591397" cy="1045703"/>
              <a:chOff x="1733548" y="1558364"/>
              <a:chExt cx="591397" cy="1045707"/>
            </a:xfrm>
          </xdr:grpSpPr>
          <xdr:sp macro="" textlink="">
            <xdr:nvSpPr>
              <xdr:cNvPr id="1114" name="Option Button 90" descr="None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100-00005A040000}"/>
                  </a:ext>
                </a:extLst>
              </xdr:cNvPr>
              <xdr:cNvSpPr/>
            </xdr:nvSpPr>
            <xdr:spPr bwMode="auto">
              <a:xfrm>
                <a:off x="1733553" y="1558364"/>
                <a:ext cx="590551" cy="2381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15" name="Option Button 91" descr="3 Head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100-00005B04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16" name="Option Button 92" descr="4 Head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100-00005C04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7" name="Option Button 93" descr="5 Head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100-00005D04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8" name="Option Button 94" descr="Dog House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100-00005E040000}"/>
                  </a:ext>
                </a:extLst>
              </xdr:cNvPr>
              <xdr:cNvSpPr/>
            </xdr:nvSpPr>
            <xdr:spPr bwMode="auto">
              <a:xfrm>
                <a:off x="1734881" y="2365946"/>
                <a:ext cx="589884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5</xdr:row>
          <xdr:rowOff>79690</xdr:rowOff>
        </xdr:from>
        <xdr:to>
          <xdr:col>6</xdr:col>
          <xdr:colOff>677335</xdr:colOff>
          <xdr:row>5</xdr:row>
          <xdr:rowOff>1128389</xdr:rowOff>
        </xdr:to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GrpSpPr/>
          </xdr:nvGrpSpPr>
          <xdr:grpSpPr>
            <a:xfrm>
              <a:off x="4682491" y="1085530"/>
              <a:ext cx="582084" cy="1048699"/>
              <a:chOff x="1733546" y="1552212"/>
              <a:chExt cx="533620" cy="1068303"/>
            </a:xfrm>
          </xdr:grpSpPr>
          <xdr:sp macro="" textlink="">
            <xdr:nvSpPr>
              <xdr:cNvPr id="1133" name="Option Button 109" descr="None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100-00006D040000}"/>
                  </a:ext>
                </a:extLst>
              </xdr:cNvPr>
              <xdr:cNvSpPr/>
            </xdr:nvSpPr>
            <xdr:spPr bwMode="auto">
              <a:xfrm>
                <a:off x="1733552" y="1552212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34" name="Option Button 110" descr="3 Head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100-00006E04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6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35" name="Option Button 111" descr="4 Head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100-00006F04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36" name="Option Button 112" descr="5 Head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100-00007004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37" name="Option Button 113" descr="Dog House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100-000071040000}"/>
                  </a:ext>
                </a:extLst>
              </xdr:cNvPr>
              <xdr:cNvSpPr/>
            </xdr:nvSpPr>
            <xdr:spPr bwMode="auto">
              <a:xfrm>
                <a:off x="1734879" y="2347562"/>
                <a:ext cx="532287" cy="2729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21" name="Group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5</xdr:row>
          <xdr:rowOff>76199</xdr:rowOff>
        </xdr:from>
        <xdr:to>
          <xdr:col>7</xdr:col>
          <xdr:colOff>677332</xdr:colOff>
          <xdr:row>5</xdr:row>
          <xdr:rowOff>1098861</xdr:rowOff>
        </xdr:to>
        <xdr:grpSp>
          <xdr:nvGrpSpPr>
            <xdr:cNvPr id="106" name="Group 105">
              <a:extLst>
                <a:ext uri="{FF2B5EF4-FFF2-40B4-BE49-F238E27FC236}">
                  <a16:creationId xmlns:a16="http://schemas.microsoft.com/office/drawing/2014/main" id="{00000000-0008-0000-0100-00006A000000}"/>
                </a:ext>
              </a:extLst>
            </xdr:cNvPr>
            <xdr:cNvGrpSpPr/>
          </xdr:nvGrpSpPr>
          <xdr:grpSpPr>
            <a:xfrm>
              <a:off x="5427346" y="1082039"/>
              <a:ext cx="591606" cy="1022662"/>
              <a:chOff x="1733544" y="1558359"/>
              <a:chExt cx="542352" cy="1041777"/>
            </a:xfrm>
          </xdr:grpSpPr>
          <xdr:sp macro="" textlink="">
            <xdr:nvSpPr>
              <xdr:cNvPr id="1282" name="Option Button 258" descr="None" hidden="1">
                <a:extLst>
                  <a:ext uri="{63B3BB69-23CF-44E3-9099-C40C66FF867C}">
                    <a14:compatExt spid="_x0000_s1282"/>
                  </a:ext>
                  <a:ext uri="{FF2B5EF4-FFF2-40B4-BE49-F238E27FC236}">
                    <a16:creationId xmlns:a16="http://schemas.microsoft.com/office/drawing/2014/main" id="{00000000-0008-0000-0100-000002050000}"/>
                  </a:ext>
                </a:extLst>
              </xdr:cNvPr>
              <xdr:cNvSpPr/>
            </xdr:nvSpPr>
            <xdr:spPr bwMode="auto">
              <a:xfrm>
                <a:off x="1733552" y="1558359"/>
                <a:ext cx="541381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83" name="Option Button 259" descr="3 Head" hidden="1">
                <a:extLst>
                  <a:ext uri="{63B3BB69-23CF-44E3-9099-C40C66FF867C}">
                    <a14:compatExt spid="_x0000_s1283"/>
                  </a:ext>
                  <a:ext uri="{FF2B5EF4-FFF2-40B4-BE49-F238E27FC236}">
                    <a16:creationId xmlns:a16="http://schemas.microsoft.com/office/drawing/2014/main" id="{00000000-0008-0000-0100-00000305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5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84" name="Option Button 260" descr="4 Head" hidden="1">
                <a:extLst>
                  <a:ext uri="{63B3BB69-23CF-44E3-9099-C40C66FF867C}">
                    <a14:compatExt spid="_x0000_s1284"/>
                  </a:ext>
                  <a:ext uri="{FF2B5EF4-FFF2-40B4-BE49-F238E27FC236}">
                    <a16:creationId xmlns:a16="http://schemas.microsoft.com/office/drawing/2014/main" id="{00000000-0008-0000-0100-000004050000}"/>
                  </a:ext>
                </a:extLst>
              </xdr:cNvPr>
              <xdr:cNvSpPr/>
            </xdr:nvSpPr>
            <xdr:spPr bwMode="auto">
              <a:xfrm>
                <a:off x="1733550" y="1952624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85" name="Option Button 261" descr="5 Head" hidden="1">
                <a:extLst>
                  <a:ext uri="{63B3BB69-23CF-44E3-9099-C40C66FF867C}">
                    <a14:compatExt spid="_x0000_s1285"/>
                  </a:ext>
                  <a:ext uri="{FF2B5EF4-FFF2-40B4-BE49-F238E27FC236}">
                    <a16:creationId xmlns:a16="http://schemas.microsoft.com/office/drawing/2014/main" id="{00000000-0008-0000-0100-00000505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86" name="Option Button 262" descr="Dog House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100-000006050000}"/>
                  </a:ext>
                </a:extLst>
              </xdr:cNvPr>
              <xdr:cNvSpPr/>
            </xdr:nvSpPr>
            <xdr:spPr bwMode="auto">
              <a:xfrm>
                <a:off x="1734879" y="2354014"/>
                <a:ext cx="541017" cy="2461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5</xdr:row>
          <xdr:rowOff>67601</xdr:rowOff>
        </xdr:from>
        <xdr:to>
          <xdr:col>8</xdr:col>
          <xdr:colOff>667809</xdr:colOff>
          <xdr:row>5</xdr:row>
          <xdr:rowOff>1088012</xdr:rowOff>
        </xdr:to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GrpSpPr/>
          </xdr:nvGrpSpPr>
          <xdr:grpSpPr>
            <a:xfrm>
              <a:off x="6181726" y="1073441"/>
              <a:ext cx="582083" cy="1020411"/>
              <a:chOff x="1733547" y="1568687"/>
              <a:chExt cx="533619" cy="1007984"/>
            </a:xfrm>
          </xdr:grpSpPr>
          <xdr:sp macro="" textlink="">
            <xdr:nvSpPr>
              <xdr:cNvPr id="1290" name="Option Button 266" descr="None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100-00000A05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1" name="Option Button 267" descr="3 Head" hidden="1">
                <a:extLst>
                  <a:ext uri="{63B3BB69-23CF-44E3-9099-C40C66FF867C}">
                    <a14:compatExt spid="_x0000_s1291"/>
                  </a:ext>
                  <a:ext uri="{FF2B5EF4-FFF2-40B4-BE49-F238E27FC236}">
                    <a16:creationId xmlns:a16="http://schemas.microsoft.com/office/drawing/2014/main" id="{00000000-0008-0000-0100-00000B05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4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2" name="Option Button 268" descr="4 Head" hidden="1">
                <a:extLst>
                  <a:ext uri="{63B3BB69-23CF-44E3-9099-C40C66FF867C}">
                    <a14:compatExt spid="_x0000_s1292"/>
                  </a:ext>
                  <a:ext uri="{FF2B5EF4-FFF2-40B4-BE49-F238E27FC236}">
                    <a16:creationId xmlns:a16="http://schemas.microsoft.com/office/drawing/2014/main" id="{00000000-0008-0000-0100-00000C05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93" name="Option Button 269" descr="5 Head" hidden="1">
                <a:extLst>
                  <a:ext uri="{63B3BB69-23CF-44E3-9099-C40C66FF867C}">
                    <a14:compatExt spid="_x0000_s1293"/>
                  </a:ext>
                  <a:ext uri="{FF2B5EF4-FFF2-40B4-BE49-F238E27FC236}">
                    <a16:creationId xmlns:a16="http://schemas.microsoft.com/office/drawing/2014/main" id="{00000000-0008-0000-0100-00000D05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94" name="Option Button 270" descr="Dog House" hidden="1">
                <a:extLst>
                  <a:ext uri="{63B3BB69-23CF-44E3-9099-C40C66FF867C}">
                    <a14:compatExt spid="_x0000_s1294"/>
                  </a:ext>
                  <a:ext uri="{FF2B5EF4-FFF2-40B4-BE49-F238E27FC236}">
                    <a16:creationId xmlns:a16="http://schemas.microsoft.com/office/drawing/2014/main" id="{00000000-0008-0000-0100-00000E050000}"/>
                  </a:ext>
                </a:extLst>
              </xdr:cNvPr>
              <xdr:cNvSpPr/>
            </xdr:nvSpPr>
            <xdr:spPr bwMode="auto">
              <a:xfrm>
                <a:off x="1734879" y="2364848"/>
                <a:ext cx="532287" cy="21182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0</xdr:colOff>
          <xdr:row>6</xdr:row>
          <xdr:rowOff>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96686</xdr:colOff>
          <xdr:row>5</xdr:row>
          <xdr:rowOff>53343</xdr:rowOff>
        </xdr:from>
        <xdr:to>
          <xdr:col>9</xdr:col>
          <xdr:colOff>702292</xdr:colOff>
          <xdr:row>5</xdr:row>
          <xdr:rowOff>1087759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pSpPr/>
          </xdr:nvGrpSpPr>
          <xdr:grpSpPr>
            <a:xfrm>
              <a:off x="6947066" y="1059183"/>
              <a:ext cx="605606" cy="1034416"/>
              <a:chOff x="1752926" y="1554486"/>
              <a:chExt cx="556550" cy="996234"/>
            </a:xfrm>
          </xdr:grpSpPr>
          <xdr:sp macro="" textlink="">
            <xdr:nvSpPr>
              <xdr:cNvPr id="1297" name="Option Button 273" descr="None" hidden="1">
                <a:extLst>
                  <a:ext uri="{63B3BB69-23CF-44E3-9099-C40C66FF867C}">
                    <a14:compatExt spid="_x0000_s1297"/>
                  </a:ext>
                  <a:ext uri="{FF2B5EF4-FFF2-40B4-BE49-F238E27FC236}">
                    <a16:creationId xmlns:a16="http://schemas.microsoft.com/office/drawing/2014/main" id="{00000000-0008-0000-0100-000011050000}"/>
                  </a:ext>
                </a:extLst>
              </xdr:cNvPr>
              <xdr:cNvSpPr/>
            </xdr:nvSpPr>
            <xdr:spPr bwMode="auto">
              <a:xfrm>
                <a:off x="1758078" y="1554486"/>
                <a:ext cx="546726" cy="22463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8" name="Option Button 274" descr="3 Head" hidden="1">
                <a:extLst>
                  <a:ext uri="{63B3BB69-23CF-44E3-9099-C40C66FF867C}">
                    <a14:compatExt spid="_x0000_s1298"/>
                  </a:ext>
                  <a:ext uri="{FF2B5EF4-FFF2-40B4-BE49-F238E27FC236}">
                    <a16:creationId xmlns:a16="http://schemas.microsoft.com/office/drawing/2014/main" id="{00000000-0008-0000-0100-000012050000}"/>
                  </a:ext>
                </a:extLst>
              </xdr:cNvPr>
              <xdr:cNvSpPr/>
            </xdr:nvSpPr>
            <xdr:spPr bwMode="auto">
              <a:xfrm>
                <a:off x="1755905" y="1749326"/>
                <a:ext cx="553571" cy="22378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9" name="Option Button 275" descr="4 Head" hidden="1">
                <a:extLst>
                  <a:ext uri="{63B3BB69-23CF-44E3-9099-C40C66FF867C}">
                    <a14:compatExt spid="_x0000_s1299"/>
                  </a:ext>
                  <a:ext uri="{FF2B5EF4-FFF2-40B4-BE49-F238E27FC236}">
                    <a16:creationId xmlns:a16="http://schemas.microsoft.com/office/drawing/2014/main" id="{00000000-0008-0000-0100-000013050000}"/>
                  </a:ext>
                </a:extLst>
              </xdr:cNvPr>
              <xdr:cNvSpPr/>
            </xdr:nvSpPr>
            <xdr:spPr bwMode="auto">
              <a:xfrm>
                <a:off x="1755989" y="1952171"/>
                <a:ext cx="551425" cy="225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0" name="Option Button 276" descr="5 Head" hidden="1">
                <a:extLst>
                  <a:ext uri="{63B3BB69-23CF-44E3-9099-C40C66FF867C}">
                    <a14:compatExt spid="_x0000_s1300"/>
                  </a:ext>
                  <a:ext uri="{FF2B5EF4-FFF2-40B4-BE49-F238E27FC236}">
                    <a16:creationId xmlns:a16="http://schemas.microsoft.com/office/drawing/2014/main" id="{00000000-0008-0000-0100-000014050000}"/>
                  </a:ext>
                </a:extLst>
              </xdr:cNvPr>
              <xdr:cNvSpPr/>
            </xdr:nvSpPr>
            <xdr:spPr bwMode="auto">
              <a:xfrm>
                <a:off x="1753599" y="2149478"/>
                <a:ext cx="553257" cy="223369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1" name="Option Button 277" descr="Dog House" hidden="1">
                <a:extLst>
                  <a:ext uri="{63B3BB69-23CF-44E3-9099-C40C66FF867C}">
                    <a14:compatExt spid="_x0000_s1301"/>
                  </a:ext>
                  <a:ext uri="{FF2B5EF4-FFF2-40B4-BE49-F238E27FC236}">
                    <a16:creationId xmlns:a16="http://schemas.microsoft.com/office/drawing/2014/main" id="{00000000-0008-0000-0100-000015050000}"/>
                  </a:ext>
                </a:extLst>
              </xdr:cNvPr>
              <xdr:cNvSpPr/>
            </xdr:nvSpPr>
            <xdr:spPr bwMode="auto">
              <a:xfrm>
                <a:off x="1752926" y="2333473"/>
                <a:ext cx="551021" cy="21724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754380</xdr:colOff>
          <xdr:row>5</xdr:row>
          <xdr:rowOff>0</xdr:rowOff>
        </xdr:from>
        <xdr:to>
          <xdr:col>10</xdr:col>
          <xdr:colOff>754380</xdr:colOff>
          <xdr:row>6</xdr:row>
          <xdr:rowOff>0</xdr:rowOff>
        </xdr:to>
        <xdr:sp macro="" textlink="">
          <xdr:nvSpPr>
            <xdr:cNvPr id="1303" name="Group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97626</xdr:colOff>
          <xdr:row>5</xdr:row>
          <xdr:rowOff>74772</xdr:rowOff>
        </xdr:from>
        <xdr:to>
          <xdr:col>10</xdr:col>
          <xdr:colOff>703245</xdr:colOff>
          <xdr:row>5</xdr:row>
          <xdr:rowOff>1087278</xdr:rowOff>
        </xdr:to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100-00004C000000}"/>
                </a:ext>
              </a:extLst>
            </xdr:cNvPr>
            <xdr:cNvGrpSpPr/>
          </xdr:nvGrpSpPr>
          <xdr:grpSpPr>
            <a:xfrm>
              <a:off x="7702386" y="1080612"/>
              <a:ext cx="605619" cy="1012506"/>
              <a:chOff x="1712639" y="1527672"/>
              <a:chExt cx="568120" cy="1124315"/>
            </a:xfrm>
          </xdr:grpSpPr>
          <xdr:sp macro="" textlink="">
            <xdr:nvSpPr>
              <xdr:cNvPr id="1304" name="Option Button 280" descr="None" hidden="1">
                <a:extLst>
                  <a:ext uri="{63B3BB69-23CF-44E3-9099-C40C66FF867C}">
                    <a14:compatExt spid="_x0000_s1304"/>
                  </a:ext>
                  <a:ext uri="{FF2B5EF4-FFF2-40B4-BE49-F238E27FC236}">
                    <a16:creationId xmlns:a16="http://schemas.microsoft.com/office/drawing/2014/main" id="{00000000-0008-0000-0100-000018050000}"/>
                  </a:ext>
                </a:extLst>
              </xdr:cNvPr>
              <xdr:cNvSpPr/>
            </xdr:nvSpPr>
            <xdr:spPr bwMode="auto">
              <a:xfrm>
                <a:off x="1713144" y="1527672"/>
                <a:ext cx="557203" cy="25286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05" name="Option Button 281" descr="3 Head" hidden="1">
                <a:extLst>
                  <a:ext uri="{63B3BB69-23CF-44E3-9099-C40C66FF867C}">
                    <a14:compatExt spid="_x0000_s1305"/>
                  </a:ext>
                  <a:ext uri="{FF2B5EF4-FFF2-40B4-BE49-F238E27FC236}">
                    <a16:creationId xmlns:a16="http://schemas.microsoft.com/office/drawing/2014/main" id="{00000000-0008-0000-0100-000019050000}"/>
                  </a:ext>
                </a:extLst>
              </xdr:cNvPr>
              <xdr:cNvSpPr/>
            </xdr:nvSpPr>
            <xdr:spPr bwMode="auto">
              <a:xfrm>
                <a:off x="1712639" y="1764863"/>
                <a:ext cx="562924" cy="24443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06" name="Option Button 282" descr="4 Head" hidden="1">
                <a:extLst>
                  <a:ext uri="{63B3BB69-23CF-44E3-9099-C40C66FF867C}">
                    <a14:compatExt spid="_x0000_s1306"/>
                  </a:ext>
                  <a:ext uri="{FF2B5EF4-FFF2-40B4-BE49-F238E27FC236}">
                    <a16:creationId xmlns:a16="http://schemas.microsoft.com/office/drawing/2014/main" id="{00000000-0008-0000-0100-00001A050000}"/>
                  </a:ext>
                </a:extLst>
              </xdr:cNvPr>
              <xdr:cNvSpPr/>
            </xdr:nvSpPr>
            <xdr:spPr bwMode="auto">
              <a:xfrm>
                <a:off x="1714001" y="1961935"/>
                <a:ext cx="566063" cy="24256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7" name="Option Button 283" descr="5 Head" hidden="1">
                <a:extLst>
                  <a:ext uri="{63B3BB69-23CF-44E3-9099-C40C66FF867C}">
                    <a14:compatExt spid="_x0000_s1307"/>
                  </a:ext>
                  <a:ext uri="{FF2B5EF4-FFF2-40B4-BE49-F238E27FC236}">
                    <a16:creationId xmlns:a16="http://schemas.microsoft.com/office/drawing/2014/main" id="{00000000-0008-0000-0100-00001B050000}"/>
                  </a:ext>
                </a:extLst>
              </xdr:cNvPr>
              <xdr:cNvSpPr/>
            </xdr:nvSpPr>
            <xdr:spPr bwMode="auto">
              <a:xfrm>
                <a:off x="1714438" y="2174712"/>
                <a:ext cx="562521" cy="24443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8" name="Option Button 284" descr="Dog House" hidden="1">
                <a:extLst>
                  <a:ext uri="{63B3BB69-23CF-44E3-9099-C40C66FF867C}">
                    <a14:compatExt spid="_x0000_s1308"/>
                  </a:ext>
                  <a:ext uri="{FF2B5EF4-FFF2-40B4-BE49-F238E27FC236}">
                    <a16:creationId xmlns:a16="http://schemas.microsoft.com/office/drawing/2014/main" id="{00000000-0008-0000-0100-00001C050000}"/>
                  </a:ext>
                </a:extLst>
              </xdr:cNvPr>
              <xdr:cNvSpPr/>
            </xdr:nvSpPr>
            <xdr:spPr bwMode="auto">
              <a:xfrm>
                <a:off x="1712683" y="2406137"/>
                <a:ext cx="568076" cy="24585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58430</xdr:colOff>
          <xdr:row>5</xdr:row>
          <xdr:rowOff>91440</xdr:rowOff>
        </xdr:from>
        <xdr:to>
          <xdr:col>11</xdr:col>
          <xdr:colOff>671514</xdr:colOff>
          <xdr:row>5</xdr:row>
          <xdr:rowOff>1087755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GrpSpPr/>
          </xdr:nvGrpSpPr>
          <xdr:grpSpPr>
            <a:xfrm>
              <a:off x="8417570" y="1097280"/>
              <a:ext cx="613084" cy="996315"/>
              <a:chOff x="1733070" y="1760326"/>
              <a:chExt cx="549407" cy="1092118"/>
            </a:xfrm>
          </xdr:grpSpPr>
          <xdr:sp macro="" textlink="">
            <xdr:nvSpPr>
              <xdr:cNvPr id="1311" name="Option Button 287" descr="3 Head" hidden="1">
                <a:extLst>
                  <a:ext uri="{63B3BB69-23CF-44E3-9099-C40C66FF867C}">
                    <a14:compatExt spid="_x0000_s1311"/>
                  </a:ext>
                  <a:ext uri="{FF2B5EF4-FFF2-40B4-BE49-F238E27FC236}">
                    <a16:creationId xmlns:a16="http://schemas.microsoft.com/office/drawing/2014/main" id="{00000000-0008-0000-0100-00001F050000}"/>
                  </a:ext>
                </a:extLst>
              </xdr:cNvPr>
              <xdr:cNvSpPr/>
            </xdr:nvSpPr>
            <xdr:spPr bwMode="auto">
              <a:xfrm>
                <a:off x="1733545" y="1760326"/>
                <a:ext cx="541383" cy="268493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2" name="Option Button 288" descr="4 Head" hidden="1">
                <a:extLst>
                  <a:ext uri="{63B3BB69-23CF-44E3-9099-C40C66FF867C}">
                    <a14:compatExt spid="_x0000_s1312"/>
                  </a:ext>
                  <a:ext uri="{FF2B5EF4-FFF2-40B4-BE49-F238E27FC236}">
                    <a16:creationId xmlns:a16="http://schemas.microsoft.com/office/drawing/2014/main" id="{00000000-0008-0000-0100-000020050000}"/>
                  </a:ext>
                </a:extLst>
              </xdr:cNvPr>
              <xdr:cNvSpPr/>
            </xdr:nvSpPr>
            <xdr:spPr bwMode="auto">
              <a:xfrm>
                <a:off x="1734501" y="1983008"/>
                <a:ext cx="540720" cy="245977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3" name="Option Button 289" descr="5 Head" hidden="1">
                <a:extLst>
                  <a:ext uri="{63B3BB69-23CF-44E3-9099-C40C66FF867C}">
                    <a14:compatExt spid="_x0000_s1313"/>
                  </a:ext>
                  <a:ext uri="{FF2B5EF4-FFF2-40B4-BE49-F238E27FC236}">
                    <a16:creationId xmlns:a16="http://schemas.microsoft.com/office/drawing/2014/main" id="{00000000-0008-0000-0100-000021050000}"/>
                  </a:ext>
                </a:extLst>
              </xdr:cNvPr>
              <xdr:cNvSpPr/>
            </xdr:nvSpPr>
            <xdr:spPr bwMode="auto">
              <a:xfrm>
                <a:off x="1733070" y="2189302"/>
                <a:ext cx="540035" cy="210673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14" name="Option Button 290" descr="Dog House" hidden="1">
                <a:extLst>
                  <a:ext uri="{63B3BB69-23CF-44E3-9099-C40C66FF867C}">
                    <a14:compatExt spid="_x0000_s1314"/>
                  </a:ext>
                  <a:ext uri="{FF2B5EF4-FFF2-40B4-BE49-F238E27FC236}">
                    <a16:creationId xmlns:a16="http://schemas.microsoft.com/office/drawing/2014/main" id="{00000000-0008-0000-0100-000022050000}"/>
                  </a:ext>
                </a:extLst>
              </xdr:cNvPr>
              <xdr:cNvSpPr/>
            </xdr:nvSpPr>
            <xdr:spPr bwMode="auto">
              <a:xfrm>
                <a:off x="1733127" y="2368459"/>
                <a:ext cx="549350" cy="244095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10" name="Option Button 286" descr="None" hidden="1">
                <a:extLst>
                  <a:ext uri="{63B3BB69-23CF-44E3-9099-C40C66FF867C}">
                    <a14:compatExt spid="_x0000_s1310"/>
                  </a:ext>
                  <a:ext uri="{FF2B5EF4-FFF2-40B4-BE49-F238E27FC236}">
                    <a16:creationId xmlns:a16="http://schemas.microsoft.com/office/drawing/2014/main" id="{00000000-0008-0000-0100-00001E050000}"/>
                  </a:ext>
                </a:extLst>
              </xdr:cNvPr>
              <xdr:cNvSpPr/>
            </xdr:nvSpPr>
            <xdr:spPr bwMode="auto">
              <a:xfrm>
                <a:off x="1733553" y="2583949"/>
                <a:ext cx="541382" cy="268495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13</xdr:col>
          <xdr:colOff>0</xdr:colOff>
          <xdr:row>5</xdr:row>
          <xdr:rowOff>1348740</xdr:rowOff>
        </xdr:to>
        <xdr:sp macro="" textlink="">
          <xdr:nvSpPr>
            <xdr:cNvPr id="1316" name="Group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128296</xdr:colOff>
          <xdr:row>5</xdr:row>
          <xdr:rowOff>60959</xdr:rowOff>
        </xdr:from>
        <xdr:to>
          <xdr:col>12</xdr:col>
          <xdr:colOff>731951</xdr:colOff>
          <xdr:row>5</xdr:row>
          <xdr:rowOff>1087754</xdr:rowOff>
        </xdr:to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GrpSpPr/>
          </xdr:nvGrpSpPr>
          <xdr:grpSpPr>
            <a:xfrm>
              <a:off x="9241816" y="1066799"/>
              <a:ext cx="603655" cy="1026795"/>
              <a:chOff x="1765543" y="1554499"/>
              <a:chExt cx="550086" cy="1017297"/>
            </a:xfrm>
          </xdr:grpSpPr>
          <xdr:sp macro="" textlink="">
            <xdr:nvSpPr>
              <xdr:cNvPr id="1317" name="Option Button 293" descr="None" hidden="1">
                <a:extLst>
                  <a:ext uri="{63B3BB69-23CF-44E3-9099-C40C66FF867C}">
                    <a14:compatExt spid="_x0000_s1317"/>
                  </a:ext>
                  <a:ext uri="{FF2B5EF4-FFF2-40B4-BE49-F238E27FC236}">
                    <a16:creationId xmlns:a16="http://schemas.microsoft.com/office/drawing/2014/main" id="{00000000-0008-0000-0100-000025050000}"/>
                  </a:ext>
                </a:extLst>
              </xdr:cNvPr>
              <xdr:cNvSpPr/>
            </xdr:nvSpPr>
            <xdr:spPr bwMode="auto">
              <a:xfrm>
                <a:off x="1766830" y="1554499"/>
                <a:ext cx="546573" cy="224343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8" name="Option Button 294" descr="3 Head" hidden="1">
                <a:extLst>
                  <a:ext uri="{63B3BB69-23CF-44E3-9099-C40C66FF867C}">
                    <a14:compatExt spid="_x0000_s1318"/>
                  </a:ext>
                  <a:ext uri="{FF2B5EF4-FFF2-40B4-BE49-F238E27FC236}">
                    <a16:creationId xmlns:a16="http://schemas.microsoft.com/office/drawing/2014/main" id="{00000000-0008-0000-0100-000026050000}"/>
                  </a:ext>
                </a:extLst>
              </xdr:cNvPr>
              <xdr:cNvSpPr/>
            </xdr:nvSpPr>
            <xdr:spPr bwMode="auto">
              <a:xfrm>
                <a:off x="1765543" y="1752974"/>
                <a:ext cx="550086" cy="221408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9" name="Option Button 295" descr="4 Head" hidden="1">
                <a:extLst>
                  <a:ext uri="{63B3BB69-23CF-44E3-9099-C40C66FF867C}">
                    <a14:compatExt spid="_x0000_s1319"/>
                  </a:ext>
                  <a:ext uri="{FF2B5EF4-FFF2-40B4-BE49-F238E27FC236}">
                    <a16:creationId xmlns:a16="http://schemas.microsoft.com/office/drawing/2014/main" id="{00000000-0008-0000-0100-000027050000}"/>
                  </a:ext>
                </a:extLst>
              </xdr:cNvPr>
              <xdr:cNvSpPr/>
            </xdr:nvSpPr>
            <xdr:spPr bwMode="auto">
              <a:xfrm>
                <a:off x="1766823" y="1949035"/>
                <a:ext cx="546577" cy="224343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20" name="Option Button 296" descr="5 Head" hidden="1">
                <a:extLst>
                  <a:ext uri="{63B3BB69-23CF-44E3-9099-C40C66FF867C}">
                    <a14:compatExt spid="_x0000_s1320"/>
                  </a:ext>
                  <a:ext uri="{FF2B5EF4-FFF2-40B4-BE49-F238E27FC236}">
                    <a16:creationId xmlns:a16="http://schemas.microsoft.com/office/drawing/2014/main" id="{00000000-0008-0000-0100-000028050000}"/>
                  </a:ext>
                </a:extLst>
              </xdr:cNvPr>
              <xdr:cNvSpPr/>
            </xdr:nvSpPr>
            <xdr:spPr bwMode="auto">
              <a:xfrm>
                <a:off x="1766817" y="2150170"/>
                <a:ext cx="546581" cy="224343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21" name="Option Button 297" descr="Dog House" hidden="1">
                <a:extLst>
                  <a:ext uri="{63B3BB69-23CF-44E3-9099-C40C66FF867C}">
                    <a14:compatExt spid="_x0000_s1321"/>
                  </a:ext>
                  <a:ext uri="{FF2B5EF4-FFF2-40B4-BE49-F238E27FC236}">
                    <a16:creationId xmlns:a16="http://schemas.microsoft.com/office/drawing/2014/main" id="{00000000-0008-0000-0100-000029050000}"/>
                  </a:ext>
                </a:extLst>
              </xdr:cNvPr>
              <xdr:cNvSpPr/>
            </xdr:nvSpPr>
            <xdr:spPr bwMode="auto">
              <a:xfrm>
                <a:off x="1770111" y="2348299"/>
                <a:ext cx="543290" cy="223497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5</xdr:row>
          <xdr:rowOff>175260</xdr:rowOff>
        </xdr:from>
        <xdr:to>
          <xdr:col>2</xdr:col>
          <xdr:colOff>1036320</xdr:colOff>
          <xdr:row>5</xdr:row>
          <xdr:rowOff>1188720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1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5</xdr:row>
          <xdr:rowOff>327660</xdr:rowOff>
        </xdr:from>
        <xdr:to>
          <xdr:col>2</xdr:col>
          <xdr:colOff>906780</xdr:colOff>
          <xdr:row>5</xdr:row>
          <xdr:rowOff>1143000</xdr:rowOff>
        </xdr:to>
        <xdr:sp macro="" textlink="">
          <xdr:nvSpPr>
            <xdr:cNvPr id="1325" name="List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60960</xdr:rowOff>
        </xdr:from>
        <xdr:to>
          <xdr:col>2</xdr:col>
          <xdr:colOff>1097280</xdr:colOff>
          <xdr:row>4</xdr:row>
          <xdr:rowOff>342900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Wind Speed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</xdr:row>
          <xdr:rowOff>160020</xdr:rowOff>
        </xdr:from>
        <xdr:to>
          <xdr:col>1</xdr:col>
          <xdr:colOff>746760</xdr:colOff>
          <xdr:row>4</xdr:row>
          <xdr:rowOff>327660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130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4</xdr:row>
          <xdr:rowOff>152400</xdr:rowOff>
        </xdr:from>
        <xdr:to>
          <xdr:col>2</xdr:col>
          <xdr:colOff>426720</xdr:colOff>
          <xdr:row>4</xdr:row>
          <xdr:rowOff>312420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</xdr:row>
          <xdr:rowOff>0</xdr:rowOff>
        </xdr:from>
        <xdr:to>
          <xdr:col>11</xdr:col>
          <xdr:colOff>739140</xdr:colOff>
          <xdr:row>6</xdr:row>
          <xdr:rowOff>0</xdr:rowOff>
        </xdr:to>
        <xdr:sp macro="" textlink="">
          <xdr:nvSpPr>
            <xdr:cNvPr id="1331" name="Group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106680</xdr:rowOff>
        </xdr:from>
        <xdr:to>
          <xdr:col>1</xdr:col>
          <xdr:colOff>838200</xdr:colOff>
          <xdr:row>10</xdr:row>
          <xdr:rowOff>114300</xdr:rowOff>
        </xdr:to>
        <xdr:sp macro="" textlink="">
          <xdr:nvSpPr>
            <xdr:cNvPr id="1344" name="Group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Luminaire?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209562</xdr:colOff>
          <xdr:row>8</xdr:row>
          <xdr:rowOff>95241</xdr:rowOff>
        </xdr:from>
        <xdr:to>
          <xdr:col>1</xdr:col>
          <xdr:colOff>765805</xdr:colOff>
          <xdr:row>10</xdr:row>
          <xdr:rowOff>76203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407682" y="2838441"/>
              <a:ext cx="556243" cy="361962"/>
              <a:chOff x="13987888" y="1674487"/>
              <a:chExt cx="525947" cy="307614"/>
            </a:xfrm>
          </xdr:grpSpPr>
          <xdr:sp macro="" textlink="">
            <xdr:nvSpPr>
              <xdr:cNvPr id="1348" name="Option Button 324" descr="No" hidden="1">
                <a:extLst>
                  <a:ext uri="{63B3BB69-23CF-44E3-9099-C40C66FF867C}">
                    <a14:compatExt spid="_x0000_s1348"/>
                  </a:ext>
                  <a:ext uri="{FF2B5EF4-FFF2-40B4-BE49-F238E27FC236}">
                    <a16:creationId xmlns:a16="http://schemas.microsoft.com/office/drawing/2014/main" id="{00000000-0008-0000-0100-000044050000}"/>
                  </a:ext>
                </a:extLst>
              </xdr:cNvPr>
              <xdr:cNvSpPr/>
            </xdr:nvSpPr>
            <xdr:spPr bwMode="auto">
              <a:xfrm>
                <a:off x="13987888" y="1820191"/>
                <a:ext cx="522338" cy="16191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349" name="Option Button 325" hidden="1">
                <a:extLst>
                  <a:ext uri="{63B3BB69-23CF-44E3-9099-C40C66FF867C}">
                    <a14:compatExt spid="_x0000_s1349"/>
                  </a:ext>
                  <a:ext uri="{FF2B5EF4-FFF2-40B4-BE49-F238E27FC236}">
                    <a16:creationId xmlns:a16="http://schemas.microsoft.com/office/drawing/2014/main" id="{00000000-0008-0000-0100-000045050000}"/>
                  </a:ext>
                </a:extLst>
              </xdr:cNvPr>
              <xdr:cNvSpPr/>
            </xdr:nvSpPr>
            <xdr:spPr bwMode="auto">
              <a:xfrm>
                <a:off x="13987912" y="1674487"/>
                <a:ext cx="525923" cy="14977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</xdr:row>
          <xdr:rowOff>144780</xdr:rowOff>
        </xdr:from>
        <xdr:to>
          <xdr:col>2</xdr:col>
          <xdr:colOff>990600</xdr:colOff>
          <xdr:row>4</xdr:row>
          <xdr:rowOff>297180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1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170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</xdr:row>
          <xdr:rowOff>876300</xdr:rowOff>
        </xdr:from>
        <xdr:to>
          <xdr:col>1</xdr:col>
          <xdr:colOff>845820</xdr:colOff>
          <xdr:row>5</xdr:row>
          <xdr:rowOff>1082040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6.0 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</xdr:row>
          <xdr:rowOff>1264920</xdr:rowOff>
        </xdr:from>
        <xdr:to>
          <xdr:col>1</xdr:col>
          <xdr:colOff>845820</xdr:colOff>
          <xdr:row>6</xdr:row>
          <xdr:rowOff>99060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0 in.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</xdr:row>
          <xdr:rowOff>1089660</xdr:rowOff>
        </xdr:from>
        <xdr:to>
          <xdr:col>1</xdr:col>
          <xdr:colOff>845820</xdr:colOff>
          <xdr:row>5</xdr:row>
          <xdr:rowOff>1257300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1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2.5 in.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746760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5</xdr:row>
          <xdr:rowOff>1348740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173356</xdr:colOff>
      <xdr:row>11</xdr:row>
      <xdr:rowOff>133350</xdr:rowOff>
    </xdr:from>
    <xdr:to>
      <xdr:col>13</xdr:col>
      <xdr:colOff>15240</xdr:colOff>
      <xdr:row>22</xdr:row>
      <xdr:rowOff>55245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5</xdr:row>
          <xdr:rowOff>72461</xdr:rowOff>
        </xdr:from>
        <xdr:to>
          <xdr:col>3</xdr:col>
          <xdr:colOff>658072</xdr:colOff>
          <xdr:row>5</xdr:row>
          <xdr:rowOff>1091280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2400297" y="1078301"/>
              <a:ext cx="581875" cy="1018819"/>
              <a:chOff x="1733547" y="1558361"/>
              <a:chExt cx="581884" cy="1018818"/>
            </a:xfrm>
          </xdr:grpSpPr>
          <xdr:sp macro="" textlink="">
            <xdr:nvSpPr>
              <xdr:cNvPr id="3082" name="Option Button 10" descr="None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200-00000A0C0000}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3" name="Option Button 11" descr="3 Head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200-00000B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4" name="Option Button 12" descr="4 Head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200-00000C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85" name="Option Button 13" descr="5 Head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200-00000D0C0000}"/>
                  </a:ext>
                </a:extLst>
              </xdr:cNvPr>
              <xdr:cNvSpPr/>
            </xdr:nvSpPr>
            <xdr:spPr bwMode="auto">
              <a:xfrm>
                <a:off x="1734403" y="2154342"/>
                <a:ext cx="581028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86" name="Option Button 14" descr="Dog House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200-00000E0C0000}"/>
                  </a:ext>
                </a:extLst>
              </xdr:cNvPr>
              <xdr:cNvSpPr/>
            </xdr:nvSpPr>
            <xdr:spPr bwMode="auto">
              <a:xfrm>
                <a:off x="1734880" y="2365938"/>
                <a:ext cx="580373" cy="21124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5</xdr:row>
          <xdr:rowOff>76200</xdr:rowOff>
        </xdr:from>
        <xdr:to>
          <xdr:col>4</xdr:col>
          <xdr:colOff>667597</xdr:colOff>
          <xdr:row>5</xdr:row>
          <xdr:rowOff>1121903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GrpSpPr/>
          </xdr:nvGrpSpPr>
          <xdr:grpSpPr>
            <a:xfrm>
              <a:off x="3164205" y="1082040"/>
              <a:ext cx="581872" cy="1045703"/>
              <a:chOff x="1733547" y="1558364"/>
              <a:chExt cx="581857" cy="1045707"/>
            </a:xfrm>
          </xdr:grpSpPr>
          <xdr:sp macro="" textlink="">
            <xdr:nvSpPr>
              <xdr:cNvPr id="3087" name="Option Button 15" descr="None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200-00000F0C0000}"/>
                  </a:ext>
                </a:extLst>
              </xdr:cNvPr>
              <xdr:cNvSpPr/>
            </xdr:nvSpPr>
            <xdr:spPr bwMode="auto">
              <a:xfrm>
                <a:off x="1733553" y="1558364"/>
                <a:ext cx="581026" cy="2381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8" name="Option Button 16" descr="3 Head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200-0000100C0000}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9" name="Option Button 17" descr="4 Head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200-0000110C0000}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0" name="Option Button 18" descr="5 Head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200-0000120C0000}"/>
                  </a:ext>
                </a:extLst>
              </xdr:cNvPr>
              <xdr:cNvSpPr/>
            </xdr:nvSpPr>
            <xdr:spPr bwMode="auto">
              <a:xfrm>
                <a:off x="1734387" y="2154342"/>
                <a:ext cx="581017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1" name="Option Button 19" descr="Dog House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200-0000130C0000}"/>
                  </a:ext>
                </a:extLst>
              </xdr:cNvPr>
              <xdr:cNvSpPr/>
            </xdr:nvSpPr>
            <xdr:spPr bwMode="auto">
              <a:xfrm>
                <a:off x="1734880" y="2365946"/>
                <a:ext cx="58037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5</xdr:row>
          <xdr:rowOff>76200</xdr:rowOff>
        </xdr:from>
        <xdr:to>
          <xdr:col>5</xdr:col>
          <xdr:colOff>677123</xdr:colOff>
          <xdr:row>5</xdr:row>
          <xdr:rowOff>1121903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GrpSpPr/>
          </xdr:nvGrpSpPr>
          <xdr:grpSpPr>
            <a:xfrm>
              <a:off x="3918586" y="1082040"/>
              <a:ext cx="591397" cy="1045703"/>
              <a:chOff x="1733548" y="1558364"/>
              <a:chExt cx="591397" cy="1045707"/>
            </a:xfrm>
          </xdr:grpSpPr>
          <xdr:sp macro="" textlink="">
            <xdr:nvSpPr>
              <xdr:cNvPr id="3092" name="Option Button 20" descr="None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200-0000140C0000}"/>
                  </a:ext>
                </a:extLst>
              </xdr:cNvPr>
              <xdr:cNvSpPr/>
            </xdr:nvSpPr>
            <xdr:spPr bwMode="auto">
              <a:xfrm>
                <a:off x="1733553" y="1558364"/>
                <a:ext cx="590551" cy="2381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3" name="Option Button 21" descr="3 Head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200-0000150C0000}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4" name="Option Button 22" descr="4 Head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200-000016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5" name="Option Button 23" descr="5 Head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200-000017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6" name="Option Button 24" descr="Dog House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200-0000180C0000}"/>
                  </a:ext>
                </a:extLst>
              </xdr:cNvPr>
              <xdr:cNvSpPr/>
            </xdr:nvSpPr>
            <xdr:spPr bwMode="auto">
              <a:xfrm>
                <a:off x="1734881" y="2365946"/>
                <a:ext cx="589884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5</xdr:row>
          <xdr:rowOff>79690</xdr:rowOff>
        </xdr:from>
        <xdr:to>
          <xdr:col>6</xdr:col>
          <xdr:colOff>677335</xdr:colOff>
          <xdr:row>5</xdr:row>
          <xdr:rowOff>1128389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GrpSpPr/>
          </xdr:nvGrpSpPr>
          <xdr:grpSpPr>
            <a:xfrm>
              <a:off x="4682491" y="1085530"/>
              <a:ext cx="582084" cy="1048699"/>
              <a:chOff x="1733546" y="1552212"/>
              <a:chExt cx="533620" cy="1068303"/>
            </a:xfrm>
          </xdr:grpSpPr>
          <xdr:sp macro="" textlink="">
            <xdr:nvSpPr>
              <xdr:cNvPr id="3097" name="Option Button 25" descr="None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200-0000190C0000}"/>
                  </a:ext>
                </a:extLst>
              </xdr:cNvPr>
              <xdr:cNvSpPr/>
            </xdr:nvSpPr>
            <xdr:spPr bwMode="auto">
              <a:xfrm>
                <a:off x="1733552" y="1552212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8" name="Option Button 26" descr="3 Head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200-00001A0C0000}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6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9" name="Option Button 27" descr="4 Head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200-00001B0C0000}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0" name="Option Button 28" descr="5 Head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200-00001C0C0000}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1" name="Option Button 29" descr="Dog House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200-00001D0C0000}"/>
                  </a:ext>
                </a:extLst>
              </xdr:cNvPr>
              <xdr:cNvSpPr/>
            </xdr:nvSpPr>
            <xdr:spPr bwMode="auto">
              <a:xfrm>
                <a:off x="1734879" y="2347562"/>
                <a:ext cx="532287" cy="2729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746760</xdr:colOff>
          <xdr:row>6</xdr:row>
          <xdr:rowOff>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5</xdr:row>
          <xdr:rowOff>76199</xdr:rowOff>
        </xdr:from>
        <xdr:to>
          <xdr:col>7</xdr:col>
          <xdr:colOff>677332</xdr:colOff>
          <xdr:row>5</xdr:row>
          <xdr:rowOff>1098861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GrpSpPr/>
          </xdr:nvGrpSpPr>
          <xdr:grpSpPr>
            <a:xfrm>
              <a:off x="5427346" y="1082039"/>
              <a:ext cx="591606" cy="1022662"/>
              <a:chOff x="1733544" y="1558359"/>
              <a:chExt cx="542352" cy="1041777"/>
            </a:xfrm>
          </xdr:grpSpPr>
          <xdr:sp macro="" textlink="">
            <xdr:nvSpPr>
              <xdr:cNvPr id="3105" name="Option Button 33" descr="None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200-0000210C0000}"/>
                  </a:ext>
                </a:extLst>
              </xdr:cNvPr>
              <xdr:cNvSpPr/>
            </xdr:nvSpPr>
            <xdr:spPr bwMode="auto">
              <a:xfrm>
                <a:off x="1733552" y="1558359"/>
                <a:ext cx="541381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06" name="Option Button 34" descr="3 Head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200-0000220C0000}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5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07" name="Option Button 35" descr="4 Head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200-0000230C0000}"/>
                  </a:ext>
                </a:extLst>
              </xdr:cNvPr>
              <xdr:cNvSpPr/>
            </xdr:nvSpPr>
            <xdr:spPr bwMode="auto">
              <a:xfrm>
                <a:off x="1733550" y="1952624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8" name="Option Button 36" descr="5 Head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200-0000240C0000}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9" name="Option Button 37" descr="Dog House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200-0000250C0000}"/>
                  </a:ext>
                </a:extLst>
              </xdr:cNvPr>
              <xdr:cNvSpPr/>
            </xdr:nvSpPr>
            <xdr:spPr bwMode="auto">
              <a:xfrm>
                <a:off x="1734879" y="2354014"/>
                <a:ext cx="541017" cy="24612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5</xdr:row>
          <xdr:rowOff>67601</xdr:rowOff>
        </xdr:from>
        <xdr:to>
          <xdr:col>8</xdr:col>
          <xdr:colOff>667809</xdr:colOff>
          <xdr:row>5</xdr:row>
          <xdr:rowOff>1088012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GrpSpPr/>
          </xdr:nvGrpSpPr>
          <xdr:grpSpPr>
            <a:xfrm>
              <a:off x="6181726" y="1073441"/>
              <a:ext cx="582083" cy="1020411"/>
              <a:chOff x="1733547" y="1568687"/>
              <a:chExt cx="533619" cy="1007984"/>
            </a:xfrm>
          </xdr:grpSpPr>
          <xdr:sp macro="" textlink="">
            <xdr:nvSpPr>
              <xdr:cNvPr id="3111" name="Option Button 39" descr="None" hidden="1">
                <a:extLst>
                  <a:ext uri="{63B3BB69-23CF-44E3-9099-C40C66FF867C}">
                    <a14:compatExt spid="_x0000_s3111"/>
                  </a:ext>
                  <a:ext uri="{FF2B5EF4-FFF2-40B4-BE49-F238E27FC236}">
                    <a16:creationId xmlns:a16="http://schemas.microsoft.com/office/drawing/2014/main" id="{00000000-0008-0000-0200-0000270C0000}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2" name="Option Button 40" descr="3 Head" hidden="1">
                <a:extLst>
                  <a:ext uri="{63B3BB69-23CF-44E3-9099-C40C66FF867C}">
                    <a14:compatExt spid="_x0000_s3112"/>
                  </a:ext>
                  <a:ext uri="{FF2B5EF4-FFF2-40B4-BE49-F238E27FC236}">
                    <a16:creationId xmlns:a16="http://schemas.microsoft.com/office/drawing/2014/main" id="{00000000-0008-0000-0200-0000280C0000}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4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3" name="Option Button 41" descr="4 Head" hidden="1">
                <a:extLst>
                  <a:ext uri="{63B3BB69-23CF-44E3-9099-C40C66FF867C}">
                    <a14:compatExt spid="_x0000_s3113"/>
                  </a:ext>
                  <a:ext uri="{FF2B5EF4-FFF2-40B4-BE49-F238E27FC236}">
                    <a16:creationId xmlns:a16="http://schemas.microsoft.com/office/drawing/2014/main" id="{00000000-0008-0000-0200-0000290C0000}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14" name="Option Button 42" descr="5 Head" hidden="1">
                <a:extLst>
                  <a:ext uri="{63B3BB69-23CF-44E3-9099-C40C66FF867C}">
                    <a14:compatExt spid="_x0000_s3114"/>
                  </a:ext>
                  <a:ext uri="{FF2B5EF4-FFF2-40B4-BE49-F238E27FC236}">
                    <a16:creationId xmlns:a16="http://schemas.microsoft.com/office/drawing/2014/main" id="{00000000-0008-0000-0200-00002A0C0000}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15" name="Option Button 43" descr="Dog House" hidden="1">
                <a:extLst>
                  <a:ext uri="{63B3BB69-23CF-44E3-9099-C40C66FF867C}">
                    <a14:compatExt spid="_x0000_s3115"/>
                  </a:ext>
                  <a:ext uri="{FF2B5EF4-FFF2-40B4-BE49-F238E27FC236}">
                    <a16:creationId xmlns:a16="http://schemas.microsoft.com/office/drawing/2014/main" id="{00000000-0008-0000-0200-00002B0C0000}"/>
                  </a:ext>
                </a:extLst>
              </xdr:cNvPr>
              <xdr:cNvSpPr/>
            </xdr:nvSpPr>
            <xdr:spPr bwMode="auto">
              <a:xfrm>
                <a:off x="1734879" y="2364848"/>
                <a:ext cx="532287" cy="21182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381000</xdr:rowOff>
        </xdr:from>
        <xdr:to>
          <xdr:col>9</xdr:col>
          <xdr:colOff>739140</xdr:colOff>
          <xdr:row>6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5</xdr:row>
          <xdr:rowOff>76200</xdr:rowOff>
        </xdr:from>
        <xdr:to>
          <xdr:col>9</xdr:col>
          <xdr:colOff>648774</xdr:colOff>
          <xdr:row>5</xdr:row>
          <xdr:rowOff>1104900</xdr:rowOff>
        </xdr:to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GrpSpPr/>
          </xdr:nvGrpSpPr>
          <xdr:grpSpPr>
            <a:xfrm>
              <a:off x="6936106" y="1082040"/>
              <a:ext cx="563048" cy="1028700"/>
              <a:chOff x="1733545" y="1558370"/>
              <a:chExt cx="516171" cy="1045705"/>
            </a:xfrm>
          </xdr:grpSpPr>
          <xdr:sp macro="" textlink="">
            <xdr:nvSpPr>
              <xdr:cNvPr id="3117" name="Option Button 45" descr="None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200-00002D0C0000}"/>
                  </a:ext>
                </a:extLst>
              </xdr:cNvPr>
              <xdr:cNvSpPr/>
            </xdr:nvSpPr>
            <xdr:spPr bwMode="auto">
              <a:xfrm>
                <a:off x="1733552" y="1558370"/>
                <a:ext cx="515184" cy="23812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8" name="Option Button 46" descr="3 Head" hidden="1">
                <a:extLst>
                  <a:ext uri="{63B3BB69-23CF-44E3-9099-C40C66FF867C}">
                    <a14:compatExt spid="_x0000_s3118"/>
                  </a:ext>
                  <a:ext uri="{FF2B5EF4-FFF2-40B4-BE49-F238E27FC236}">
                    <a16:creationId xmlns:a16="http://schemas.microsoft.com/office/drawing/2014/main" id="{00000000-0008-0000-0200-00002E0C0000}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4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9" name="Option Button 47" descr="4 Head" hidden="1">
                <a:extLst>
                  <a:ext uri="{63B3BB69-23CF-44E3-9099-C40C66FF867C}">
                    <a14:compatExt spid="_x0000_s3119"/>
                  </a:ext>
                  <a:ext uri="{FF2B5EF4-FFF2-40B4-BE49-F238E27FC236}">
                    <a16:creationId xmlns:a16="http://schemas.microsoft.com/office/drawing/2014/main" id="{00000000-0008-0000-0200-00002F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0" name="Option Button 48" descr="5 Head" hidden="1">
                <a:extLst>
                  <a:ext uri="{63B3BB69-23CF-44E3-9099-C40C66FF867C}">
                    <a14:compatExt spid="_x0000_s3120"/>
                  </a:ext>
                  <a:ext uri="{FF2B5EF4-FFF2-40B4-BE49-F238E27FC236}">
                    <a16:creationId xmlns:a16="http://schemas.microsoft.com/office/drawing/2014/main" id="{00000000-0008-0000-0200-000030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1" name="Option Button 49" descr="Dog House" hidden="1">
                <a:extLst>
                  <a:ext uri="{63B3BB69-23CF-44E3-9099-C40C66FF867C}">
                    <a14:compatExt spid="_x0000_s3121"/>
                  </a:ext>
                  <a:ext uri="{FF2B5EF4-FFF2-40B4-BE49-F238E27FC236}">
                    <a16:creationId xmlns:a16="http://schemas.microsoft.com/office/drawing/2014/main" id="{00000000-0008-0000-0200-0000310C0000}"/>
                  </a:ext>
                </a:extLst>
              </xdr:cNvPr>
              <xdr:cNvSpPr/>
            </xdr:nvSpPr>
            <xdr:spPr bwMode="auto">
              <a:xfrm>
                <a:off x="1734879" y="2354022"/>
                <a:ext cx="514837" cy="250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754380</xdr:colOff>
          <xdr:row>5</xdr:row>
          <xdr:rowOff>0</xdr:rowOff>
        </xdr:from>
        <xdr:to>
          <xdr:col>10</xdr:col>
          <xdr:colOff>746760</xdr:colOff>
          <xdr:row>6</xdr:row>
          <xdr:rowOff>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96203</xdr:colOff>
          <xdr:row>5</xdr:row>
          <xdr:rowOff>61436</xdr:rowOff>
        </xdr:from>
        <xdr:to>
          <xdr:col>10</xdr:col>
          <xdr:colOff>674847</xdr:colOff>
          <xdr:row>5</xdr:row>
          <xdr:rowOff>1120140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GrpSpPr/>
          </xdr:nvGrpSpPr>
          <xdr:grpSpPr>
            <a:xfrm>
              <a:off x="7700963" y="1067276"/>
              <a:ext cx="578644" cy="1058704"/>
              <a:chOff x="1731068" y="1560770"/>
              <a:chExt cx="561134" cy="1073436"/>
            </a:xfrm>
          </xdr:grpSpPr>
          <xdr:sp macro="" textlink="">
            <xdr:nvSpPr>
              <xdr:cNvPr id="3123" name="Option Button 51" descr="None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200-0000330C0000}"/>
                  </a:ext>
                </a:extLst>
              </xdr:cNvPr>
              <xdr:cNvSpPr/>
            </xdr:nvSpPr>
            <xdr:spPr bwMode="auto">
              <a:xfrm>
                <a:off x="1738171" y="1560770"/>
                <a:ext cx="543133" cy="27790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4" name="Option Button 52" descr="3 Head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200-0000340C0000}"/>
                  </a:ext>
                </a:extLst>
              </xdr:cNvPr>
              <xdr:cNvSpPr/>
            </xdr:nvSpPr>
            <xdr:spPr bwMode="auto">
              <a:xfrm>
                <a:off x="1732010" y="1795184"/>
                <a:ext cx="547836" cy="22128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25" name="Option Button 53" descr="4 Head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200-0000350C0000}"/>
                  </a:ext>
                </a:extLst>
              </xdr:cNvPr>
              <xdr:cNvSpPr/>
            </xdr:nvSpPr>
            <xdr:spPr bwMode="auto">
              <a:xfrm>
                <a:off x="1733112" y="1986859"/>
                <a:ext cx="553115" cy="226151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6" name="Option Button 54" descr="5 Head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200-0000360C0000}"/>
                  </a:ext>
                </a:extLst>
              </xdr:cNvPr>
              <xdr:cNvSpPr/>
            </xdr:nvSpPr>
            <xdr:spPr bwMode="auto">
              <a:xfrm>
                <a:off x="1731068" y="2188152"/>
                <a:ext cx="557005" cy="221287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7" name="Option Button 55" descr="Dog House" hidden="1">
                <a:extLst>
                  <a:ext uri="{63B3BB69-23CF-44E3-9099-C40C66FF867C}">
                    <a14:compatExt spid="_x0000_s3127"/>
                  </a:ext>
                  <a:ext uri="{FF2B5EF4-FFF2-40B4-BE49-F238E27FC236}">
                    <a16:creationId xmlns:a16="http://schemas.microsoft.com/office/drawing/2014/main" id="{00000000-0008-0000-0200-0000370C0000}"/>
                  </a:ext>
                </a:extLst>
              </xdr:cNvPr>
              <xdr:cNvSpPr/>
            </xdr:nvSpPr>
            <xdr:spPr bwMode="auto">
              <a:xfrm>
                <a:off x="1731848" y="2374710"/>
                <a:ext cx="560354" cy="25949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5</xdr:row>
          <xdr:rowOff>71096</xdr:rowOff>
        </xdr:from>
        <xdr:to>
          <xdr:col>11</xdr:col>
          <xdr:colOff>658284</xdr:colOff>
          <xdr:row>5</xdr:row>
          <xdr:rowOff>1133475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GrpSpPr/>
          </xdr:nvGrpSpPr>
          <xdr:grpSpPr>
            <a:xfrm>
              <a:off x="8425816" y="1076936"/>
              <a:ext cx="591608" cy="1062379"/>
              <a:chOff x="1733544" y="1760326"/>
              <a:chExt cx="542354" cy="1092114"/>
            </a:xfrm>
          </xdr:grpSpPr>
          <xdr:sp macro="" textlink="">
            <xdr:nvSpPr>
              <xdr:cNvPr id="3128" name="Option Button 56" descr="3 Head" hidden="1">
                <a:extLst>
                  <a:ext uri="{63B3BB69-23CF-44E3-9099-C40C66FF867C}">
                    <a14:compatExt spid="_x0000_s3128"/>
                  </a:ext>
                  <a:ext uri="{FF2B5EF4-FFF2-40B4-BE49-F238E27FC236}">
                    <a16:creationId xmlns:a16="http://schemas.microsoft.com/office/drawing/2014/main" id="{00000000-0008-0000-0200-0000380C0000}"/>
                  </a:ext>
                </a:extLst>
              </xdr:cNvPr>
              <xdr:cNvSpPr/>
            </xdr:nvSpPr>
            <xdr:spPr bwMode="auto">
              <a:xfrm>
                <a:off x="1733544" y="1760326"/>
                <a:ext cx="541382" cy="26849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9" name="Option Button 57" descr="4 Head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200-0000390C0000}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0" name="Option Button 58" descr="5 Head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200-00003A0C0000}"/>
                  </a:ext>
                </a:extLst>
              </xdr:cNvPr>
              <xdr:cNvSpPr/>
            </xdr:nvSpPr>
            <xdr:spPr bwMode="auto">
              <a:xfrm>
                <a:off x="1734394" y="2163750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1" name="Option Button 59" descr="Dog House" hidden="1">
                <a:extLst>
                  <a:ext uri="{63B3BB69-23CF-44E3-9099-C40C66FF867C}">
                    <a14:compatExt spid="_x0000_s3131"/>
                  </a:ext>
                  <a:ext uri="{FF2B5EF4-FFF2-40B4-BE49-F238E27FC236}">
                    <a16:creationId xmlns:a16="http://schemas.microsoft.com/office/drawing/2014/main" id="{00000000-0008-0000-0200-00003B0C0000}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2" name="Option Button 60" descr="None" hidden="1">
                <a:extLst>
                  <a:ext uri="{63B3BB69-23CF-44E3-9099-C40C66FF867C}">
                    <a14:compatExt spid="_x0000_s3132"/>
                  </a:ext>
                  <a:ext uri="{FF2B5EF4-FFF2-40B4-BE49-F238E27FC236}">
                    <a16:creationId xmlns:a16="http://schemas.microsoft.com/office/drawing/2014/main" id="{00000000-0008-0000-0200-00003C0C0000}"/>
                  </a:ext>
                </a:extLst>
              </xdr:cNvPr>
              <xdr:cNvSpPr/>
            </xdr:nvSpPr>
            <xdr:spPr bwMode="auto">
              <a:xfrm>
                <a:off x="1733552" y="2583946"/>
                <a:ext cx="541382" cy="26849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746760</xdr:colOff>
          <xdr:row>4</xdr:row>
          <xdr:rowOff>381000</xdr:rowOff>
        </xdr:from>
        <xdr:to>
          <xdr:col>12</xdr:col>
          <xdr:colOff>777240</xdr:colOff>
          <xdr:row>6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5</xdr:row>
          <xdr:rowOff>47625</xdr:rowOff>
        </xdr:from>
        <xdr:to>
          <xdr:col>12</xdr:col>
          <xdr:colOff>658306</xdr:colOff>
          <xdr:row>5</xdr:row>
          <xdr:rowOff>1106218</xdr:rowOff>
        </xdr:to>
        <xdr:grpSp>
          <xdr:nvGrpSpPr>
            <xdr:cNvPr id="75" name="Group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GrpSpPr/>
          </xdr:nvGrpSpPr>
          <xdr:grpSpPr>
            <a:xfrm>
              <a:off x="9208772" y="1053465"/>
              <a:ext cx="563054" cy="1058593"/>
              <a:chOff x="1733546" y="1558366"/>
              <a:chExt cx="516181" cy="1045701"/>
            </a:xfrm>
          </xdr:grpSpPr>
          <xdr:sp macro="" textlink="">
            <xdr:nvSpPr>
              <xdr:cNvPr id="3134" name="Option Button 62" descr="None" hidden="1">
                <a:extLst>
                  <a:ext uri="{63B3BB69-23CF-44E3-9099-C40C66FF867C}">
                    <a14:compatExt spid="_x0000_s3134"/>
                  </a:ext>
                  <a:ext uri="{FF2B5EF4-FFF2-40B4-BE49-F238E27FC236}">
                    <a16:creationId xmlns:a16="http://schemas.microsoft.com/office/drawing/2014/main" id="{00000000-0008-0000-0200-00003E0C0000}"/>
                  </a:ext>
                </a:extLst>
              </xdr:cNvPr>
              <xdr:cNvSpPr/>
            </xdr:nvSpPr>
            <xdr:spPr bwMode="auto">
              <a:xfrm>
                <a:off x="1733552" y="1558366"/>
                <a:ext cx="51518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35" name="Option Button 63" descr="3 Head" hidden="1">
                <a:extLst>
                  <a:ext uri="{63B3BB69-23CF-44E3-9099-C40C66FF867C}">
                    <a14:compatExt spid="_x0000_s3135"/>
                  </a:ext>
                  <a:ext uri="{FF2B5EF4-FFF2-40B4-BE49-F238E27FC236}">
                    <a16:creationId xmlns:a16="http://schemas.microsoft.com/office/drawing/2014/main" id="{00000000-0008-0000-0200-00003F0C0000}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90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6" name="Option Button 64" descr="4 Head" hidden="1">
                <a:extLst>
                  <a:ext uri="{63B3BB69-23CF-44E3-9099-C40C66FF867C}">
                    <a14:compatExt spid="_x0000_s3136"/>
                  </a:ext>
                  <a:ext uri="{FF2B5EF4-FFF2-40B4-BE49-F238E27FC236}">
                    <a16:creationId xmlns:a16="http://schemas.microsoft.com/office/drawing/2014/main" id="{00000000-0008-0000-0200-0000400C0000}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7" name="Option Button 65" descr="5 Head" hidden="1">
                <a:extLst>
                  <a:ext uri="{63B3BB69-23CF-44E3-9099-C40C66FF867C}">
                    <a14:compatExt spid="_x0000_s3137"/>
                  </a:ext>
                  <a:ext uri="{FF2B5EF4-FFF2-40B4-BE49-F238E27FC236}">
                    <a16:creationId xmlns:a16="http://schemas.microsoft.com/office/drawing/2014/main" id="{00000000-0008-0000-0200-0000410C0000}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8" name="Option Button 66" descr="Dog House" hidden="1">
                <a:extLst>
                  <a:ext uri="{63B3BB69-23CF-44E3-9099-C40C66FF867C}">
                    <a14:compatExt spid="_x0000_s3138"/>
                  </a:ext>
                  <a:ext uri="{FF2B5EF4-FFF2-40B4-BE49-F238E27FC236}">
                    <a16:creationId xmlns:a16="http://schemas.microsoft.com/office/drawing/2014/main" id="{00000000-0008-0000-0200-0000420C0000}"/>
                  </a:ext>
                </a:extLst>
              </xdr:cNvPr>
              <xdr:cNvSpPr/>
            </xdr:nvSpPr>
            <xdr:spPr bwMode="auto">
              <a:xfrm>
                <a:off x="1734885" y="2354014"/>
                <a:ext cx="514842" cy="25005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5</xdr:row>
          <xdr:rowOff>60960</xdr:rowOff>
        </xdr:from>
        <xdr:to>
          <xdr:col>2</xdr:col>
          <xdr:colOff>1021080</xdr:colOff>
          <xdr:row>6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2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5</xdr:row>
          <xdr:rowOff>220980</xdr:rowOff>
        </xdr:from>
        <xdr:to>
          <xdr:col>2</xdr:col>
          <xdr:colOff>883920</xdr:colOff>
          <xdr:row>5</xdr:row>
          <xdr:rowOff>1257300</xdr:rowOff>
        </xdr:to>
        <xdr:sp macro="" textlink="">
          <xdr:nvSpPr>
            <xdr:cNvPr id="3140" name="List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746760</xdr:colOff>
          <xdr:row>5</xdr:row>
          <xdr:rowOff>0</xdr:rowOff>
        </xdr:from>
        <xdr:to>
          <xdr:col>12</xdr:col>
          <xdr:colOff>0</xdr:colOff>
          <xdr:row>6</xdr:row>
          <xdr:rowOff>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952500</xdr:colOff>
      <xdr:row>0</xdr:row>
      <xdr:rowOff>254000</xdr:rowOff>
    </xdr:from>
    <xdr:to>
      <xdr:col>26</xdr:col>
      <xdr:colOff>47000</xdr:colOff>
      <xdr:row>0</xdr:row>
      <xdr:rowOff>2834952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0" y="254000"/>
          <a:ext cx="5000000" cy="25809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927100</xdr:colOff>
      <xdr:row>0</xdr:row>
      <xdr:rowOff>270040</xdr:rowOff>
    </xdr:from>
    <xdr:to>
      <xdr:col>21</xdr:col>
      <xdr:colOff>656238</xdr:colOff>
      <xdr:row>0</xdr:row>
      <xdr:rowOff>2815981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0200" y="270040"/>
          <a:ext cx="10295538" cy="254594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361951</xdr:colOff>
      <xdr:row>30</xdr:row>
      <xdr:rowOff>28575</xdr:rowOff>
    </xdr:from>
    <xdr:to>
      <xdr:col>23</xdr:col>
      <xdr:colOff>381001</xdr:colOff>
      <xdr:row>49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600075</xdr:colOff>
      <xdr:row>0</xdr:row>
      <xdr:rowOff>76200</xdr:rowOff>
    </xdr:from>
    <xdr:to>
      <xdr:col>26</xdr:col>
      <xdr:colOff>435809</xdr:colOff>
      <xdr:row>1</xdr:row>
      <xdr:rowOff>55152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4900" y="76200"/>
          <a:ext cx="3485714" cy="742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9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42" Type="http://schemas.openxmlformats.org/officeDocument/2006/relationships/ctrlProp" Target="../ctrlProps/ctrlProp115.xml"/><Relationship Id="rId47" Type="http://schemas.openxmlformats.org/officeDocument/2006/relationships/ctrlProp" Target="../ctrlProps/ctrlProp120.xml"/><Relationship Id="rId50" Type="http://schemas.openxmlformats.org/officeDocument/2006/relationships/ctrlProp" Target="../ctrlProps/ctrlProp123.xml"/><Relationship Id="rId55" Type="http://schemas.openxmlformats.org/officeDocument/2006/relationships/ctrlProp" Target="../ctrlProps/ctrlProp128.xml"/><Relationship Id="rId63" Type="http://schemas.openxmlformats.org/officeDocument/2006/relationships/ctrlProp" Target="../ctrlProps/ctrlProp136.xml"/><Relationship Id="rId7" Type="http://schemas.openxmlformats.org/officeDocument/2006/relationships/ctrlProp" Target="../ctrlProps/ctrlProp8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9.xml"/><Relationship Id="rId29" Type="http://schemas.openxmlformats.org/officeDocument/2006/relationships/ctrlProp" Target="../ctrlProps/ctrlProp102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45" Type="http://schemas.openxmlformats.org/officeDocument/2006/relationships/ctrlProp" Target="../ctrlProps/ctrlProp118.xml"/><Relationship Id="rId53" Type="http://schemas.openxmlformats.org/officeDocument/2006/relationships/ctrlProp" Target="../ctrlProps/ctrlProp126.xml"/><Relationship Id="rId58" Type="http://schemas.openxmlformats.org/officeDocument/2006/relationships/ctrlProp" Target="../ctrlProps/ctrlProp131.xml"/><Relationship Id="rId5" Type="http://schemas.openxmlformats.org/officeDocument/2006/relationships/ctrlProp" Target="../ctrlProps/ctrlProp78.xml"/><Relationship Id="rId61" Type="http://schemas.openxmlformats.org/officeDocument/2006/relationships/ctrlProp" Target="../ctrlProps/ctrlProp134.xml"/><Relationship Id="rId19" Type="http://schemas.openxmlformats.org/officeDocument/2006/relationships/ctrlProp" Target="../ctrlProps/ctrlProp9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43" Type="http://schemas.openxmlformats.org/officeDocument/2006/relationships/ctrlProp" Target="../ctrlProps/ctrlProp116.xml"/><Relationship Id="rId48" Type="http://schemas.openxmlformats.org/officeDocument/2006/relationships/ctrlProp" Target="../ctrlProps/ctrlProp121.xml"/><Relationship Id="rId56" Type="http://schemas.openxmlformats.org/officeDocument/2006/relationships/ctrlProp" Target="../ctrlProps/ctrlProp129.xml"/><Relationship Id="rId64" Type="http://schemas.openxmlformats.org/officeDocument/2006/relationships/ctrlProp" Target="../ctrlProps/ctrlProp137.xml"/><Relationship Id="rId8" Type="http://schemas.openxmlformats.org/officeDocument/2006/relationships/ctrlProp" Target="../ctrlProps/ctrlProp81.xml"/><Relationship Id="rId51" Type="http://schemas.openxmlformats.org/officeDocument/2006/relationships/ctrlProp" Target="../ctrlProps/ctrlProp12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Relationship Id="rId46" Type="http://schemas.openxmlformats.org/officeDocument/2006/relationships/ctrlProp" Target="../ctrlProps/ctrlProp119.xml"/><Relationship Id="rId59" Type="http://schemas.openxmlformats.org/officeDocument/2006/relationships/ctrlProp" Target="../ctrlProps/ctrlProp132.xml"/><Relationship Id="rId20" Type="http://schemas.openxmlformats.org/officeDocument/2006/relationships/ctrlProp" Target="../ctrlProps/ctrlProp93.xml"/><Relationship Id="rId41" Type="http://schemas.openxmlformats.org/officeDocument/2006/relationships/ctrlProp" Target="../ctrlProps/ctrlProp114.xml"/><Relationship Id="rId54" Type="http://schemas.openxmlformats.org/officeDocument/2006/relationships/ctrlProp" Target="../ctrlProps/ctrlProp127.xml"/><Relationship Id="rId62" Type="http://schemas.openxmlformats.org/officeDocument/2006/relationships/ctrlProp" Target="../ctrlProps/ctrlProp13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9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49" Type="http://schemas.openxmlformats.org/officeDocument/2006/relationships/ctrlProp" Target="../ctrlProps/ctrlProp122.xml"/><Relationship Id="rId57" Type="http://schemas.openxmlformats.org/officeDocument/2006/relationships/ctrlProp" Target="../ctrlProps/ctrlProp130.xml"/><Relationship Id="rId10" Type="http://schemas.openxmlformats.org/officeDocument/2006/relationships/ctrlProp" Target="../ctrlProps/ctrlProp83.xml"/><Relationship Id="rId31" Type="http://schemas.openxmlformats.org/officeDocument/2006/relationships/ctrlProp" Target="../ctrlProps/ctrlProp104.xml"/><Relationship Id="rId44" Type="http://schemas.openxmlformats.org/officeDocument/2006/relationships/ctrlProp" Target="../ctrlProps/ctrlProp117.xml"/><Relationship Id="rId52" Type="http://schemas.openxmlformats.org/officeDocument/2006/relationships/ctrlProp" Target="../ctrlProps/ctrlProp125.xml"/><Relationship Id="rId60" Type="http://schemas.openxmlformats.org/officeDocument/2006/relationships/ctrlProp" Target="../ctrlProps/ctrlProp133.xml"/><Relationship Id="rId65" Type="http://schemas.openxmlformats.org/officeDocument/2006/relationships/ctrlProp" Target="../ctrlProps/ctrlProp138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39" Type="http://schemas.openxmlformats.org/officeDocument/2006/relationships/ctrlProp" Target="../ctrlProps/ctrlProp11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N38"/>
  <sheetViews>
    <sheetView tabSelected="1" zoomScaleNormal="100" workbookViewId="0">
      <selection activeCell="Q13" sqref="Q13"/>
    </sheetView>
  </sheetViews>
  <sheetFormatPr defaultColWidth="9.109375" defaultRowHeight="14.4"/>
  <cols>
    <col min="1" max="1" width="5.109375" style="11" customWidth="1"/>
    <col min="2" max="16384" width="9.109375" style="11"/>
  </cols>
  <sheetData>
    <row r="1" spans="1:14" ht="24.6">
      <c r="A1" s="139" t="s">
        <v>114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7.399999999999999">
      <c r="A3" s="145" t="s">
        <v>120</v>
      </c>
      <c r="B3" s="146"/>
      <c r="C3" s="159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ht="16.2">
      <c r="A4" s="147" t="s">
        <v>328</v>
      </c>
      <c r="B4" s="148"/>
      <c r="C4" s="149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4" ht="15.6">
      <c r="A5" s="151"/>
      <c r="B5" s="150" t="s">
        <v>329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1:14" ht="15.6">
      <c r="A6" s="151"/>
      <c r="B6" s="150" t="s">
        <v>330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</row>
    <row r="7" spans="1:14" ht="15.6">
      <c r="A7" s="151"/>
      <c r="B7" s="150" t="s">
        <v>331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ht="15.6">
      <c r="A8" s="151"/>
      <c r="B8" s="150" t="s">
        <v>332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/>
    </row>
    <row r="9" spans="1:14" ht="15.6">
      <c r="A9" s="151"/>
      <c r="B9" s="150" t="s">
        <v>333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4"/>
    </row>
    <row r="10" spans="1:14" ht="15.6">
      <c r="A10" s="151"/>
      <c r="B10" s="150" t="s">
        <v>334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4"/>
    </row>
    <row r="11" spans="1:14" ht="15.6">
      <c r="A11" s="151"/>
      <c r="B11" s="150" t="s">
        <v>335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</row>
    <row r="12" spans="1:14" ht="15.6">
      <c r="A12" s="151"/>
      <c r="B12" s="150" t="s">
        <v>336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/>
    </row>
    <row r="13" spans="1:14" ht="15.6">
      <c r="A13" s="151"/>
      <c r="B13" s="150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</row>
    <row r="14" spans="1:14" ht="16.2">
      <c r="A14" s="147" t="s">
        <v>187</v>
      </c>
      <c r="B14" s="150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4"/>
    </row>
    <row r="15" spans="1:14" ht="16.2">
      <c r="A15" s="152"/>
      <c r="B15" s="150" t="s">
        <v>182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4"/>
    </row>
    <row r="16" spans="1:14" ht="15.6">
      <c r="A16" s="153"/>
      <c r="B16" s="150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4"/>
    </row>
    <row r="17" spans="1:14" ht="17.399999999999999">
      <c r="A17" s="145" t="s">
        <v>121</v>
      </c>
      <c r="B17" s="146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4"/>
    </row>
    <row r="18" spans="1:14" ht="16.2">
      <c r="A18" s="147" t="s">
        <v>180</v>
      </c>
      <c r="B18" s="148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</row>
    <row r="19" spans="1:14" ht="16.2">
      <c r="A19" s="147" t="s">
        <v>181</v>
      </c>
      <c r="B19" s="146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</row>
    <row r="20" spans="1:14" ht="15.6">
      <c r="A20" s="151"/>
      <c r="B20" s="150" t="s">
        <v>337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</row>
    <row r="21" spans="1:14" ht="15.6">
      <c r="A21" s="151"/>
      <c r="B21" s="150" t="s">
        <v>338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</row>
    <row r="22" spans="1:14" ht="15.6">
      <c r="A22" s="151"/>
      <c r="B22" s="150" t="s">
        <v>339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/>
    </row>
    <row r="23" spans="1:14" ht="15.6">
      <c r="A23" s="151"/>
      <c r="B23" s="150" t="s">
        <v>340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4"/>
    </row>
    <row r="24" spans="1:14" ht="16.2">
      <c r="A24" s="154" t="s">
        <v>186</v>
      </c>
      <c r="B24" s="148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</row>
    <row r="25" spans="1:14" ht="15.6">
      <c r="A25" s="154"/>
      <c r="B25" s="148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/>
    </row>
    <row r="26" spans="1:14" ht="17.399999999999999">
      <c r="A26" s="145" t="s">
        <v>183</v>
      </c>
      <c r="B26" s="155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/>
    </row>
    <row r="27" spans="1:14" ht="15.6">
      <c r="A27" s="154" t="s">
        <v>184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4"/>
    </row>
    <row r="28" spans="1:14" ht="15.6">
      <c r="A28" s="154" t="s">
        <v>185</v>
      </c>
      <c r="B28" s="149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</row>
    <row r="29" spans="1:14" ht="17.399999999999999">
      <c r="A29" s="145"/>
      <c r="B29" s="155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</row>
    <row r="30" spans="1:14" ht="17.399999999999999">
      <c r="A30" s="145" t="s">
        <v>66</v>
      </c>
      <c r="B30" s="143"/>
      <c r="C30" s="143"/>
      <c r="D30" s="143"/>
      <c r="E30" s="143"/>
      <c r="F30" s="143"/>
      <c r="G30" s="143"/>
      <c r="H30" s="143"/>
      <c r="I30" s="143"/>
      <c r="J30" s="149"/>
      <c r="K30" s="143"/>
      <c r="L30" s="143"/>
      <c r="M30" s="143"/>
      <c r="N30" s="144"/>
    </row>
    <row r="31" spans="1:14" ht="15.6">
      <c r="A31" s="147" t="s">
        <v>319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4"/>
    </row>
    <row r="32" spans="1:14" ht="15.6">
      <c r="A32" s="147" t="s">
        <v>188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</row>
    <row r="33" spans="1:14" ht="15.6">
      <c r="A33" s="147" t="s">
        <v>177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4"/>
    </row>
    <row r="34" spans="1:14" ht="15.6">
      <c r="A34" s="147" t="s">
        <v>285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4"/>
    </row>
    <row r="35" spans="1:14" ht="15.6">
      <c r="A35" s="147" t="s">
        <v>270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</row>
    <row r="36" spans="1:14" ht="15.6">
      <c r="A36" s="147" t="s">
        <v>102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4"/>
    </row>
    <row r="37" spans="1:14" ht="15.6">
      <c r="A37" s="147" t="s">
        <v>320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4"/>
    </row>
    <row r="38" spans="1:14" ht="15" thickBo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8"/>
    </row>
  </sheetData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 tint="0.59999389629810485"/>
    <pageSetUpPr fitToPage="1"/>
  </sheetPr>
  <dimension ref="A1:N42"/>
  <sheetViews>
    <sheetView zoomScaleNormal="100" workbookViewId="0"/>
  </sheetViews>
  <sheetFormatPr defaultColWidth="9.109375" defaultRowHeight="14.4"/>
  <cols>
    <col min="1" max="1" width="2.88671875" style="11" customWidth="1"/>
    <col min="2" max="2" width="14" style="11" customWidth="1"/>
    <col min="3" max="3" width="17" style="11" customWidth="1"/>
    <col min="4" max="12" width="11" style="11" customWidth="1"/>
    <col min="13" max="13" width="11.33203125" style="11" customWidth="1"/>
    <col min="14" max="14" width="3.6640625" style="11" customWidth="1"/>
    <col min="15" max="15" width="14.6640625" style="11" customWidth="1"/>
    <col min="16" max="18" width="9.109375" style="11"/>
    <col min="19" max="19" width="12.109375" style="11" customWidth="1"/>
    <col min="20" max="21" width="12.33203125" style="11" customWidth="1"/>
    <col min="22" max="25" width="12.109375" style="11" bestFit="1" customWidth="1"/>
    <col min="26" max="26" width="12.109375" style="11" customWidth="1"/>
    <col min="27" max="27" width="12.109375" style="11" bestFit="1" customWidth="1"/>
    <col min="28" max="28" width="13.109375" style="11" customWidth="1"/>
    <col min="29" max="16384" width="9.109375" style="11"/>
  </cols>
  <sheetData>
    <row r="1" spans="1:14" ht="9.9" customHeight="1" thickBot="1">
      <c r="A1" s="23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4"/>
      <c r="N1" s="26"/>
    </row>
    <row r="2" spans="1:14" ht="15" customHeight="1" thickBot="1">
      <c r="A2" s="27"/>
      <c r="B2" s="160"/>
      <c r="D2" s="406" t="s">
        <v>271</v>
      </c>
      <c r="E2" s="407"/>
      <c r="F2" s="407"/>
      <c r="G2" s="407"/>
      <c r="H2" s="407"/>
      <c r="I2" s="407"/>
      <c r="J2" s="407"/>
      <c r="K2" s="408"/>
      <c r="M2" s="160"/>
      <c r="N2" s="28"/>
    </row>
    <row r="3" spans="1:14" ht="9.9" customHeight="1" thickBot="1">
      <c r="A3" s="27"/>
      <c r="B3" s="10"/>
      <c r="C3" s="10"/>
      <c r="D3" s="10"/>
      <c r="E3" s="10"/>
      <c r="G3" s="10"/>
      <c r="H3" s="10"/>
      <c r="I3" s="10"/>
      <c r="K3" s="10"/>
      <c r="L3" s="10"/>
      <c r="M3" s="10"/>
      <c r="N3" s="28"/>
    </row>
    <row r="4" spans="1:14" ht="15" customHeight="1" thickTop="1" thickBot="1">
      <c r="A4" s="27"/>
      <c r="B4" s="419" t="s">
        <v>254</v>
      </c>
      <c r="C4" s="420"/>
      <c r="D4" s="400" t="s">
        <v>141</v>
      </c>
      <c r="E4" s="401"/>
      <c r="F4" s="401"/>
      <c r="G4" s="401"/>
      <c r="H4" s="401"/>
      <c r="I4" s="401"/>
      <c r="J4" s="401"/>
      <c r="K4" s="401"/>
      <c r="L4" s="401"/>
      <c r="M4" s="402"/>
      <c r="N4" s="29"/>
    </row>
    <row r="5" spans="1:14" ht="30" customHeight="1">
      <c r="A5" s="30"/>
      <c r="B5" s="421"/>
      <c r="C5" s="422"/>
      <c r="D5" s="293" t="s">
        <v>16</v>
      </c>
      <c r="E5" s="294" t="s">
        <v>40</v>
      </c>
      <c r="F5" s="294" t="s">
        <v>5</v>
      </c>
      <c r="G5" s="294" t="s">
        <v>36</v>
      </c>
      <c r="H5" s="294" t="s">
        <v>4</v>
      </c>
      <c r="I5" s="294" t="s">
        <v>3</v>
      </c>
      <c r="J5" s="294" t="s">
        <v>2</v>
      </c>
      <c r="K5" s="294" t="s">
        <v>1</v>
      </c>
      <c r="L5" s="294" t="s">
        <v>0</v>
      </c>
      <c r="M5" s="295" t="s">
        <v>39</v>
      </c>
      <c r="N5" s="29"/>
    </row>
    <row r="6" spans="1:14" ht="107.25" customHeight="1">
      <c r="A6" s="27"/>
      <c r="B6" s="323"/>
      <c r="C6" s="13"/>
      <c r="D6" s="333">
        <v>1</v>
      </c>
      <c r="E6" s="332">
        <v>1</v>
      </c>
      <c r="F6" s="12">
        <v>1</v>
      </c>
      <c r="G6" s="331">
        <v>1</v>
      </c>
      <c r="H6" s="330">
        <v>4</v>
      </c>
      <c r="I6" s="329">
        <v>5</v>
      </c>
      <c r="J6" s="328">
        <v>5</v>
      </c>
      <c r="K6" s="327">
        <v>2</v>
      </c>
      <c r="L6" s="326">
        <v>5</v>
      </c>
      <c r="M6" s="325">
        <v>5</v>
      </c>
      <c r="N6" s="29"/>
    </row>
    <row r="7" spans="1:14" ht="15" customHeight="1" thickBot="1">
      <c r="A7" s="30"/>
      <c r="B7" s="322"/>
      <c r="C7" s="334" t="s">
        <v>287</v>
      </c>
      <c r="D7" s="359">
        <v>75</v>
      </c>
      <c r="E7" s="359">
        <v>68</v>
      </c>
      <c r="F7" s="359">
        <v>65</v>
      </c>
      <c r="G7" s="359">
        <v>61</v>
      </c>
      <c r="H7" s="359">
        <v>59</v>
      </c>
      <c r="I7" s="359">
        <v>55</v>
      </c>
      <c r="J7" s="359">
        <v>46</v>
      </c>
      <c r="K7" s="359">
        <v>34</v>
      </c>
      <c r="L7" s="359">
        <v>22</v>
      </c>
      <c r="M7" s="359">
        <v>8</v>
      </c>
      <c r="N7" s="29"/>
    </row>
    <row r="8" spans="1:14" ht="15" customHeight="1" thickTop="1">
      <c r="A8" s="27"/>
      <c r="B8" s="320"/>
      <c r="C8" s="335" t="s">
        <v>14</v>
      </c>
      <c r="D8" s="357">
        <v>22</v>
      </c>
      <c r="E8" s="357">
        <v>60</v>
      </c>
      <c r="F8" s="357">
        <v>24</v>
      </c>
      <c r="G8" s="357">
        <v>24</v>
      </c>
      <c r="H8" s="357">
        <v>24</v>
      </c>
      <c r="I8" s="357">
        <v>36</v>
      </c>
      <c r="J8" s="357">
        <v>60</v>
      </c>
      <c r="K8" s="357">
        <v>120</v>
      </c>
      <c r="L8" s="357">
        <v>120</v>
      </c>
      <c r="M8" s="358">
        <v>120</v>
      </c>
      <c r="N8" s="29"/>
    </row>
    <row r="9" spans="1:14" ht="15" customHeight="1" thickBot="1">
      <c r="A9" s="27"/>
      <c r="B9" s="320"/>
      <c r="C9" s="335" t="s">
        <v>15</v>
      </c>
      <c r="D9" s="300">
        <v>36</v>
      </c>
      <c r="E9" s="300">
        <v>50</v>
      </c>
      <c r="F9" s="300">
        <v>36</v>
      </c>
      <c r="G9" s="300">
        <v>36</v>
      </c>
      <c r="H9" s="300">
        <v>36</v>
      </c>
      <c r="I9" s="300">
        <v>36</v>
      </c>
      <c r="J9" s="300">
        <v>36</v>
      </c>
      <c r="K9" s="300">
        <v>24</v>
      </c>
      <c r="L9" s="300">
        <v>24</v>
      </c>
      <c r="M9" s="301">
        <v>24</v>
      </c>
      <c r="N9" s="29"/>
    </row>
    <row r="10" spans="1:14" ht="15" customHeight="1" thickTop="1">
      <c r="A10" s="27"/>
      <c r="B10" s="320"/>
      <c r="C10" s="336" t="s">
        <v>21</v>
      </c>
      <c r="D10" s="296">
        <f>IF(D6=1,0,IF(AND(D6=5,D8&lt;&gt;0,D9&lt;&gt;0),Dimensions!S4,IF(Arm1Design!D6=2,Dimensions!I4,IF(D6=3,Dimensions!I13,IF(D6=4,Dimensions!I22,"")))))</f>
        <v>0</v>
      </c>
      <c r="E10" s="296">
        <f>IF(E6=1,0,IF(AND(E6=5,E8&lt;&gt;0,E9&lt;&gt;0),Dimensions!S11,IF(Arm1Design!E6=2,Dimensions!I4,IF(E6=3,Dimensions!I13,IF(E6=4,Dimensions!I22,"")))))</f>
        <v>0</v>
      </c>
      <c r="F10" s="296">
        <f>IF(F6=1,0,IF(AND(F6=5,F8&lt;&gt;0,F9&lt;&gt;0),Dimensions!S18,IF(Arm1Design!F6=2,Dimensions!I4,IF(F6=3,Dimensions!I13,IF(F6=4,Dimensions!I22,"")))))</f>
        <v>0</v>
      </c>
      <c r="G10" s="296">
        <f>IF(G6=1,0,IF(AND(G6=5,G8&lt;&gt;0,G9&lt;&gt;0),Dimensions!S25,IF(Arm1Design!G6=2,Dimensions!I4,IF(G6=3,Dimensions!I13,IF(G6=4,Dimensions!I22,"")))))</f>
        <v>0</v>
      </c>
      <c r="H10" s="296">
        <f>IF(H6=1,0,IF(AND(H6=5,H8&lt;&gt;0,H9&lt;&gt;0),Dimensions!S32,IF(Arm1Design!H6=2,Dimensions!I4,IF(H6=3,Dimensions!I13,IF(H6=4,Dimensions!I22,"")))))</f>
        <v>14.8645</v>
      </c>
      <c r="I10" s="296">
        <f>IF(I6=1,0,IF(AND(I6=5,I8&lt;&gt;0,I9&lt;&gt;0),Dimensions!S39,IF(Arm1Design!I6=2,Dimensions!I4,IF(I6=3,Dimensions!I13,IF(I6=4,Dimensions!I22,"")))))</f>
        <v>9</v>
      </c>
      <c r="J10" s="296">
        <f>IF(J6=1,0,IF(AND(J6=5,J8&lt;&gt;0,J9&lt;&gt;0),Dimensions!S46,IF(Arm1Design!J6=2,Dimensions!I4,IF(J6=3,Dimensions!I13,IF(J6=4,Dimensions!I22,"")))))</f>
        <v>15</v>
      </c>
      <c r="K10" s="296">
        <f>IF(K6=1,0,IF(AND(K6=5,K8&lt;&gt;0,K9&lt;&gt;0),Dimensions!S53,IF(Arm1Design!K6=2,Dimensions!I4,IF(K6=3,Dimensions!I13,IF(K6=4,Dimensions!I22,"")))))</f>
        <v>9.7866999999999997</v>
      </c>
      <c r="L10" s="296">
        <f>IF(L6=1,0,IF(AND(L6=5,L8&lt;&gt;0,L9&lt;&gt;0),Dimensions!S60,IF(Arm1Design!L6=2,Dimensions!I4,IF(L6=3,Dimensions!I13,IF(L6=4,Dimensions!I22,"")))))</f>
        <v>20</v>
      </c>
      <c r="M10" s="297">
        <f>IF(M6=1,0,IF(AND(M6=5,M8&lt;&gt;0,M9&lt;&gt;0),Dimensions!S67,IF(Arm1Design!M6=2,Dimensions!I4,IF(M6=3,Dimensions!I13,IF(M6=4,Dimensions!I22,"")))))</f>
        <v>20</v>
      </c>
      <c r="N10" s="29"/>
    </row>
    <row r="11" spans="1:14" ht="15" customHeight="1" thickBot="1">
      <c r="A11" s="27"/>
      <c r="B11" s="321"/>
      <c r="C11" s="337" t="s">
        <v>324</v>
      </c>
      <c r="D11" s="298">
        <f>'CFI&amp;Designation'!B17</f>
        <v>0</v>
      </c>
      <c r="E11" s="298">
        <f>'CFI&amp;Designation'!C17</f>
        <v>0</v>
      </c>
      <c r="F11" s="298">
        <f>'CFI&amp;Designation'!D17</f>
        <v>0</v>
      </c>
      <c r="G11" s="298">
        <f>'CFI&amp;Designation'!E17</f>
        <v>0</v>
      </c>
      <c r="H11" s="298">
        <f>'CFI&amp;Designation'!F17</f>
        <v>70.92069807881316</v>
      </c>
      <c r="I11" s="298">
        <f>'CFI&amp;Designation'!G17</f>
        <v>40.029105346559987</v>
      </c>
      <c r="J11" s="298">
        <f>'CFI&amp;Designation'!H17</f>
        <v>55.798146846719987</v>
      </c>
      <c r="K11" s="298">
        <f>'CFI&amp;Designation'!I17</f>
        <v>26.90827624249712</v>
      </c>
      <c r="L11" s="298">
        <f>'CFI&amp;Designation'!J17</f>
        <v>35.581426974719996</v>
      </c>
      <c r="M11" s="299">
        <f>'CFI&amp;Designation'!K17</f>
        <v>12.938700718079998</v>
      </c>
      <c r="N11" s="29"/>
    </row>
    <row r="12" spans="1:14" ht="15" customHeight="1" thickTop="1">
      <c r="A12" s="2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9"/>
    </row>
    <row r="13" spans="1:14" ht="15" customHeight="1">
      <c r="A13" s="2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9"/>
    </row>
    <row r="14" spans="1:14" ht="15" customHeight="1">
      <c r="A14" s="27"/>
      <c r="B14" s="10"/>
      <c r="N14" s="29"/>
    </row>
    <row r="15" spans="1:14" ht="15" customHeight="1">
      <c r="A15" s="27"/>
      <c r="B15" s="10"/>
      <c r="N15" s="29"/>
    </row>
    <row r="16" spans="1:14" ht="15" customHeight="1">
      <c r="A16" s="27"/>
      <c r="B16" s="10"/>
      <c r="N16" s="29"/>
    </row>
    <row r="17" spans="1:14" ht="15" customHeight="1">
      <c r="A17" s="27"/>
      <c r="B17" s="10"/>
      <c r="N17" s="29"/>
    </row>
    <row r="18" spans="1:14" ht="15" customHeight="1">
      <c r="A18" s="27"/>
      <c r="B18" s="10"/>
      <c r="N18" s="29"/>
    </row>
    <row r="19" spans="1:14" ht="15" customHeight="1">
      <c r="A19" s="27"/>
      <c r="B19" s="10"/>
      <c r="N19" s="29"/>
    </row>
    <row r="20" spans="1:14" ht="15" customHeight="1">
      <c r="A20" s="27"/>
      <c r="B20" s="10"/>
      <c r="N20" s="29"/>
    </row>
    <row r="21" spans="1:14" ht="15" customHeight="1">
      <c r="A21" s="27"/>
      <c r="B21" s="10"/>
      <c r="N21" s="29"/>
    </row>
    <row r="22" spans="1:14" ht="15" customHeight="1">
      <c r="A22" s="27"/>
      <c r="B22" s="10"/>
      <c r="N22" s="29"/>
    </row>
    <row r="23" spans="1:14" ht="15" customHeight="1" thickBot="1">
      <c r="A23" s="2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29"/>
    </row>
    <row r="24" spans="1:14" ht="15" customHeight="1" thickTop="1" thickBot="1">
      <c r="A24" s="27"/>
      <c r="B24" s="425" t="s">
        <v>142</v>
      </c>
      <c r="C24" s="426"/>
      <c r="D24" s="72">
        <f>Dimensions!D46</f>
        <v>60</v>
      </c>
      <c r="E24" s="302"/>
      <c r="F24" s="409" t="s">
        <v>143</v>
      </c>
      <c r="G24" s="410"/>
      <c r="H24" s="161" t="s">
        <v>25</v>
      </c>
      <c r="I24" s="162" t="s">
        <v>41</v>
      </c>
      <c r="J24" s="160"/>
      <c r="K24" s="403" t="str">
        <f>"Mast Arm Assembly Designation"</f>
        <v>Mast Arm Assembly Designation</v>
      </c>
      <c r="L24" s="404"/>
      <c r="M24" s="405"/>
      <c r="N24" s="29"/>
    </row>
    <row r="25" spans="1:14" ht="15" customHeight="1" thickBot="1">
      <c r="A25" s="27"/>
      <c r="B25" s="396" t="s">
        <v>323</v>
      </c>
      <c r="C25" s="397"/>
      <c r="D25" s="163" t="s">
        <v>25</v>
      </c>
      <c r="E25" s="164" t="s">
        <v>41</v>
      </c>
      <c r="F25" s="411" t="s">
        <v>60</v>
      </c>
      <c r="G25" s="412"/>
      <c r="H25" s="303">
        <f>'CFI&amp;Designation'!L20</f>
        <v>61.600000000000009</v>
      </c>
      <c r="I25" s="307">
        <f>'CFI&amp;Designation'!M20</f>
        <v>68.2</v>
      </c>
      <c r="J25" s="160"/>
      <c r="K25" s="413" t="str">
        <f>IF(Dimensions!C47&gt;1,"Two Arm Assembly"&amp;CHAR(10)&amp;'CFI&amp;Designation'!C43,"One Arm Assembly"&amp;CHAR(10)&amp;'CFI&amp;Designation'!C43)</f>
        <v>Two Arm Assembly
Loads &gt; Standard Arm Capacity</v>
      </c>
      <c r="L25" s="414"/>
      <c r="M25" s="415"/>
      <c r="N25" s="29"/>
    </row>
    <row r="26" spans="1:14" ht="15" customHeight="1" thickBot="1">
      <c r="A26" s="27"/>
      <c r="B26" s="398" t="s">
        <v>52</v>
      </c>
      <c r="C26" s="399"/>
      <c r="D26" s="303">
        <f>VLOOKUP(Dimensions!$D$46,'CFI&amp;Designation'!$A$4:$O$11,3)</f>
        <v>15</v>
      </c>
      <c r="E26" s="304">
        <f>VLOOKUP(Dimensions!$D$46,'CFI&amp;Designation'!$A$4:$O$11,10)</f>
        <v>16</v>
      </c>
      <c r="F26" s="423" t="s">
        <v>48</v>
      </c>
      <c r="G26" s="424"/>
      <c r="H26" s="308">
        <f>'CFI&amp;Designation'!L19</f>
        <v>80.737032982868683</v>
      </c>
      <c r="I26" s="309">
        <f>'CFI&amp;Designation'!M19</f>
        <v>90.991199689902501</v>
      </c>
      <c r="J26" s="160"/>
      <c r="K26" s="416"/>
      <c r="L26" s="417"/>
      <c r="M26" s="418"/>
      <c r="N26" s="29"/>
    </row>
    <row r="27" spans="1:14" ht="15" customHeight="1" thickTop="1">
      <c r="A27" s="27"/>
      <c r="B27" s="439" t="s">
        <v>42</v>
      </c>
      <c r="C27" s="440"/>
      <c r="D27" s="305">
        <f>VLOOKUP(Dimensions!$D$46,'CFI&amp;Designation'!$A$4:$O$11,2)</f>
        <v>0.375</v>
      </c>
      <c r="E27" s="306">
        <f>VLOOKUP(Dimensions!$D$46,'CFI&amp;Designation'!$A$4:$O$11,9)</f>
        <v>0.375</v>
      </c>
      <c r="F27" s="435" t="s">
        <v>61</v>
      </c>
      <c r="G27" s="436"/>
      <c r="H27" s="431">
        <f>'CFI&amp;Designation'!L18</f>
        <v>14.916</v>
      </c>
      <c r="I27" s="432"/>
      <c r="J27" s="160"/>
      <c r="K27" s="160"/>
      <c r="L27" s="160"/>
      <c r="M27" s="160"/>
      <c r="N27" s="31"/>
    </row>
    <row r="28" spans="1:14" ht="15" customHeight="1" thickBot="1">
      <c r="A28" s="27"/>
      <c r="B28" s="427" t="s">
        <v>59</v>
      </c>
      <c r="C28" s="428"/>
      <c r="D28" s="370">
        <f>VLOOKUP(Dimensions!$D$46,'CFI&amp;Designation'!$A$4:$O$11,8)</f>
        <v>300</v>
      </c>
      <c r="E28" s="371">
        <f>VLOOKUP(Dimensions!D46,'CFI&amp;Designation'!A4:$O$11,15)</f>
        <v>342</v>
      </c>
      <c r="F28" s="437" t="s">
        <v>47</v>
      </c>
      <c r="G28" s="438"/>
      <c r="H28" s="433">
        <f>'CFI&amp;Designation'!L17</f>
        <v>242.17635420739023</v>
      </c>
      <c r="I28" s="434"/>
      <c r="J28" s="160"/>
      <c r="K28" s="160"/>
      <c r="L28" s="160"/>
      <c r="M28" s="160"/>
      <c r="N28" s="31"/>
    </row>
    <row r="29" spans="1:14" ht="15" customHeight="1" thickTop="1" thickBot="1">
      <c r="A29" s="30"/>
      <c r="B29" s="441" t="s">
        <v>343</v>
      </c>
      <c r="C29" s="442"/>
      <c r="D29" s="372">
        <f>0.95*D28</f>
        <v>285</v>
      </c>
      <c r="E29" s="373">
        <f>0.95*E28</f>
        <v>324.89999999999998</v>
      </c>
      <c r="F29" s="429" t="s">
        <v>53</v>
      </c>
      <c r="G29" s="430"/>
      <c r="H29" s="372">
        <f>'CFI&amp;Designation'!L21</f>
        <v>331.85501937244533</v>
      </c>
      <c r="I29" s="373">
        <f>'CFI&amp;Designation'!M21</f>
        <v>343.87863711347194</v>
      </c>
      <c r="J29" s="160"/>
      <c r="K29" s="160"/>
      <c r="L29" s="160"/>
      <c r="M29" s="160"/>
      <c r="N29" s="31"/>
    </row>
    <row r="30" spans="1:14" ht="9.9" customHeight="1" thickTop="1" thickBot="1">
      <c r="A30" s="32"/>
      <c r="B30" s="369"/>
      <c r="C30" s="369"/>
      <c r="D30" s="369"/>
      <c r="E30" s="369"/>
      <c r="F30" s="165"/>
      <c r="G30" s="165"/>
      <c r="H30" s="165"/>
      <c r="I30" s="165"/>
      <c r="J30" s="165"/>
      <c r="K30" s="165"/>
      <c r="L30" s="165"/>
      <c r="M30" s="166"/>
      <c r="N30" s="33"/>
    </row>
    <row r="31" spans="1:14" ht="15" customHeight="1" thickBot="1">
      <c r="A31" s="10"/>
      <c r="B31" s="135"/>
      <c r="C31" s="136"/>
      <c r="D31" s="136"/>
      <c r="E31" s="137"/>
      <c r="F31" s="137"/>
      <c r="G31" s="138"/>
      <c r="H31" s="137"/>
      <c r="I31" s="137"/>
      <c r="J31" s="137"/>
      <c r="K31" s="135"/>
      <c r="L31" s="137"/>
      <c r="M31" s="135"/>
      <c r="N31" s="10"/>
    </row>
    <row r="32" spans="1:14">
      <c r="B32" s="310" t="s">
        <v>106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7"/>
    </row>
    <row r="33" spans="1:14">
      <c r="A33" s="10"/>
      <c r="B33" s="313" t="s">
        <v>67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2"/>
    </row>
    <row r="34" spans="1:14">
      <c r="A34" s="10"/>
      <c r="B34" s="313" t="s">
        <v>354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2"/>
    </row>
    <row r="35" spans="1:14">
      <c r="A35" s="10"/>
      <c r="B35" s="313" t="s">
        <v>104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2"/>
    </row>
    <row r="36" spans="1:14">
      <c r="A36" s="10"/>
      <c r="B36" s="395" t="s">
        <v>178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2"/>
    </row>
    <row r="37" spans="1:14">
      <c r="A37" s="10"/>
      <c r="B37" s="395" t="s">
        <v>179</v>
      </c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2"/>
    </row>
    <row r="38" spans="1:14">
      <c r="A38" s="10"/>
      <c r="B38" s="395" t="s">
        <v>105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2"/>
    </row>
    <row r="39" spans="1:14">
      <c r="A39" s="10"/>
      <c r="B39" s="395" t="s">
        <v>103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2"/>
    </row>
    <row r="40" spans="1:14">
      <c r="A40" s="10"/>
      <c r="B40" s="313" t="s">
        <v>327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2"/>
    </row>
    <row r="41" spans="1:14" ht="15" thickBot="1">
      <c r="B41" s="314" t="s">
        <v>124</v>
      </c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6"/>
    </row>
    <row r="42" spans="1:1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protectedRanges>
    <protectedRange sqref="D7:M7 C8:M9 B6:M6" name="Range1"/>
  </protectedRanges>
  <mergeCells count="20">
    <mergeCell ref="B28:C28"/>
    <mergeCell ref="F29:G29"/>
    <mergeCell ref="H27:I27"/>
    <mergeCell ref="H28:I28"/>
    <mergeCell ref="F27:G27"/>
    <mergeCell ref="F28:G28"/>
    <mergeCell ref="B27:C27"/>
    <mergeCell ref="B29:C29"/>
    <mergeCell ref="B25:C25"/>
    <mergeCell ref="B26:C26"/>
    <mergeCell ref="D4:M4"/>
    <mergeCell ref="K24:M24"/>
    <mergeCell ref="D2:K2"/>
    <mergeCell ref="F24:G24"/>
    <mergeCell ref="F25:G25"/>
    <mergeCell ref="K25:M26"/>
    <mergeCell ref="B4:C4"/>
    <mergeCell ref="B5:C5"/>
    <mergeCell ref="F26:G26"/>
    <mergeCell ref="B24:C24"/>
  </mergeCells>
  <conditionalFormatting sqref="B8:B11">
    <cfRule type="expression" dxfId="43" priority="11">
      <formula>"""if('Sign &amp; Sig. Dim.'!$C$42=1)"""</formula>
    </cfRule>
  </conditionalFormatting>
  <conditionalFormatting sqref="D7">
    <cfRule type="expression" dxfId="42" priority="10">
      <formula>$D$6=1</formula>
    </cfRule>
  </conditionalFormatting>
  <conditionalFormatting sqref="D8:D9">
    <cfRule type="expression" dxfId="41" priority="30">
      <formula>$D$6=5</formula>
    </cfRule>
  </conditionalFormatting>
  <conditionalFormatting sqref="D7:M7">
    <cfRule type="cellIs" dxfId="40" priority="32" operator="lessThan">
      <formula>1</formula>
    </cfRule>
  </conditionalFormatting>
  <conditionalFormatting sqref="E7">
    <cfRule type="expression" dxfId="39" priority="9">
      <formula>$E$6=1</formula>
    </cfRule>
  </conditionalFormatting>
  <conditionalFormatting sqref="E8:E9">
    <cfRule type="expression" dxfId="38" priority="29">
      <formula>$E$6=5</formula>
    </cfRule>
  </conditionalFormatting>
  <conditionalFormatting sqref="F7">
    <cfRule type="expression" dxfId="37" priority="8">
      <formula>$F$6=1</formula>
    </cfRule>
  </conditionalFormatting>
  <conditionalFormatting sqref="F8:F9">
    <cfRule type="expression" dxfId="36" priority="28">
      <formula>$F$6=5</formula>
    </cfRule>
  </conditionalFormatting>
  <conditionalFormatting sqref="G7">
    <cfRule type="expression" dxfId="35" priority="7">
      <formula>$G$6=1</formula>
    </cfRule>
  </conditionalFormatting>
  <conditionalFormatting sqref="G8:G9">
    <cfRule type="expression" dxfId="34" priority="27">
      <formula>$G$6=5</formula>
    </cfRule>
  </conditionalFormatting>
  <conditionalFormatting sqref="H7">
    <cfRule type="expression" dxfId="33" priority="6">
      <formula>$H$6=1</formula>
    </cfRule>
  </conditionalFormatting>
  <conditionalFormatting sqref="H8:H9">
    <cfRule type="expression" dxfId="32" priority="26">
      <formula>$H$6=5</formula>
    </cfRule>
  </conditionalFormatting>
  <conditionalFormatting sqref="I7">
    <cfRule type="expression" dxfId="31" priority="5">
      <formula>$I$6=1</formula>
    </cfRule>
  </conditionalFormatting>
  <conditionalFormatting sqref="I8:I9">
    <cfRule type="expression" dxfId="30" priority="25">
      <formula>$I$6=5</formula>
    </cfRule>
  </conditionalFormatting>
  <conditionalFormatting sqref="J7">
    <cfRule type="expression" dxfId="29" priority="4">
      <formula>$J$6=1</formula>
    </cfRule>
  </conditionalFormatting>
  <conditionalFormatting sqref="J8:J9">
    <cfRule type="expression" dxfId="28" priority="24">
      <formula>$J$6=5</formula>
    </cfRule>
  </conditionalFormatting>
  <conditionalFormatting sqref="K7">
    <cfRule type="expression" dxfId="27" priority="3">
      <formula>$K$6=1</formula>
    </cfRule>
  </conditionalFormatting>
  <conditionalFormatting sqref="K8:K9">
    <cfRule type="expression" dxfId="26" priority="23">
      <formula>$K$6=5</formula>
    </cfRule>
  </conditionalFormatting>
  <conditionalFormatting sqref="L7">
    <cfRule type="expression" dxfId="25" priority="2">
      <formula>$L$6=1</formula>
    </cfRule>
  </conditionalFormatting>
  <conditionalFormatting sqref="L8:L9">
    <cfRule type="expression" dxfId="24" priority="22">
      <formula>$L$6=5</formula>
    </cfRule>
  </conditionalFormatting>
  <conditionalFormatting sqref="M7">
    <cfRule type="expression" dxfId="23" priority="1">
      <formula>$M$6=1</formula>
    </cfRule>
  </conditionalFormatting>
  <conditionalFormatting sqref="M8:M9">
    <cfRule type="expression" dxfId="22" priority="21">
      <formula>$M$6=5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2" r:id="rId4" name="Group Box 198">
              <controlPr defaultSize="0" autoFill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Option Button 21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205740</xdr:rowOff>
                  </from>
                  <to>
                    <xdr:col>1</xdr:col>
                    <xdr:colOff>944880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Option Button 22">
              <controlPr defaultSize="0" autoFill="0" autoLine="0" autoPict="0">
                <anchor moveWithCells="1">
                  <from>
                    <xdr:col>1</xdr:col>
                    <xdr:colOff>190500</xdr:colOff>
                    <xdr:row>5</xdr:row>
                    <xdr:rowOff>388620</xdr:rowOff>
                  </from>
                  <to>
                    <xdr:col>1</xdr:col>
                    <xdr:colOff>944880</xdr:colOff>
                    <xdr:row>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locked="0" defaultSize="0" autoFill="0" autoLine="0" autoPict="0">
                <anchor moveWithCells="1">
                  <from>
                    <xdr:col>1</xdr:col>
                    <xdr:colOff>213360</xdr:colOff>
                    <xdr:row>5</xdr:row>
                    <xdr:rowOff>876300</xdr:rowOff>
                  </from>
                  <to>
                    <xdr:col>1</xdr:col>
                    <xdr:colOff>845820</xdr:colOff>
                    <xdr:row>5</xdr:row>
                    <xdr:rowOff>1082040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locked="0" defaultSize="0" autoFill="0" autoLine="0" autoPict="0">
                <anchor moveWithCells="1">
                  <from>
                    <xdr:col>1</xdr:col>
                    <xdr:colOff>213360</xdr:colOff>
                    <xdr:row>5</xdr:row>
                    <xdr:rowOff>1264920</xdr:rowOff>
                  </from>
                  <to>
                    <xdr:col>1</xdr:col>
                    <xdr:colOff>845820</xdr:colOff>
                    <xdr:row>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Group Box 31">
              <controlPr defaultSize="0" autoFill="0" autoPict="0" altText="Signal Orientation">
                <anchor moveWithCells="1">
                  <from>
                    <xdr:col>1</xdr:col>
                    <xdr:colOff>53340</xdr:colOff>
                    <xdr:row>5</xdr:row>
                    <xdr:rowOff>60960</xdr:rowOff>
                  </from>
                  <to>
                    <xdr:col>2</xdr:col>
                    <xdr:colOff>30480</xdr:colOff>
                    <xdr:row>5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Group Box 32">
              <controlPr locked="0" defaultSize="0" autoFill="0" autoPict="0" altText="Back Plates">
                <anchor moveWithCells="1">
                  <from>
                    <xdr:col>1</xdr:col>
                    <xdr:colOff>53340</xdr:colOff>
                    <xdr:row>5</xdr:row>
                    <xdr:rowOff>716280</xdr:rowOff>
                  </from>
                  <to>
                    <xdr:col>2</xdr:col>
                    <xdr:colOff>7620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Option Button 38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5</xdr:row>
                    <xdr:rowOff>76200</xdr:rowOff>
                  </from>
                  <to>
                    <xdr:col>3</xdr:col>
                    <xdr:colOff>655320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Option Button 39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5</xdr:row>
                    <xdr:rowOff>266700</xdr:rowOff>
                  </from>
                  <to>
                    <xdr:col>3</xdr:col>
                    <xdr:colOff>655320</xdr:colOff>
                    <xdr:row>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Option Button 40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5</xdr:row>
                    <xdr:rowOff>464820</xdr:rowOff>
                  </from>
                  <to>
                    <xdr:col>3</xdr:col>
                    <xdr:colOff>655320</xdr:colOff>
                    <xdr:row>5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Option Button 41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5</xdr:row>
                    <xdr:rowOff>670560</xdr:rowOff>
                  </from>
                  <to>
                    <xdr:col>3</xdr:col>
                    <xdr:colOff>655320</xdr:colOff>
                    <xdr:row>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Option Button 45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5</xdr:row>
                    <xdr:rowOff>876300</xdr:rowOff>
                  </from>
                  <to>
                    <xdr:col>3</xdr:col>
                    <xdr:colOff>655320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6" name="Option Button 83">
              <controlPr defaultSize="0" autoFill="0" autoLine="0" autoPict="0" altText="None">
                <anchor moveWithCells="1">
                  <from>
                    <xdr:col>4</xdr:col>
                    <xdr:colOff>83820</xdr:colOff>
                    <xdr:row>5</xdr:row>
                    <xdr:rowOff>76200</xdr:rowOff>
                  </from>
                  <to>
                    <xdr:col>4</xdr:col>
                    <xdr:colOff>670560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Option Button 84">
              <controlPr defaultSize="0" autoFill="0" autoLine="0" autoPict="0" altText="3 Head">
                <anchor moveWithCells="1">
                  <from>
                    <xdr:col>4</xdr:col>
                    <xdr:colOff>83820</xdr:colOff>
                    <xdr:row>5</xdr:row>
                    <xdr:rowOff>266700</xdr:rowOff>
                  </from>
                  <to>
                    <xdr:col>4</xdr:col>
                    <xdr:colOff>670560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Option Button 85">
              <controlPr defaultSize="0" autoFill="0" autoLine="0" autoPict="0" altText="4 Head">
                <anchor moveWithCells="1">
                  <from>
                    <xdr:col>4</xdr:col>
                    <xdr:colOff>83820</xdr:colOff>
                    <xdr:row>5</xdr:row>
                    <xdr:rowOff>472440</xdr:rowOff>
                  </from>
                  <to>
                    <xdr:col>4</xdr:col>
                    <xdr:colOff>670560</xdr:colOff>
                    <xdr:row>5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9" name="Option Button 86">
              <controlPr defaultSize="0" autoFill="0" autoLine="0" autoPict="0" altText="5 Head">
                <anchor moveWithCells="1">
                  <from>
                    <xdr:col>4</xdr:col>
                    <xdr:colOff>83820</xdr:colOff>
                    <xdr:row>5</xdr:row>
                    <xdr:rowOff>670560</xdr:rowOff>
                  </from>
                  <to>
                    <xdr:col>4</xdr:col>
                    <xdr:colOff>670560</xdr:colOff>
                    <xdr:row>5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Option Button 87">
              <controlPr defaultSize="0" autoFill="0" autoLine="0" autoPict="0" altText="Dog House">
                <anchor moveWithCells="1">
                  <from>
                    <xdr:col>4</xdr:col>
                    <xdr:colOff>83820</xdr:colOff>
                    <xdr:row>5</xdr:row>
                    <xdr:rowOff>883920</xdr:rowOff>
                  </from>
                  <to>
                    <xdr:col>4</xdr:col>
                    <xdr:colOff>670560</xdr:colOff>
                    <xdr:row>5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Option Button 90">
              <controlPr defaultSize="0" autoFill="0" autoLine="0" autoPict="0" altText="None">
                <anchor moveWithCells="1">
                  <from>
                    <xdr:col>5</xdr:col>
                    <xdr:colOff>83820</xdr:colOff>
                    <xdr:row>5</xdr:row>
                    <xdr:rowOff>76200</xdr:rowOff>
                  </from>
                  <to>
                    <xdr:col>5</xdr:col>
                    <xdr:colOff>678180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Option Button 91">
              <controlPr defaultSize="0" autoFill="0" autoLine="0" autoPict="0" altText="3 Head">
                <anchor moveWithCells="1">
                  <from>
                    <xdr:col>5</xdr:col>
                    <xdr:colOff>83820</xdr:colOff>
                    <xdr:row>5</xdr:row>
                    <xdr:rowOff>266700</xdr:rowOff>
                  </from>
                  <to>
                    <xdr:col>5</xdr:col>
                    <xdr:colOff>678180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Option Button 92">
              <controlPr defaultSize="0" autoFill="0" autoLine="0" autoPict="0" altText="4 Head">
                <anchor moveWithCells="1">
                  <from>
                    <xdr:col>5</xdr:col>
                    <xdr:colOff>83820</xdr:colOff>
                    <xdr:row>5</xdr:row>
                    <xdr:rowOff>472440</xdr:rowOff>
                  </from>
                  <to>
                    <xdr:col>5</xdr:col>
                    <xdr:colOff>678180</xdr:colOff>
                    <xdr:row>5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Option Button 93">
              <controlPr defaultSize="0" autoFill="0" autoLine="0" autoPict="0" altText="5 Head">
                <anchor moveWithCells="1">
                  <from>
                    <xdr:col>5</xdr:col>
                    <xdr:colOff>83820</xdr:colOff>
                    <xdr:row>5</xdr:row>
                    <xdr:rowOff>670560</xdr:rowOff>
                  </from>
                  <to>
                    <xdr:col>5</xdr:col>
                    <xdr:colOff>678180</xdr:colOff>
                    <xdr:row>5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Option Button 94">
              <controlPr defaultSize="0" autoFill="0" autoLine="0" autoPict="0" altText="Dog House">
                <anchor moveWithCells="1">
                  <from>
                    <xdr:col>5</xdr:col>
                    <xdr:colOff>83820</xdr:colOff>
                    <xdr:row>5</xdr:row>
                    <xdr:rowOff>883920</xdr:rowOff>
                  </from>
                  <to>
                    <xdr:col>5</xdr:col>
                    <xdr:colOff>678180</xdr:colOff>
                    <xdr:row>5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Option Button 109">
              <controlPr defaultSize="0" autoFill="0" autoLine="0" autoPict="0" altText="None">
                <anchor moveWithCells="1">
                  <from>
                    <xdr:col>6</xdr:col>
                    <xdr:colOff>99060</xdr:colOff>
                    <xdr:row>5</xdr:row>
                    <xdr:rowOff>76200</xdr:rowOff>
                  </from>
                  <to>
                    <xdr:col>6</xdr:col>
                    <xdr:colOff>678180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7" name="Option Button 110">
              <controlPr defaultSize="0" autoFill="0" autoLine="0" autoPict="0" altText="3 Head">
                <anchor moveWithCells="1">
                  <from>
                    <xdr:col>6</xdr:col>
                    <xdr:colOff>99060</xdr:colOff>
                    <xdr:row>5</xdr:row>
                    <xdr:rowOff>266700</xdr:rowOff>
                  </from>
                  <to>
                    <xdr:col>6</xdr:col>
                    <xdr:colOff>678180</xdr:colOff>
                    <xdr:row>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8" name="Option Button 111">
              <controlPr defaultSize="0" autoFill="0" autoLine="0" autoPict="0" altText="4 Head">
                <anchor moveWithCells="1">
                  <from>
                    <xdr:col>6</xdr:col>
                    <xdr:colOff>99060</xdr:colOff>
                    <xdr:row>5</xdr:row>
                    <xdr:rowOff>464820</xdr:rowOff>
                  </from>
                  <to>
                    <xdr:col>6</xdr:col>
                    <xdr:colOff>678180</xdr:colOff>
                    <xdr:row>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Option Button 112">
              <controlPr defaultSize="0" autoFill="0" autoLine="0" autoPict="0" altText="5 Head">
                <anchor moveWithCells="1">
                  <from>
                    <xdr:col>6</xdr:col>
                    <xdr:colOff>99060</xdr:colOff>
                    <xdr:row>5</xdr:row>
                    <xdr:rowOff>662940</xdr:rowOff>
                  </from>
                  <to>
                    <xdr:col>6</xdr:col>
                    <xdr:colOff>678180</xdr:colOff>
                    <xdr:row>5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Option Button 113">
              <controlPr defaultSize="0" autoFill="0" autoLine="0" autoPict="0" altText="Dog House">
                <anchor moveWithCells="1">
                  <from>
                    <xdr:col>6</xdr:col>
                    <xdr:colOff>99060</xdr:colOff>
                    <xdr:row>5</xdr:row>
                    <xdr:rowOff>861060</xdr:rowOff>
                  </from>
                  <to>
                    <xdr:col>6</xdr:col>
                    <xdr:colOff>678180</xdr:colOff>
                    <xdr:row>5</xdr:row>
                    <xdr:rowOff>1127760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1" name="Group Box 197">
              <controlPr defaultSize="0" autoFill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Group Box 199">
              <controlPr defaultSize="0" autoFill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3" name="Group Box 238">
              <controlPr defaultSize="0" autoFill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4" name="Group Box 253">
              <controlPr defaultSize="0" autoFill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5" name="Option Button 258">
              <controlPr defaultSize="0" autoFill="0" autoLine="0" autoPict="0" altText="None">
                <anchor moveWithCells="1">
                  <from>
                    <xdr:col>7</xdr:col>
                    <xdr:colOff>83820</xdr:colOff>
                    <xdr:row>5</xdr:row>
                    <xdr:rowOff>76200</xdr:rowOff>
                  </from>
                  <to>
                    <xdr:col>7</xdr:col>
                    <xdr:colOff>678180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6" name="Option Button 259">
              <controlPr defaultSize="0" autoFill="0" autoLine="0" autoPict="0" altText="3 Head">
                <anchor moveWithCells="1">
                  <from>
                    <xdr:col>7</xdr:col>
                    <xdr:colOff>83820</xdr:colOff>
                    <xdr:row>5</xdr:row>
                    <xdr:rowOff>266700</xdr:rowOff>
                  </from>
                  <to>
                    <xdr:col>7</xdr:col>
                    <xdr:colOff>678180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7" name="Option Button 260">
              <controlPr defaultSize="0" autoFill="0" autoLine="0" autoPict="0" altText="4 Head">
                <anchor moveWithCells="1">
                  <from>
                    <xdr:col>7</xdr:col>
                    <xdr:colOff>83820</xdr:colOff>
                    <xdr:row>5</xdr:row>
                    <xdr:rowOff>464820</xdr:rowOff>
                  </from>
                  <to>
                    <xdr:col>7</xdr:col>
                    <xdr:colOff>678180</xdr:colOff>
                    <xdr:row>5</xdr:row>
                    <xdr:rowOff>693420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8" name="Option Button 261">
              <controlPr defaultSize="0" autoFill="0" autoLine="0" autoPict="0" altText="5 Head">
                <anchor moveWithCells="1">
                  <from>
                    <xdr:col>7</xdr:col>
                    <xdr:colOff>83820</xdr:colOff>
                    <xdr:row>5</xdr:row>
                    <xdr:rowOff>662940</xdr:rowOff>
                  </from>
                  <to>
                    <xdr:col>7</xdr:col>
                    <xdr:colOff>678180</xdr:colOff>
                    <xdr:row>5</xdr:row>
                    <xdr:rowOff>891540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9" name="Option Button 262">
              <controlPr defaultSize="0" autoFill="0" autoLine="0" autoPict="0" altText="Dog House">
                <anchor moveWithCells="1">
                  <from>
                    <xdr:col>7</xdr:col>
                    <xdr:colOff>83820</xdr:colOff>
                    <xdr:row>5</xdr:row>
                    <xdr:rowOff>861060</xdr:rowOff>
                  </from>
                  <to>
                    <xdr:col>7</xdr:col>
                    <xdr:colOff>678180</xdr:colOff>
                    <xdr:row>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0" name="Group Box 265">
              <controlPr defaultSize="0" autoFill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1" name="Option Button 266">
              <controlPr defaultSize="0" autoFill="0" autoLine="0" autoPict="0" altText="None">
                <anchor moveWithCells="1">
                  <from>
                    <xdr:col>8</xdr:col>
                    <xdr:colOff>83820</xdr:colOff>
                    <xdr:row>5</xdr:row>
                    <xdr:rowOff>68580</xdr:rowOff>
                  </from>
                  <to>
                    <xdr:col>8</xdr:col>
                    <xdr:colOff>670560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2" name="Option Button 267">
              <controlPr defaultSize="0" autoFill="0" autoLine="0" autoPict="0" altText="3 Head">
                <anchor moveWithCells="1">
                  <from>
                    <xdr:col>8</xdr:col>
                    <xdr:colOff>83820</xdr:colOff>
                    <xdr:row>5</xdr:row>
                    <xdr:rowOff>259080</xdr:rowOff>
                  </from>
                  <to>
                    <xdr:col>8</xdr:col>
                    <xdr:colOff>662940</xdr:colOff>
                    <xdr:row>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3" name="Option Button 268">
              <controlPr defaultSize="0" autoFill="0" autoLine="0" autoPict="0" altText="4 Head">
                <anchor moveWithCells="1">
                  <from>
                    <xdr:col>8</xdr:col>
                    <xdr:colOff>83820</xdr:colOff>
                    <xdr:row>5</xdr:row>
                    <xdr:rowOff>464820</xdr:rowOff>
                  </from>
                  <to>
                    <xdr:col>8</xdr:col>
                    <xdr:colOff>670560</xdr:colOff>
                    <xdr:row>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4" name="Option Button 269">
              <controlPr defaultSize="0" autoFill="0" autoLine="0" autoPict="0" altText="5 Head">
                <anchor moveWithCells="1">
                  <from>
                    <xdr:col>8</xdr:col>
                    <xdr:colOff>83820</xdr:colOff>
                    <xdr:row>5</xdr:row>
                    <xdr:rowOff>670560</xdr:rowOff>
                  </from>
                  <to>
                    <xdr:col>8</xdr:col>
                    <xdr:colOff>670560</xdr:colOff>
                    <xdr:row>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5" name="Option Button 270">
              <controlPr defaultSize="0" autoFill="0" autoLine="0" autoPict="0" altText="Dog House">
                <anchor moveWithCells="1">
                  <from>
                    <xdr:col>8</xdr:col>
                    <xdr:colOff>83820</xdr:colOff>
                    <xdr:row>5</xdr:row>
                    <xdr:rowOff>876300</xdr:rowOff>
                  </from>
                  <to>
                    <xdr:col>8</xdr:col>
                    <xdr:colOff>670560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6" name="Group Box 272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7" name="Option Button 273">
              <controlPr defaultSize="0" autoFill="0" autoLine="0" autoPict="0" altText="None">
                <anchor moveWithCells="1">
                  <from>
                    <xdr:col>9</xdr:col>
                    <xdr:colOff>99060</xdr:colOff>
                    <xdr:row>5</xdr:row>
                    <xdr:rowOff>53340</xdr:rowOff>
                  </from>
                  <to>
                    <xdr:col>9</xdr:col>
                    <xdr:colOff>693420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8" name="Option Button 274">
              <controlPr defaultSize="0" autoFill="0" autoLine="0" autoPict="0" altText="3 Head">
                <anchor moveWithCells="1">
                  <from>
                    <xdr:col>9</xdr:col>
                    <xdr:colOff>99060</xdr:colOff>
                    <xdr:row>5</xdr:row>
                    <xdr:rowOff>259080</xdr:rowOff>
                  </from>
                  <to>
                    <xdr:col>9</xdr:col>
                    <xdr:colOff>701040</xdr:colOff>
                    <xdr:row>5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9" name="Option Button 275">
              <controlPr defaultSize="0" autoFill="0" autoLine="0" autoPict="0" altText="4 Head">
                <anchor moveWithCells="1">
                  <from>
                    <xdr:col>9</xdr:col>
                    <xdr:colOff>99060</xdr:colOff>
                    <xdr:row>5</xdr:row>
                    <xdr:rowOff>464820</xdr:rowOff>
                  </from>
                  <to>
                    <xdr:col>9</xdr:col>
                    <xdr:colOff>701040</xdr:colOff>
                    <xdr:row>5</xdr:row>
                    <xdr:rowOff>701040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50" name="Option Button 276">
              <controlPr defaultSize="0" autoFill="0" autoLine="0" autoPict="0" altText="5 Head">
                <anchor moveWithCells="1">
                  <from>
                    <xdr:col>9</xdr:col>
                    <xdr:colOff>99060</xdr:colOff>
                    <xdr:row>5</xdr:row>
                    <xdr:rowOff>670560</xdr:rowOff>
                  </from>
                  <to>
                    <xdr:col>9</xdr:col>
                    <xdr:colOff>701040</xdr:colOff>
                    <xdr:row>5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51" name="Option Button 277">
              <controlPr defaultSize="0" autoFill="0" autoLine="0" autoPict="0" altText="Dog House">
                <anchor moveWithCells="1">
                  <from>
                    <xdr:col>9</xdr:col>
                    <xdr:colOff>99060</xdr:colOff>
                    <xdr:row>5</xdr:row>
                    <xdr:rowOff>861060</xdr:rowOff>
                  </from>
                  <to>
                    <xdr:col>9</xdr:col>
                    <xdr:colOff>693420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2" name="Group Box 279">
              <controlPr defaultSize="0" autoFill="0" autoPict="0">
                <anchor moveWithCells="1">
                  <from>
                    <xdr:col>9</xdr:col>
                    <xdr:colOff>754380</xdr:colOff>
                    <xdr:row>5</xdr:row>
                    <xdr:rowOff>0</xdr:rowOff>
                  </from>
                  <to>
                    <xdr:col>10</xdr:col>
                    <xdr:colOff>754380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3" name="Option Button 280">
              <controlPr defaultSize="0" autoFill="0" autoLine="0" autoPict="0" altText="None">
                <anchor moveWithCells="1">
                  <from>
                    <xdr:col>10</xdr:col>
                    <xdr:colOff>99060</xdr:colOff>
                    <xdr:row>5</xdr:row>
                    <xdr:rowOff>76200</xdr:rowOff>
                  </from>
                  <to>
                    <xdr:col>10</xdr:col>
                    <xdr:colOff>693420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4" name="Option Button 281">
              <controlPr defaultSize="0" autoFill="0" autoLine="0" autoPict="0" altText="3 Head">
                <anchor moveWithCells="1">
                  <from>
                    <xdr:col>10</xdr:col>
                    <xdr:colOff>99060</xdr:colOff>
                    <xdr:row>5</xdr:row>
                    <xdr:rowOff>289560</xdr:rowOff>
                  </from>
                  <to>
                    <xdr:col>10</xdr:col>
                    <xdr:colOff>701040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5" name="Option Button 282">
              <controlPr defaultSize="0" autoFill="0" autoLine="0" autoPict="0" altText="4 Head">
                <anchor moveWithCells="1">
                  <from>
                    <xdr:col>10</xdr:col>
                    <xdr:colOff>99060</xdr:colOff>
                    <xdr:row>5</xdr:row>
                    <xdr:rowOff>464820</xdr:rowOff>
                  </from>
                  <to>
                    <xdr:col>10</xdr:col>
                    <xdr:colOff>701040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6" name="Option Button 283">
              <controlPr defaultSize="0" autoFill="0" autoLine="0" autoPict="0" altText="5 Head">
                <anchor moveWithCells="1">
                  <from>
                    <xdr:col>10</xdr:col>
                    <xdr:colOff>99060</xdr:colOff>
                    <xdr:row>5</xdr:row>
                    <xdr:rowOff>655320</xdr:rowOff>
                  </from>
                  <to>
                    <xdr:col>10</xdr:col>
                    <xdr:colOff>701040</xdr:colOff>
                    <xdr:row>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7" name="Option Button 284">
              <controlPr defaultSize="0" autoFill="0" autoLine="0" autoPict="0" altText="Dog House">
                <anchor moveWithCells="1">
                  <from>
                    <xdr:col>10</xdr:col>
                    <xdr:colOff>99060</xdr:colOff>
                    <xdr:row>5</xdr:row>
                    <xdr:rowOff>868680</xdr:rowOff>
                  </from>
                  <to>
                    <xdr:col>10</xdr:col>
                    <xdr:colOff>701040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8" name="Option Button 287">
              <controlPr defaultSize="0" autoFill="0" autoLine="0" autoPict="0" altText="3 Head">
                <anchor moveWithCells="1">
                  <from>
                    <xdr:col>11</xdr:col>
                    <xdr:colOff>60960</xdr:colOff>
                    <xdr:row>5</xdr:row>
                    <xdr:rowOff>91440</xdr:rowOff>
                  </from>
                  <to>
                    <xdr:col>11</xdr:col>
                    <xdr:colOff>662940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9" name="Option Button 288">
              <controlPr defaultSize="0" autoFill="0" autoLine="0" autoPict="0" altText="4 Head">
                <anchor moveWithCells="1">
                  <from>
                    <xdr:col>11</xdr:col>
                    <xdr:colOff>60960</xdr:colOff>
                    <xdr:row>5</xdr:row>
                    <xdr:rowOff>297180</xdr:rowOff>
                  </from>
                  <to>
                    <xdr:col>11</xdr:col>
                    <xdr:colOff>662940</xdr:colOff>
                    <xdr:row>5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0" name="Option Button 289">
              <controlPr defaultSize="0" autoFill="0" autoLine="0" autoPict="0" altText="5 Head">
                <anchor moveWithCells="1">
                  <from>
                    <xdr:col>11</xdr:col>
                    <xdr:colOff>60960</xdr:colOff>
                    <xdr:row>5</xdr:row>
                    <xdr:rowOff>480060</xdr:rowOff>
                  </from>
                  <to>
                    <xdr:col>11</xdr:col>
                    <xdr:colOff>662940</xdr:colOff>
                    <xdr:row>5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1" name="Option Button 290">
              <controlPr defaultSize="0" autoFill="0" autoLine="0" autoPict="0" altText="Dog House">
                <anchor moveWithCells="1">
                  <from>
                    <xdr:col>11</xdr:col>
                    <xdr:colOff>60960</xdr:colOff>
                    <xdr:row>5</xdr:row>
                    <xdr:rowOff>647700</xdr:rowOff>
                  </from>
                  <to>
                    <xdr:col>11</xdr:col>
                    <xdr:colOff>670560</xdr:colOff>
                    <xdr:row>5</xdr:row>
                    <xdr:rowOff>868680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2" name="Group Box 292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5</xdr:row>
                    <xdr:rowOff>1348740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3" name="Option Button 293">
              <controlPr defaultSize="0" autoFill="0" autoLine="0" autoPict="0" altText="None">
                <anchor moveWithCells="1">
                  <from>
                    <xdr:col>12</xdr:col>
                    <xdr:colOff>129540</xdr:colOff>
                    <xdr:row>5</xdr:row>
                    <xdr:rowOff>60960</xdr:rowOff>
                  </from>
                  <to>
                    <xdr:col>12</xdr:col>
                    <xdr:colOff>731520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4" name="Option Button 294">
              <controlPr defaultSize="0" autoFill="0" autoLine="0" autoPict="0" altText="3 Head">
                <anchor moveWithCells="1">
                  <from>
                    <xdr:col>12</xdr:col>
                    <xdr:colOff>129540</xdr:colOff>
                    <xdr:row>5</xdr:row>
                    <xdr:rowOff>259080</xdr:rowOff>
                  </from>
                  <to>
                    <xdr:col>12</xdr:col>
                    <xdr:colOff>731520</xdr:colOff>
                    <xdr:row>5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5" name="Option Button 295">
              <controlPr defaultSize="0" autoFill="0" autoLine="0" autoPict="0" altText="4 Head">
                <anchor moveWithCells="1">
                  <from>
                    <xdr:col>12</xdr:col>
                    <xdr:colOff>129540</xdr:colOff>
                    <xdr:row>5</xdr:row>
                    <xdr:rowOff>457200</xdr:rowOff>
                  </from>
                  <to>
                    <xdr:col>12</xdr:col>
                    <xdr:colOff>731520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6" name="Option Button 296">
              <controlPr defaultSize="0" autoFill="0" autoLine="0" autoPict="0" altText="5 Head">
                <anchor moveWithCells="1">
                  <from>
                    <xdr:col>12</xdr:col>
                    <xdr:colOff>129540</xdr:colOff>
                    <xdr:row>5</xdr:row>
                    <xdr:rowOff>662940</xdr:rowOff>
                  </from>
                  <to>
                    <xdr:col>12</xdr:col>
                    <xdr:colOff>731520</xdr:colOff>
                    <xdr:row>5</xdr:row>
                    <xdr:rowOff>891540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7" name="Option Button 297">
              <controlPr defaultSize="0" autoFill="0" autoLine="0" autoPict="0" altText="Dog House">
                <anchor moveWithCells="1">
                  <from>
                    <xdr:col>12</xdr:col>
                    <xdr:colOff>129540</xdr:colOff>
                    <xdr:row>5</xdr:row>
                    <xdr:rowOff>861060</xdr:rowOff>
                  </from>
                  <to>
                    <xdr:col>12</xdr:col>
                    <xdr:colOff>731520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8" name="Option Button 286">
              <controlPr defaultSize="0" autoFill="0" autoLine="0" autoPict="0" altText="None">
                <anchor moveWithCells="1">
                  <from>
                    <xdr:col>11</xdr:col>
                    <xdr:colOff>60960</xdr:colOff>
                    <xdr:row>5</xdr:row>
                    <xdr:rowOff>845820</xdr:rowOff>
                  </from>
                  <to>
                    <xdr:col>11</xdr:col>
                    <xdr:colOff>662940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9" name="Group Box 299">
              <controlPr defaultSize="0" autoFill="0" autoPict="0">
                <anchor moveWithCells="1">
                  <from>
                    <xdr:col>2</xdr:col>
                    <xdr:colOff>259080</xdr:colOff>
                    <xdr:row>5</xdr:row>
                    <xdr:rowOff>175260</xdr:rowOff>
                  </from>
                  <to>
                    <xdr:col>2</xdr:col>
                    <xdr:colOff>1036320</xdr:colOff>
                    <xdr:row>5</xdr:row>
                    <xdr:rowOff>1188720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" name="List Box 301">
              <controlPr locked="0" defaultSize="0" autoLine="0" autoPict="0">
                <anchor moveWithCells="1">
                  <from>
                    <xdr:col>2</xdr:col>
                    <xdr:colOff>373380</xdr:colOff>
                    <xdr:row>5</xdr:row>
                    <xdr:rowOff>327660</xdr:rowOff>
                  </from>
                  <to>
                    <xdr:col>2</xdr:col>
                    <xdr:colOff>906780</xdr:colOff>
                    <xdr:row>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1" name="Group Box 302">
              <controlPr locked="0" defaultSize="0" autoFill="0" autoPict="0">
                <anchor moveWithCells="1">
                  <from>
                    <xdr:col>1</xdr:col>
                    <xdr:colOff>60960</xdr:colOff>
                    <xdr:row>4</xdr:row>
                    <xdr:rowOff>60960</xdr:rowOff>
                  </from>
                  <to>
                    <xdr:col>2</xdr:col>
                    <xdr:colOff>1097280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2" name="Option Button 303">
              <controlPr defaultSize="0" autoFill="0" autoLine="0" autoPict="0">
                <anchor moveWithCells="1">
                  <from>
                    <xdr:col>1</xdr:col>
                    <xdr:colOff>68580</xdr:colOff>
                    <xdr:row>4</xdr:row>
                    <xdr:rowOff>160020</xdr:rowOff>
                  </from>
                  <to>
                    <xdr:col>1</xdr:col>
                    <xdr:colOff>746760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3" name="Option Button 305">
              <controlPr defaultSize="0" autoFill="0" autoLine="0" autoPict="0">
                <anchor moveWithCells="1">
                  <from>
                    <xdr:col>1</xdr:col>
                    <xdr:colOff>685800</xdr:colOff>
                    <xdr:row>4</xdr:row>
                    <xdr:rowOff>152400</xdr:rowOff>
                  </from>
                  <to>
                    <xdr:col>2</xdr:col>
                    <xdr:colOff>426720</xdr:colOff>
                    <xdr:row>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74" name="Group Box 307">
              <controlPr defaultSize="0" autoFill="0" autoPict="0">
                <anchor moveWithCells="1">
                  <from>
                    <xdr:col>11</xdr:col>
                    <xdr:colOff>7620</xdr:colOff>
                    <xdr:row>5</xdr:row>
                    <xdr:rowOff>0</xdr:rowOff>
                  </from>
                  <to>
                    <xdr:col>11</xdr:col>
                    <xdr:colOff>739140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75" name="Group Box 320">
              <controlPr defaultSize="0" autoFill="0" autoPict="0">
                <anchor moveWithCells="1">
                  <from>
                    <xdr:col>1</xdr:col>
                    <xdr:colOff>76200</xdr:colOff>
                    <xdr:row>7</xdr:row>
                    <xdr:rowOff>106680</xdr:rowOff>
                  </from>
                  <to>
                    <xdr:col>1</xdr:col>
                    <xdr:colOff>838200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76" name="Option Button 324">
              <controlPr defaultSize="0" autoFill="0" autoLine="0" autoPict="0" altText="No">
                <anchor moveWithCells="1">
                  <from>
                    <xdr:col>1</xdr:col>
                    <xdr:colOff>213360</xdr:colOff>
                    <xdr:row>9</xdr:row>
                    <xdr:rowOff>76200</xdr:rowOff>
                  </from>
                  <to>
                    <xdr:col>1</xdr:col>
                    <xdr:colOff>762000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7" name="Option Button 325">
              <controlPr defaultSize="0" autoFill="0" autoLine="0" autoPict="0">
                <anchor moveWithCells="1">
                  <from>
                    <xdr:col>1</xdr:col>
                    <xdr:colOff>213360</xdr:colOff>
                    <xdr:row>8</xdr:row>
                    <xdr:rowOff>91440</xdr:rowOff>
                  </from>
                  <to>
                    <xdr:col>1</xdr:col>
                    <xdr:colOff>762000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8" name="Option Button 337">
              <controlPr defaultSize="0" autoFill="0" autoLine="0" autoPict="0">
                <anchor moveWithCells="1">
                  <from>
                    <xdr:col>2</xdr:col>
                    <xdr:colOff>381000</xdr:colOff>
                    <xdr:row>4</xdr:row>
                    <xdr:rowOff>144780</xdr:rowOff>
                  </from>
                  <to>
                    <xdr:col>2</xdr:col>
                    <xdr:colOff>990600</xdr:colOff>
                    <xdr:row>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9" name="Option Button 340">
              <controlPr locked="0" defaultSize="0" autoFill="0" autoLine="0" autoPict="0">
                <anchor moveWithCells="1">
                  <from>
                    <xdr:col>1</xdr:col>
                    <xdr:colOff>213360</xdr:colOff>
                    <xdr:row>5</xdr:row>
                    <xdr:rowOff>1089660</xdr:rowOff>
                  </from>
                  <to>
                    <xdr:col>1</xdr:col>
                    <xdr:colOff>845820</xdr:colOff>
                    <xdr:row>5</xdr:row>
                    <xdr:rowOff>1257300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9" tint="0.59999389629810485"/>
    <pageSetUpPr fitToPage="1"/>
  </sheetPr>
  <dimension ref="A1:N42"/>
  <sheetViews>
    <sheetView zoomScaleNormal="100" workbookViewId="0"/>
  </sheetViews>
  <sheetFormatPr defaultColWidth="9.109375" defaultRowHeight="14.4"/>
  <cols>
    <col min="1" max="1" width="2.88671875" style="11" customWidth="1"/>
    <col min="2" max="2" width="14" style="11" customWidth="1"/>
    <col min="3" max="3" width="17" style="11" customWidth="1"/>
    <col min="4" max="12" width="11" style="11" customWidth="1"/>
    <col min="13" max="13" width="11.33203125" style="11" customWidth="1"/>
    <col min="14" max="14" width="3.6640625" style="11" customWidth="1"/>
    <col min="15" max="15" width="14.6640625" style="11" customWidth="1"/>
    <col min="16" max="18" width="9.109375" style="11"/>
    <col min="19" max="19" width="12.109375" style="11" customWidth="1"/>
    <col min="20" max="21" width="12.33203125" style="11" customWidth="1"/>
    <col min="22" max="25" width="12.109375" style="11" bestFit="1" customWidth="1"/>
    <col min="26" max="26" width="12.109375" style="11" customWidth="1"/>
    <col min="27" max="27" width="12.109375" style="11" bestFit="1" customWidth="1"/>
    <col min="28" max="28" width="13.109375" style="11" customWidth="1"/>
    <col min="29" max="16384" width="9.109375" style="11"/>
  </cols>
  <sheetData>
    <row r="1" spans="1:14" ht="9.9" customHeight="1" thickBot="1">
      <c r="A1" s="23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4"/>
      <c r="N1" s="26"/>
    </row>
    <row r="2" spans="1:14" ht="15" customHeight="1" thickBot="1">
      <c r="A2" s="27"/>
      <c r="B2" s="10"/>
      <c r="C2" s="10"/>
      <c r="D2" s="444" t="s">
        <v>271</v>
      </c>
      <c r="E2" s="445"/>
      <c r="F2" s="445"/>
      <c r="G2" s="445"/>
      <c r="H2" s="445"/>
      <c r="I2" s="445"/>
      <c r="J2" s="445"/>
      <c r="K2" s="446"/>
      <c r="L2" s="10"/>
      <c r="M2" s="10"/>
      <c r="N2" s="28"/>
    </row>
    <row r="3" spans="1:14" ht="9.9" customHeight="1" thickBot="1">
      <c r="A3" s="27"/>
      <c r="B3" s="10"/>
      <c r="C3" s="10"/>
      <c r="D3" s="10"/>
      <c r="E3" s="10"/>
      <c r="G3" s="10"/>
      <c r="H3" s="10"/>
      <c r="I3" s="10"/>
      <c r="K3" s="10"/>
      <c r="L3" s="10"/>
      <c r="M3" s="10"/>
      <c r="N3" s="28"/>
    </row>
    <row r="4" spans="1:14" ht="15" customHeight="1" thickTop="1" thickBot="1">
      <c r="A4" s="27"/>
      <c r="B4" s="447" t="s">
        <v>254</v>
      </c>
      <c r="C4" s="448"/>
      <c r="D4" s="400" t="s">
        <v>145</v>
      </c>
      <c r="E4" s="401"/>
      <c r="F4" s="401"/>
      <c r="G4" s="401"/>
      <c r="H4" s="401"/>
      <c r="I4" s="401"/>
      <c r="J4" s="401"/>
      <c r="K4" s="401"/>
      <c r="L4" s="401"/>
      <c r="M4" s="402"/>
      <c r="N4" s="29"/>
    </row>
    <row r="5" spans="1:14" ht="30" customHeight="1" thickBot="1">
      <c r="A5" s="30"/>
      <c r="B5" s="342"/>
      <c r="C5" s="343"/>
      <c r="D5" s="318" t="s">
        <v>16</v>
      </c>
      <c r="E5" s="319" t="s">
        <v>40</v>
      </c>
      <c r="F5" s="319" t="s">
        <v>5</v>
      </c>
      <c r="G5" s="319" t="s">
        <v>36</v>
      </c>
      <c r="H5" s="319" t="s">
        <v>4</v>
      </c>
      <c r="I5" s="319" t="s">
        <v>3</v>
      </c>
      <c r="J5" s="319" t="s">
        <v>2</v>
      </c>
      <c r="K5" s="319" t="s">
        <v>1</v>
      </c>
      <c r="L5" s="319" t="s">
        <v>0</v>
      </c>
      <c r="M5" s="344" t="s">
        <v>39</v>
      </c>
      <c r="N5" s="29"/>
    </row>
    <row r="6" spans="1:14" ht="107.25" customHeight="1" thickBot="1">
      <c r="A6" s="27"/>
      <c r="B6" s="345" t="str">
        <f>"Wind Speed = "&amp;Dimensions!$D$48&amp;" mph"&amp;CHAR(10)&amp;"Luminaire = "&amp;IF(Dimensions!C50=1,"No","Yes")</f>
        <v>Wind Speed = 170 mph
Luminaire = No</v>
      </c>
      <c r="C6" s="341"/>
      <c r="D6" s="333">
        <v>1</v>
      </c>
      <c r="E6" s="332">
        <v>1</v>
      </c>
      <c r="F6" s="12">
        <v>1</v>
      </c>
      <c r="G6" s="331">
        <v>1</v>
      </c>
      <c r="H6" s="330">
        <v>1</v>
      </c>
      <c r="I6" s="329">
        <v>4</v>
      </c>
      <c r="J6" s="328">
        <v>5</v>
      </c>
      <c r="K6" s="327">
        <v>1</v>
      </c>
      <c r="L6" s="326">
        <v>2</v>
      </c>
      <c r="M6" s="346">
        <v>2</v>
      </c>
      <c r="N6" s="29"/>
    </row>
    <row r="7" spans="1:14" ht="15" customHeight="1" thickBot="1">
      <c r="A7" s="27"/>
      <c r="B7" s="347"/>
      <c r="C7" s="351" t="s">
        <v>51</v>
      </c>
      <c r="D7" s="360">
        <v>76</v>
      </c>
      <c r="E7" s="361">
        <v>71</v>
      </c>
      <c r="F7" s="361">
        <v>66</v>
      </c>
      <c r="G7" s="361">
        <v>61</v>
      </c>
      <c r="H7" s="361">
        <v>56</v>
      </c>
      <c r="I7" s="361">
        <v>48</v>
      </c>
      <c r="J7" s="361">
        <v>42</v>
      </c>
      <c r="K7" s="361">
        <v>29</v>
      </c>
      <c r="L7" s="361">
        <v>22</v>
      </c>
      <c r="M7" s="362">
        <v>12</v>
      </c>
      <c r="N7" s="29"/>
    </row>
    <row r="8" spans="1:14" ht="15" customHeight="1" thickTop="1">
      <c r="A8" s="27"/>
      <c r="B8" s="451" t="str">
        <f>CONCATENATE(IF(Dimensions!C45=1,"Vertical Signal Orientation ","Horizontal Signal Orientation "),IF(Dimensions!C49=1,"with 6 inch Backplates.",(IF(Dimensions!C49=2,"without Backplates.","with 2.5 inch Flexible Backplates."))))</f>
        <v>Vertical Signal Orientation with 6 inch Backplates.</v>
      </c>
      <c r="C8" s="352" t="s">
        <v>14</v>
      </c>
      <c r="D8" s="363">
        <v>24</v>
      </c>
      <c r="E8" s="364">
        <v>24</v>
      </c>
      <c r="F8" s="364">
        <v>24</v>
      </c>
      <c r="G8" s="364">
        <v>24</v>
      </c>
      <c r="H8" s="364">
        <v>24</v>
      </c>
      <c r="I8" s="364">
        <v>36</v>
      </c>
      <c r="J8" s="364">
        <v>36</v>
      </c>
      <c r="K8" s="364">
        <v>120</v>
      </c>
      <c r="L8" s="364">
        <v>120</v>
      </c>
      <c r="M8" s="365">
        <v>120</v>
      </c>
      <c r="N8" s="29"/>
    </row>
    <row r="9" spans="1:14" ht="15" customHeight="1" thickBot="1">
      <c r="A9" s="27"/>
      <c r="B9" s="451"/>
      <c r="C9" s="352" t="s">
        <v>15</v>
      </c>
      <c r="D9" s="366">
        <v>36</v>
      </c>
      <c r="E9" s="367">
        <v>36</v>
      </c>
      <c r="F9" s="367">
        <v>36</v>
      </c>
      <c r="G9" s="367">
        <v>36</v>
      </c>
      <c r="H9" s="367">
        <v>36</v>
      </c>
      <c r="I9" s="367">
        <v>36</v>
      </c>
      <c r="J9" s="367">
        <v>36</v>
      </c>
      <c r="K9" s="367">
        <v>24</v>
      </c>
      <c r="L9" s="367">
        <v>24</v>
      </c>
      <c r="M9" s="368">
        <v>24</v>
      </c>
      <c r="N9" s="29"/>
    </row>
    <row r="10" spans="1:14" ht="15" customHeight="1" thickTop="1">
      <c r="A10" s="27"/>
      <c r="B10" s="451"/>
      <c r="C10" s="353" t="s">
        <v>21</v>
      </c>
      <c r="D10" s="355">
        <f>IF(D6=1,0,IF(AND(D6=5,D8&lt;&gt;0,D9&lt;&gt;0),Dimensions!AB4,IF(Arm2Design!D6=2,Dimensions!I4,IF(D6=3,Dimensions!I13,IF(D6=4,Dimensions!I22,"")))))</f>
        <v>0</v>
      </c>
      <c r="E10" s="296">
        <f>IF(E6=1,0,IF(AND(E6=5,E8&lt;&gt;0,E9&lt;&gt;0),Dimensions!AB11,IF(Arm2Design!E6=2,Dimensions!I4,IF(E6=3,Dimensions!I13,IF(E6=4,Dimensions!I22,"")))))</f>
        <v>0</v>
      </c>
      <c r="F10" s="296">
        <f>IF(F6=1,0,IF(AND(F6=5,F8&lt;&gt;0,F9&lt;&gt;0),Dimensions!AB18,IF(Arm2Design!F6=2,Dimensions!I4,IF(F6=3,Dimensions!I13,IF(F6=4,Dimensions!I22,"")))))</f>
        <v>0</v>
      </c>
      <c r="G10" s="296">
        <f>IF(G6=1,0,IF(AND(G6=5,G8&lt;&gt;0,G9&lt;&gt;0),Dimensions!AB25,IF(Arm2Design!G6=2,Dimensions!I4,IF(G6=3,Dimensions!I13,IF(G6=4,Dimensions!I22,"")))))</f>
        <v>0</v>
      </c>
      <c r="H10" s="296">
        <f>IF(H6=1,0,IF(AND(H6=5,H8&lt;&gt;0,H9&lt;&gt;0),Dimensions!AB32,IF(Arm2Design!H6=2,Dimensions!I4,IF(H6=3,Dimensions!I13,IF(H6=4,Dimensions!I22,"")))))</f>
        <v>0</v>
      </c>
      <c r="I10" s="296">
        <f>IF(I6=1,0,IF(AND(I6=5,I8&lt;&gt;0,I9&lt;&gt;0),Dimensions!AB39,IF(Arm2Design!I6=2,Dimensions!I4,IF(I6=3,Dimensions!I13,IF(I6=4,Dimensions!I22,"")))))</f>
        <v>14.8645</v>
      </c>
      <c r="J10" s="296">
        <f>IF(J6=1,0,IF(AND(J6=5,J8&lt;&gt;0,J9&lt;&gt;0),Dimensions!AB46,IF(Arm2Design!J6=2,Dimensions!I4,IF(J6=3,Dimensions!I13,IF(J6=4,Dimensions!I22,"")))))</f>
        <v>9</v>
      </c>
      <c r="K10" s="296">
        <f>IF(K6=1,0,IF(AND(K6=5,K8&lt;&gt;0,K9&lt;&gt;0),Dimensions!AB53,IF(Arm2Design!K6=2,Dimensions!I4,IF(K6=3,Dimensions!I13,IF(K6=4,Dimensions!I22,"")))))</f>
        <v>0</v>
      </c>
      <c r="L10" s="296">
        <f>IF(L6=1,0,IF(AND(L6=5,L8&lt;&gt;0,L9&lt;&gt;0),Dimensions!AB60,IF(Arm2Design!L6=2,Dimensions!I4,IF(L6=3,Dimensions!I13,IF(L6=4,Dimensions!I22,"")))))</f>
        <v>9.7866999999999997</v>
      </c>
      <c r="M10" s="348">
        <f>IF(M6=1,0,IF(AND(M6=5,M8&lt;&gt;0,M9&lt;&gt;0),Dimensions!AB67,IF(Arm2Design!M6=2,Dimensions!I4,IF(M6=3,Dimensions!I13,IF(M6=4,Dimensions!I22,"")))))</f>
        <v>9.7866999999999997</v>
      </c>
      <c r="N10" s="29"/>
    </row>
    <row r="11" spans="1:14" ht="15" customHeight="1" thickBot="1">
      <c r="A11" s="27"/>
      <c r="B11" s="452"/>
      <c r="C11" s="354" t="s">
        <v>324</v>
      </c>
      <c r="D11" s="356">
        <f>'CFI&amp;Designation'!B25</f>
        <v>0</v>
      </c>
      <c r="E11" s="349">
        <f>'CFI&amp;Designation'!C25</f>
        <v>0</v>
      </c>
      <c r="F11" s="349">
        <f>'CFI&amp;Designation'!D25</f>
        <v>0</v>
      </c>
      <c r="G11" s="349">
        <f>'CFI&amp;Designation'!E25</f>
        <v>0</v>
      </c>
      <c r="H11" s="349">
        <f>'CFI&amp;Designation'!F25</f>
        <v>0</v>
      </c>
      <c r="I11" s="349">
        <f>'CFI&amp;Designation'!G25</f>
        <v>57.698195047170032</v>
      </c>
      <c r="J11" s="349">
        <f>'CFI&amp;Designation'!H25</f>
        <v>30.567680446463992</v>
      </c>
      <c r="K11" s="349">
        <f>'CFI&amp;Designation'!I25</f>
        <v>0</v>
      </c>
      <c r="L11" s="349">
        <f>'CFI&amp;Designation'!J25</f>
        <v>17.411237568674604</v>
      </c>
      <c r="M11" s="350">
        <f>'CFI&amp;Designation'!K25</f>
        <v>9.4970386738225141</v>
      </c>
      <c r="N11" s="29"/>
    </row>
    <row r="12" spans="1:14">
      <c r="A12" s="27"/>
      <c r="B12" s="10"/>
      <c r="C12" s="10"/>
      <c r="D12" s="10"/>
      <c r="E12" s="10"/>
      <c r="F12" s="10"/>
      <c r="G12" s="10"/>
      <c r="H12" s="10"/>
      <c r="I12" s="10"/>
      <c r="J12" s="10"/>
      <c r="L12" s="10"/>
      <c r="M12" s="10"/>
      <c r="N12" s="29"/>
    </row>
    <row r="13" spans="1:14" ht="15" customHeight="1">
      <c r="A13" s="27"/>
      <c r="B13" s="10"/>
      <c r="N13" s="29"/>
    </row>
    <row r="14" spans="1:14" ht="15" customHeight="1">
      <c r="A14" s="27"/>
      <c r="B14" s="10"/>
      <c r="N14" s="29"/>
    </row>
    <row r="15" spans="1:14" ht="15" customHeight="1">
      <c r="A15" s="27"/>
      <c r="B15" s="10"/>
      <c r="N15" s="29"/>
    </row>
    <row r="16" spans="1:14" ht="15" customHeight="1">
      <c r="A16" s="27"/>
      <c r="B16" s="10"/>
      <c r="N16" s="29"/>
    </row>
    <row r="17" spans="1:14" ht="15" customHeight="1">
      <c r="A17" s="27"/>
      <c r="B17" s="10"/>
      <c r="N17" s="29"/>
    </row>
    <row r="18" spans="1:14" ht="15" customHeight="1">
      <c r="A18" s="27"/>
      <c r="B18" s="10"/>
      <c r="N18" s="29"/>
    </row>
    <row r="19" spans="1:14" ht="15" customHeight="1">
      <c r="A19" s="27"/>
      <c r="B19" s="10"/>
      <c r="N19" s="29"/>
    </row>
    <row r="20" spans="1:14" ht="15" customHeight="1">
      <c r="A20" s="27"/>
      <c r="B20" s="10"/>
      <c r="N20" s="29"/>
    </row>
    <row r="21" spans="1:14" ht="15" customHeight="1">
      <c r="A21" s="27"/>
      <c r="B21" s="10"/>
      <c r="N21" s="29"/>
    </row>
    <row r="22" spans="1:14" ht="15" customHeight="1">
      <c r="A22" s="27"/>
      <c r="B22" s="10"/>
      <c r="N22" s="29"/>
    </row>
    <row r="23" spans="1:14" ht="15" customHeight="1" thickBot="1">
      <c r="A23" s="2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29"/>
    </row>
    <row r="24" spans="1:14" ht="15" customHeight="1" thickTop="1" thickBot="1">
      <c r="A24" s="27"/>
      <c r="B24" s="453" t="s">
        <v>144</v>
      </c>
      <c r="C24" s="454"/>
      <c r="D24" s="72">
        <f>Dimensions!D47</f>
        <v>50</v>
      </c>
      <c r="E24" s="302"/>
      <c r="F24" s="409" t="s">
        <v>146</v>
      </c>
      <c r="G24" s="410"/>
      <c r="H24" s="161" t="s">
        <v>25</v>
      </c>
      <c r="I24" s="162" t="s">
        <v>41</v>
      </c>
      <c r="J24" s="160"/>
      <c r="K24" s="403" t="str">
        <f>"Mast Arm Assembly Designation"</f>
        <v>Mast Arm Assembly Designation</v>
      </c>
      <c r="L24" s="404"/>
      <c r="M24" s="405"/>
      <c r="N24" s="29"/>
    </row>
    <row r="25" spans="1:14" ht="15" customHeight="1" thickBot="1">
      <c r="A25" s="27"/>
      <c r="B25" s="449" t="s">
        <v>323</v>
      </c>
      <c r="C25" s="450"/>
      <c r="D25" s="163" t="s">
        <v>25</v>
      </c>
      <c r="E25" s="164" t="s">
        <v>41</v>
      </c>
      <c r="F25" s="411" t="s">
        <v>60</v>
      </c>
      <c r="G25" s="412"/>
      <c r="H25" s="303">
        <f>IF(Dimensions!C47=1,"",'CFI&amp;Designation'!L28)</f>
        <v>39.6</v>
      </c>
      <c r="I25" s="307">
        <f>IF(Dimensions!C47=1,"",'CFI&amp;Designation'!M28)</f>
        <v>44</v>
      </c>
      <c r="J25" s="160"/>
      <c r="K25" s="413" t="str">
        <f>IF(Dimensions!C47&gt;1,"Two Arm Assembly"&amp;CHAR(10)&amp;'CFI&amp;Designation'!C43,"One Arm Assembly"&amp;CHAR(10)&amp;'CFI&amp;Designation'!C43)</f>
        <v>Two Arm Assembly
Loads &gt; Standard Arm Capacity</v>
      </c>
      <c r="L25" s="414"/>
      <c r="M25" s="415"/>
      <c r="N25" s="29"/>
    </row>
    <row r="26" spans="1:14" ht="15" customHeight="1" thickBot="1">
      <c r="A26" s="27"/>
      <c r="B26" s="398" t="s">
        <v>52</v>
      </c>
      <c r="C26" s="399"/>
      <c r="D26" s="303">
        <f>IF(Dimensions!C47=1,"",VLOOKUP(Dimensions!$D$47,'CFI&amp;Designation'!$A$4:$O$11,3))</f>
        <v>14</v>
      </c>
      <c r="E26" s="304">
        <f>IF(Dimensions!C47=1,"",VLOOKUP(Dimensions!$D$47,'CFI&amp;Designation'!$A$4:$O$11,10))</f>
        <v>15</v>
      </c>
      <c r="F26" s="423" t="s">
        <v>48</v>
      </c>
      <c r="G26" s="424"/>
      <c r="H26" s="308">
        <f>IF(Dimensions!C47=1,"",'CFI&amp;Designation'!L27)</f>
        <v>56.133183947377844</v>
      </c>
      <c r="I26" s="309">
        <f>IF(Dimensions!C47=1,"",'CFI&amp;Designation'!M27)</f>
        <v>62.959328092442888</v>
      </c>
      <c r="J26" s="160"/>
      <c r="K26" s="416"/>
      <c r="L26" s="417"/>
      <c r="M26" s="418"/>
      <c r="N26" s="29"/>
    </row>
    <row r="27" spans="1:14" ht="15" customHeight="1" thickTop="1">
      <c r="A27" s="27"/>
      <c r="B27" s="439" t="s">
        <v>42</v>
      </c>
      <c r="C27" s="440"/>
      <c r="D27" s="305">
        <f>IF(Dimensions!C47=1,"",VLOOKUP(Dimensions!$D$47,'CFI&amp;Designation'!$A$4:$O$11,2))</f>
        <v>0.3125</v>
      </c>
      <c r="E27" s="306">
        <f>IF(Dimensions!C47=1,"",VLOOKUP(Dimensions!$D$47,'CFI&amp;Designation'!$A$4:$O$11,9))</f>
        <v>0.3125</v>
      </c>
      <c r="F27" s="435" t="s">
        <v>61</v>
      </c>
      <c r="G27" s="436"/>
      <c r="H27" s="431">
        <f>IF(Dimensions!C47=1,"",'CFI&amp;Designation'!L26)</f>
        <v>8.8660000000000014</v>
      </c>
      <c r="I27" s="432"/>
      <c r="J27" s="160"/>
      <c r="K27" s="443" t="str">
        <f>IF(Dimensions!$D$46&lt;Dimensions!$D$47,"Change Arm 1 Length","")</f>
        <v/>
      </c>
      <c r="L27" s="443"/>
      <c r="M27" s="443"/>
      <c r="N27" s="31"/>
    </row>
    <row r="28" spans="1:14" ht="15" customHeight="1" thickBot="1">
      <c r="A28" s="27"/>
      <c r="B28" s="427" t="s">
        <v>59</v>
      </c>
      <c r="C28" s="428"/>
      <c r="D28" s="370">
        <f>IF(Dimensions!C47=1,"",VLOOKUP(Dimensions!$D$47,'CFI&amp;Designation'!$A$4:$O$11,8))</f>
        <v>216</v>
      </c>
      <c r="E28" s="371">
        <f>IF(Dimensions!C47=1,"",VLOOKUP(Dimensions!D47,'CFI&amp;Designation'!A4:$O$11,15))</f>
        <v>245</v>
      </c>
      <c r="F28" s="437" t="s">
        <v>47</v>
      </c>
      <c r="G28" s="438"/>
      <c r="H28" s="433">
        <f>IF(Dimensions!C47=1,"",'CFI&amp;Designation'!L25)</f>
        <v>115.17415173613115</v>
      </c>
      <c r="I28" s="434"/>
      <c r="J28" s="160"/>
      <c r="K28" s="160"/>
      <c r="L28" s="160"/>
      <c r="M28" s="160"/>
      <c r="N28" s="31"/>
    </row>
    <row r="29" spans="1:14" ht="15" customHeight="1" thickTop="1" thickBot="1">
      <c r="A29" s="30"/>
      <c r="B29" s="441" t="s">
        <v>343</v>
      </c>
      <c r="C29" s="442"/>
      <c r="D29" s="372">
        <f>IF(Dimensions!C47=1,"",0.95*D28)</f>
        <v>205.2</v>
      </c>
      <c r="E29" s="373">
        <f>IF(Dimensions!C47=1,"",0.95*E28)</f>
        <v>232.75</v>
      </c>
      <c r="F29" s="429" t="s">
        <v>53</v>
      </c>
      <c r="G29" s="430"/>
      <c r="H29" s="372">
        <f>IF(Dimensions!C47=1,"",'CFI&amp;Designation'!L29)</f>
        <v>178.03133548615097</v>
      </c>
      <c r="I29" s="373">
        <f>IF(Dimensions!C47=1,"",'CFI&amp;Designation'!M29)</f>
        <v>186.31267607953174</v>
      </c>
      <c r="J29" s="160"/>
      <c r="K29" s="160"/>
      <c r="L29" s="160"/>
      <c r="M29" s="160"/>
      <c r="N29" s="31"/>
    </row>
    <row r="30" spans="1:14" ht="9.9" customHeight="1" thickTop="1" thickBot="1">
      <c r="A30" s="32"/>
      <c r="B30" s="369"/>
      <c r="C30" s="369"/>
      <c r="D30" s="369"/>
      <c r="E30" s="369"/>
      <c r="F30" s="165"/>
      <c r="G30" s="165"/>
      <c r="H30" s="165"/>
      <c r="I30" s="165"/>
      <c r="J30" s="165"/>
      <c r="K30" s="165"/>
      <c r="L30" s="165"/>
      <c r="M30" s="166"/>
      <c r="N30" s="33"/>
    </row>
    <row r="31" spans="1:14" ht="15" customHeight="1" thickBot="1">
      <c r="A31" s="10"/>
      <c r="B31" s="135"/>
      <c r="C31" s="136"/>
      <c r="D31" s="136"/>
      <c r="E31" s="137"/>
      <c r="F31" s="137"/>
      <c r="G31" s="138"/>
      <c r="H31" s="137"/>
      <c r="I31" s="137"/>
      <c r="J31" s="137"/>
      <c r="K31" s="135"/>
      <c r="L31" s="137"/>
      <c r="M31" s="135"/>
      <c r="N31" s="10"/>
    </row>
    <row r="32" spans="1:14">
      <c r="A32" s="10"/>
      <c r="B32" s="310" t="s">
        <v>106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7"/>
    </row>
    <row r="33" spans="1:14">
      <c r="A33" s="10"/>
      <c r="B33" s="313" t="s">
        <v>67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2"/>
    </row>
    <row r="34" spans="1:14">
      <c r="A34" s="10"/>
      <c r="B34" s="313" t="s">
        <v>286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2"/>
    </row>
    <row r="35" spans="1:14">
      <c r="A35" s="10"/>
      <c r="B35" s="313" t="s">
        <v>104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2"/>
    </row>
    <row r="36" spans="1:14">
      <c r="A36" s="10"/>
      <c r="B36" s="395" t="s">
        <v>178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2"/>
    </row>
    <row r="37" spans="1:14">
      <c r="B37" s="395" t="s">
        <v>179</v>
      </c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2"/>
    </row>
    <row r="38" spans="1:14">
      <c r="A38" s="10"/>
      <c r="B38" s="395" t="s">
        <v>105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2"/>
    </row>
    <row r="39" spans="1:14">
      <c r="A39" s="10"/>
      <c r="B39" s="395" t="s">
        <v>103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2"/>
    </row>
    <row r="40" spans="1:14">
      <c r="A40" s="10"/>
      <c r="B40" s="313" t="s">
        <v>327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2"/>
    </row>
    <row r="41" spans="1:14" ht="15" thickBot="1">
      <c r="A41" s="10"/>
      <c r="B41" s="314" t="s">
        <v>124</v>
      </c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6"/>
    </row>
    <row r="42" spans="1:1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protectedRanges>
    <protectedRange sqref="D7:M7 C8:M9 B6:B7 C6:M6" name="Range1"/>
  </protectedRanges>
  <mergeCells count="21">
    <mergeCell ref="D2:K2"/>
    <mergeCell ref="B4:C4"/>
    <mergeCell ref="B28:C28"/>
    <mergeCell ref="F28:G28"/>
    <mergeCell ref="H28:I28"/>
    <mergeCell ref="B25:C25"/>
    <mergeCell ref="F25:G25"/>
    <mergeCell ref="D4:M4"/>
    <mergeCell ref="B8:B11"/>
    <mergeCell ref="B24:C24"/>
    <mergeCell ref="F24:G24"/>
    <mergeCell ref="K24:M24"/>
    <mergeCell ref="K25:M26"/>
    <mergeCell ref="F29:G29"/>
    <mergeCell ref="K27:M27"/>
    <mergeCell ref="B26:C26"/>
    <mergeCell ref="F26:G26"/>
    <mergeCell ref="B27:C27"/>
    <mergeCell ref="F27:G27"/>
    <mergeCell ref="H27:I27"/>
    <mergeCell ref="B29:C29"/>
  </mergeCells>
  <conditionalFormatting sqref="B8:B11">
    <cfRule type="expression" dxfId="21" priority="11">
      <formula>"""if('Sign &amp; Sig. Dim.'!$C$42=1)"""</formula>
    </cfRule>
  </conditionalFormatting>
  <conditionalFormatting sqref="D7">
    <cfRule type="expression" dxfId="20" priority="10">
      <formula>$D$6=1</formula>
    </cfRule>
  </conditionalFormatting>
  <conditionalFormatting sqref="D8:D9">
    <cfRule type="expression" dxfId="19" priority="21">
      <formula>$D$6=5</formula>
    </cfRule>
  </conditionalFormatting>
  <conditionalFormatting sqref="D7:M7">
    <cfRule type="cellIs" dxfId="18" priority="22" operator="lessThan">
      <formula>1</formula>
    </cfRule>
  </conditionalFormatting>
  <conditionalFormatting sqref="E7">
    <cfRule type="expression" dxfId="17" priority="9">
      <formula>$E$6=1</formula>
    </cfRule>
  </conditionalFormatting>
  <conditionalFormatting sqref="E8:E9">
    <cfRule type="expression" dxfId="16" priority="20">
      <formula>$E$6=5</formula>
    </cfRule>
  </conditionalFormatting>
  <conditionalFormatting sqref="F7">
    <cfRule type="expression" dxfId="15" priority="8">
      <formula>$F$6=1</formula>
    </cfRule>
  </conditionalFormatting>
  <conditionalFormatting sqref="F8:F9">
    <cfRule type="expression" dxfId="14" priority="19">
      <formula>$F$6=5</formula>
    </cfRule>
  </conditionalFormatting>
  <conditionalFormatting sqref="G7">
    <cfRule type="expression" dxfId="13" priority="7">
      <formula>$G$6=1</formula>
    </cfRule>
  </conditionalFormatting>
  <conditionalFormatting sqref="G8:G9">
    <cfRule type="expression" dxfId="12" priority="18">
      <formula>$G$6=5</formula>
    </cfRule>
  </conditionalFormatting>
  <conditionalFormatting sqref="H7">
    <cfRule type="expression" dxfId="11" priority="6">
      <formula>$H$6=1</formula>
    </cfRule>
  </conditionalFormatting>
  <conditionalFormatting sqref="H8:H9">
    <cfRule type="expression" dxfId="10" priority="17">
      <formula>$H$6=5</formula>
    </cfRule>
  </conditionalFormatting>
  <conditionalFormatting sqref="I7">
    <cfRule type="expression" dxfId="9" priority="5">
      <formula>$I$6=1</formula>
    </cfRule>
  </conditionalFormatting>
  <conditionalFormatting sqref="I8:I9">
    <cfRule type="expression" dxfId="8" priority="16">
      <formula>$I$6=5</formula>
    </cfRule>
  </conditionalFormatting>
  <conditionalFormatting sqref="J7">
    <cfRule type="expression" dxfId="7" priority="4">
      <formula>$J$6=1</formula>
    </cfRule>
  </conditionalFormatting>
  <conditionalFormatting sqref="J8:J9">
    <cfRule type="expression" dxfId="6" priority="15">
      <formula>$J$6=5</formula>
    </cfRule>
  </conditionalFormatting>
  <conditionalFormatting sqref="K7">
    <cfRule type="expression" dxfId="5" priority="3">
      <formula>$K$6=1</formula>
    </cfRule>
  </conditionalFormatting>
  <conditionalFormatting sqref="K8:K9">
    <cfRule type="expression" dxfId="4" priority="14">
      <formula>$K$6=5</formula>
    </cfRule>
  </conditionalFormatting>
  <conditionalFormatting sqref="L7">
    <cfRule type="expression" dxfId="3" priority="2">
      <formula>$L$6=1</formula>
    </cfRule>
  </conditionalFormatting>
  <conditionalFormatting sqref="L8:L9">
    <cfRule type="expression" dxfId="2" priority="13">
      <formula>$L$6=5</formula>
    </cfRule>
  </conditionalFormatting>
  <conditionalFormatting sqref="M7">
    <cfRule type="expression" dxfId="1" priority="1">
      <formula>$M$6=1</formula>
    </cfRule>
  </conditionalFormatting>
  <conditionalFormatting sqref="M8:M9">
    <cfRule type="expression" dxfId="0" priority="12">
      <formula>$M$6=5</formula>
    </cfRule>
  </conditionalFormatting>
  <pageMargins left="0.7" right="0.7" top="0.75" bottom="0.75" header="0.3" footer="0.3"/>
  <pageSetup scale="73" orientation="landscape" r:id="rId1"/>
  <headerFooter>
    <oddFooter>&amp;L&amp;D&amp;C&amp;F&amp;R&amp;A</oddFooter>
  </headerFooter>
  <ignoredErrors>
    <ignoredError sqref="B6 B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Group Box 2">
              <controlPr defaultSize="0" autoFill="0" autoPict="0">
                <anchor moveWithCells="1">
                  <from>
                    <xdr:col>6</xdr:col>
                    <xdr:colOff>746760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Group Box 3">
              <controlPr defaultSize="0" autoFill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1348740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Option Button 10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5</xdr:row>
                    <xdr:rowOff>76200</xdr:rowOff>
                  </from>
                  <to>
                    <xdr:col>3</xdr:col>
                    <xdr:colOff>655320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Option Button 11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5</xdr:row>
                    <xdr:rowOff>266700</xdr:rowOff>
                  </from>
                  <to>
                    <xdr:col>3</xdr:col>
                    <xdr:colOff>655320</xdr:colOff>
                    <xdr:row>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Option Button 12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5</xdr:row>
                    <xdr:rowOff>464820</xdr:rowOff>
                  </from>
                  <to>
                    <xdr:col>3</xdr:col>
                    <xdr:colOff>655320</xdr:colOff>
                    <xdr:row>5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Option Button 13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5</xdr:row>
                    <xdr:rowOff>670560</xdr:rowOff>
                  </from>
                  <to>
                    <xdr:col>3</xdr:col>
                    <xdr:colOff>655320</xdr:colOff>
                    <xdr:row>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Option Button 14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5</xdr:row>
                    <xdr:rowOff>876300</xdr:rowOff>
                  </from>
                  <to>
                    <xdr:col>3</xdr:col>
                    <xdr:colOff>655320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Option Button 15">
              <controlPr defaultSize="0" autoFill="0" autoLine="0" autoPict="0" altText="None">
                <anchor moveWithCells="1">
                  <from>
                    <xdr:col>4</xdr:col>
                    <xdr:colOff>83820</xdr:colOff>
                    <xdr:row>5</xdr:row>
                    <xdr:rowOff>76200</xdr:rowOff>
                  </from>
                  <to>
                    <xdr:col>4</xdr:col>
                    <xdr:colOff>670560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Option Button 16">
              <controlPr defaultSize="0" autoFill="0" autoLine="0" autoPict="0" altText="3 Head">
                <anchor moveWithCells="1">
                  <from>
                    <xdr:col>4</xdr:col>
                    <xdr:colOff>83820</xdr:colOff>
                    <xdr:row>5</xdr:row>
                    <xdr:rowOff>266700</xdr:rowOff>
                  </from>
                  <to>
                    <xdr:col>4</xdr:col>
                    <xdr:colOff>670560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Option Button 17">
              <controlPr defaultSize="0" autoFill="0" autoLine="0" autoPict="0" altText="4 Head">
                <anchor moveWithCells="1">
                  <from>
                    <xdr:col>4</xdr:col>
                    <xdr:colOff>83820</xdr:colOff>
                    <xdr:row>5</xdr:row>
                    <xdr:rowOff>472440</xdr:rowOff>
                  </from>
                  <to>
                    <xdr:col>4</xdr:col>
                    <xdr:colOff>670560</xdr:colOff>
                    <xdr:row>5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Option Button 18">
              <controlPr defaultSize="0" autoFill="0" autoLine="0" autoPict="0" altText="5 Head">
                <anchor moveWithCells="1">
                  <from>
                    <xdr:col>4</xdr:col>
                    <xdr:colOff>83820</xdr:colOff>
                    <xdr:row>5</xdr:row>
                    <xdr:rowOff>670560</xdr:rowOff>
                  </from>
                  <to>
                    <xdr:col>4</xdr:col>
                    <xdr:colOff>670560</xdr:colOff>
                    <xdr:row>5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Option Button 19">
              <controlPr defaultSize="0" autoFill="0" autoLine="0" autoPict="0" altText="Dog House">
                <anchor moveWithCells="1">
                  <from>
                    <xdr:col>4</xdr:col>
                    <xdr:colOff>83820</xdr:colOff>
                    <xdr:row>5</xdr:row>
                    <xdr:rowOff>883920</xdr:rowOff>
                  </from>
                  <to>
                    <xdr:col>4</xdr:col>
                    <xdr:colOff>670560</xdr:colOff>
                    <xdr:row>5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Option Button 20">
              <controlPr defaultSize="0" autoFill="0" autoLine="0" autoPict="0" altText="None">
                <anchor moveWithCells="1">
                  <from>
                    <xdr:col>5</xdr:col>
                    <xdr:colOff>83820</xdr:colOff>
                    <xdr:row>5</xdr:row>
                    <xdr:rowOff>76200</xdr:rowOff>
                  </from>
                  <to>
                    <xdr:col>5</xdr:col>
                    <xdr:colOff>678180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Option Button 21">
              <controlPr defaultSize="0" autoFill="0" autoLine="0" autoPict="0" altText="3 Head">
                <anchor moveWithCells="1">
                  <from>
                    <xdr:col>5</xdr:col>
                    <xdr:colOff>83820</xdr:colOff>
                    <xdr:row>5</xdr:row>
                    <xdr:rowOff>266700</xdr:rowOff>
                  </from>
                  <to>
                    <xdr:col>5</xdr:col>
                    <xdr:colOff>678180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Option Button 22">
              <controlPr defaultSize="0" autoFill="0" autoLine="0" autoPict="0" altText="4 Head">
                <anchor moveWithCells="1">
                  <from>
                    <xdr:col>5</xdr:col>
                    <xdr:colOff>83820</xdr:colOff>
                    <xdr:row>5</xdr:row>
                    <xdr:rowOff>472440</xdr:rowOff>
                  </from>
                  <to>
                    <xdr:col>5</xdr:col>
                    <xdr:colOff>678180</xdr:colOff>
                    <xdr:row>5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Option Button 23">
              <controlPr defaultSize="0" autoFill="0" autoLine="0" autoPict="0" altText="5 Head">
                <anchor moveWithCells="1">
                  <from>
                    <xdr:col>5</xdr:col>
                    <xdr:colOff>83820</xdr:colOff>
                    <xdr:row>5</xdr:row>
                    <xdr:rowOff>670560</xdr:rowOff>
                  </from>
                  <to>
                    <xdr:col>5</xdr:col>
                    <xdr:colOff>678180</xdr:colOff>
                    <xdr:row>5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 altText="Dog House">
                <anchor moveWithCells="1">
                  <from>
                    <xdr:col>5</xdr:col>
                    <xdr:colOff>83820</xdr:colOff>
                    <xdr:row>5</xdr:row>
                    <xdr:rowOff>883920</xdr:rowOff>
                  </from>
                  <to>
                    <xdr:col>5</xdr:col>
                    <xdr:colOff>678180</xdr:colOff>
                    <xdr:row>5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 altText="None">
                <anchor moveWithCells="1">
                  <from>
                    <xdr:col>6</xdr:col>
                    <xdr:colOff>99060</xdr:colOff>
                    <xdr:row>5</xdr:row>
                    <xdr:rowOff>76200</xdr:rowOff>
                  </from>
                  <to>
                    <xdr:col>6</xdr:col>
                    <xdr:colOff>678180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Option Button 26">
              <controlPr defaultSize="0" autoFill="0" autoLine="0" autoPict="0" altText="3 Head">
                <anchor moveWithCells="1">
                  <from>
                    <xdr:col>6</xdr:col>
                    <xdr:colOff>99060</xdr:colOff>
                    <xdr:row>5</xdr:row>
                    <xdr:rowOff>266700</xdr:rowOff>
                  </from>
                  <to>
                    <xdr:col>6</xdr:col>
                    <xdr:colOff>678180</xdr:colOff>
                    <xdr:row>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Option Button 27">
              <controlPr defaultSize="0" autoFill="0" autoLine="0" autoPict="0" altText="4 Head">
                <anchor moveWithCells="1">
                  <from>
                    <xdr:col>6</xdr:col>
                    <xdr:colOff>99060</xdr:colOff>
                    <xdr:row>5</xdr:row>
                    <xdr:rowOff>464820</xdr:rowOff>
                  </from>
                  <to>
                    <xdr:col>6</xdr:col>
                    <xdr:colOff>678180</xdr:colOff>
                    <xdr:row>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Option Button 28">
              <controlPr defaultSize="0" autoFill="0" autoLine="0" autoPict="0" altText="5 Head">
                <anchor moveWithCells="1">
                  <from>
                    <xdr:col>6</xdr:col>
                    <xdr:colOff>99060</xdr:colOff>
                    <xdr:row>5</xdr:row>
                    <xdr:rowOff>662940</xdr:rowOff>
                  </from>
                  <to>
                    <xdr:col>6</xdr:col>
                    <xdr:colOff>678180</xdr:colOff>
                    <xdr:row>5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Option Button 29">
              <controlPr defaultSize="0" autoFill="0" autoLine="0" autoPict="0" altText="Dog House">
                <anchor moveWithCells="1">
                  <from>
                    <xdr:col>6</xdr:col>
                    <xdr:colOff>99060</xdr:colOff>
                    <xdr:row>5</xdr:row>
                    <xdr:rowOff>861060</xdr:rowOff>
                  </from>
                  <to>
                    <xdr:col>6</xdr:col>
                    <xdr:colOff>678180</xdr:colOff>
                    <xdr:row>5</xdr:row>
                    <xdr:rowOff>1127760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Group Box 30">
              <controlPr defaultSize="0" autoFill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7" name="Group Box 31">
              <controlPr defaultSize="0" autoFill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746760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8" name="Group Box 32">
              <controlPr defaultSize="0" autoFill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9" name="Option Button 33">
              <controlPr defaultSize="0" autoFill="0" autoLine="0" autoPict="0" altText="None">
                <anchor moveWithCells="1">
                  <from>
                    <xdr:col>7</xdr:col>
                    <xdr:colOff>83820</xdr:colOff>
                    <xdr:row>5</xdr:row>
                    <xdr:rowOff>76200</xdr:rowOff>
                  </from>
                  <to>
                    <xdr:col>7</xdr:col>
                    <xdr:colOff>678180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0" name="Option Button 34">
              <controlPr defaultSize="0" autoFill="0" autoLine="0" autoPict="0" altText="3 Head">
                <anchor moveWithCells="1">
                  <from>
                    <xdr:col>7</xdr:col>
                    <xdr:colOff>83820</xdr:colOff>
                    <xdr:row>5</xdr:row>
                    <xdr:rowOff>266700</xdr:rowOff>
                  </from>
                  <to>
                    <xdr:col>7</xdr:col>
                    <xdr:colOff>678180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1" name="Option Button 35">
              <controlPr defaultSize="0" autoFill="0" autoLine="0" autoPict="0" altText="4 Head">
                <anchor moveWithCells="1">
                  <from>
                    <xdr:col>7</xdr:col>
                    <xdr:colOff>83820</xdr:colOff>
                    <xdr:row>5</xdr:row>
                    <xdr:rowOff>464820</xdr:rowOff>
                  </from>
                  <to>
                    <xdr:col>7</xdr:col>
                    <xdr:colOff>678180</xdr:colOff>
                    <xdr:row>5</xdr:row>
                    <xdr:rowOff>693420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2" name="Option Button 36">
              <controlPr defaultSize="0" autoFill="0" autoLine="0" autoPict="0" altText="5 Head">
                <anchor moveWithCells="1">
                  <from>
                    <xdr:col>7</xdr:col>
                    <xdr:colOff>83820</xdr:colOff>
                    <xdr:row>5</xdr:row>
                    <xdr:rowOff>662940</xdr:rowOff>
                  </from>
                  <to>
                    <xdr:col>7</xdr:col>
                    <xdr:colOff>678180</xdr:colOff>
                    <xdr:row>5</xdr:row>
                    <xdr:rowOff>891540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3" name="Option Button 37">
              <controlPr defaultSize="0" autoFill="0" autoLine="0" autoPict="0" altText="Dog House">
                <anchor moveWithCells="1">
                  <from>
                    <xdr:col>7</xdr:col>
                    <xdr:colOff>83820</xdr:colOff>
                    <xdr:row>5</xdr:row>
                    <xdr:rowOff>861060</xdr:rowOff>
                  </from>
                  <to>
                    <xdr:col>7</xdr:col>
                    <xdr:colOff>678180</xdr:colOff>
                    <xdr:row>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4" name="Group Box 38">
              <controlPr defaultSize="0" autoFill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Option Button 39">
              <controlPr defaultSize="0" autoFill="0" autoLine="0" autoPict="0" altText="None">
                <anchor moveWithCells="1">
                  <from>
                    <xdr:col>8</xdr:col>
                    <xdr:colOff>83820</xdr:colOff>
                    <xdr:row>5</xdr:row>
                    <xdr:rowOff>68580</xdr:rowOff>
                  </from>
                  <to>
                    <xdr:col>8</xdr:col>
                    <xdr:colOff>670560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Option Button 40">
              <controlPr defaultSize="0" autoFill="0" autoLine="0" autoPict="0" altText="3 Head">
                <anchor moveWithCells="1">
                  <from>
                    <xdr:col>8</xdr:col>
                    <xdr:colOff>83820</xdr:colOff>
                    <xdr:row>5</xdr:row>
                    <xdr:rowOff>259080</xdr:rowOff>
                  </from>
                  <to>
                    <xdr:col>8</xdr:col>
                    <xdr:colOff>662940</xdr:colOff>
                    <xdr:row>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7" name="Option Button 41">
              <controlPr defaultSize="0" autoFill="0" autoLine="0" autoPict="0" altText="4 Head">
                <anchor moveWithCells="1">
                  <from>
                    <xdr:col>8</xdr:col>
                    <xdr:colOff>83820</xdr:colOff>
                    <xdr:row>5</xdr:row>
                    <xdr:rowOff>464820</xdr:rowOff>
                  </from>
                  <to>
                    <xdr:col>8</xdr:col>
                    <xdr:colOff>670560</xdr:colOff>
                    <xdr:row>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8" name="Option Button 42">
              <controlPr defaultSize="0" autoFill="0" autoLine="0" autoPict="0" altText="5 Head">
                <anchor moveWithCells="1">
                  <from>
                    <xdr:col>8</xdr:col>
                    <xdr:colOff>83820</xdr:colOff>
                    <xdr:row>5</xdr:row>
                    <xdr:rowOff>670560</xdr:rowOff>
                  </from>
                  <to>
                    <xdr:col>8</xdr:col>
                    <xdr:colOff>670560</xdr:colOff>
                    <xdr:row>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9" name="Option Button 43">
              <controlPr defaultSize="0" autoFill="0" autoLine="0" autoPict="0" altText="Dog House">
                <anchor moveWithCells="1">
                  <from>
                    <xdr:col>8</xdr:col>
                    <xdr:colOff>83820</xdr:colOff>
                    <xdr:row>5</xdr:row>
                    <xdr:rowOff>876300</xdr:rowOff>
                  </from>
                  <to>
                    <xdr:col>8</xdr:col>
                    <xdr:colOff>670560</xdr:colOff>
                    <xdr:row>5</xdr:row>
                    <xdr:rowOff>1089660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0" name="Group Box 44">
              <controlPr defaultSize="0" autoFill="0" autoPict="0">
                <anchor moveWithCells="1">
                  <from>
                    <xdr:col>9</xdr:col>
                    <xdr:colOff>0</xdr:colOff>
                    <xdr:row>4</xdr:row>
                    <xdr:rowOff>381000</xdr:rowOff>
                  </from>
                  <to>
                    <xdr:col>9</xdr:col>
                    <xdr:colOff>739140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1" name="Option Button 45">
              <controlPr defaultSize="0" autoFill="0" autoLine="0" autoPict="0" altText="None">
                <anchor moveWithCells="1">
                  <from>
                    <xdr:col>9</xdr:col>
                    <xdr:colOff>83820</xdr:colOff>
                    <xdr:row>5</xdr:row>
                    <xdr:rowOff>76200</xdr:rowOff>
                  </from>
                  <to>
                    <xdr:col>9</xdr:col>
                    <xdr:colOff>647700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2" name="Option Button 46">
              <controlPr defaultSize="0" autoFill="0" autoLine="0" autoPict="0" altText="3 Head">
                <anchor moveWithCells="1">
                  <from>
                    <xdr:col>9</xdr:col>
                    <xdr:colOff>83820</xdr:colOff>
                    <xdr:row>5</xdr:row>
                    <xdr:rowOff>266700</xdr:rowOff>
                  </from>
                  <to>
                    <xdr:col>9</xdr:col>
                    <xdr:colOff>647700</xdr:colOff>
                    <xdr:row>5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3" name="Option Button 47">
              <controlPr defaultSize="0" autoFill="0" autoLine="0" autoPict="0" altText="4 Head">
                <anchor moveWithCells="1">
                  <from>
                    <xdr:col>9</xdr:col>
                    <xdr:colOff>83820</xdr:colOff>
                    <xdr:row>5</xdr:row>
                    <xdr:rowOff>464820</xdr:rowOff>
                  </from>
                  <to>
                    <xdr:col>9</xdr:col>
                    <xdr:colOff>647700</xdr:colOff>
                    <xdr:row>5</xdr:row>
                    <xdr:rowOff>701040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4" name="Option Button 48">
              <controlPr defaultSize="0" autoFill="0" autoLine="0" autoPict="0" altText="5 Head">
                <anchor moveWithCells="1">
                  <from>
                    <xdr:col>9</xdr:col>
                    <xdr:colOff>83820</xdr:colOff>
                    <xdr:row>5</xdr:row>
                    <xdr:rowOff>662940</xdr:rowOff>
                  </from>
                  <to>
                    <xdr:col>9</xdr:col>
                    <xdr:colOff>647700</xdr:colOff>
                    <xdr:row>5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5" name="Option Button 49">
              <controlPr defaultSize="0" autoFill="0" autoLine="0" autoPict="0" altText="Dog House">
                <anchor moveWithCells="1">
                  <from>
                    <xdr:col>9</xdr:col>
                    <xdr:colOff>83820</xdr:colOff>
                    <xdr:row>5</xdr:row>
                    <xdr:rowOff>861060</xdr:rowOff>
                  </from>
                  <to>
                    <xdr:col>9</xdr:col>
                    <xdr:colOff>647700</xdr:colOff>
                    <xdr:row>5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6" name="Group Box 50">
              <controlPr defaultSize="0" autoFill="0" autoPict="0">
                <anchor moveWithCells="1">
                  <from>
                    <xdr:col>9</xdr:col>
                    <xdr:colOff>754380</xdr:colOff>
                    <xdr:row>5</xdr:row>
                    <xdr:rowOff>0</xdr:rowOff>
                  </from>
                  <to>
                    <xdr:col>10</xdr:col>
                    <xdr:colOff>746760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7" name="Option Button 51">
              <controlPr defaultSize="0" autoFill="0" autoLine="0" autoPict="0" altText="None">
                <anchor moveWithCells="1">
                  <from>
                    <xdr:col>10</xdr:col>
                    <xdr:colOff>106680</xdr:colOff>
                    <xdr:row>5</xdr:row>
                    <xdr:rowOff>60960</xdr:rowOff>
                  </from>
                  <to>
                    <xdr:col>10</xdr:col>
                    <xdr:colOff>662940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8" name="Option Button 52">
              <controlPr defaultSize="0" autoFill="0" autoLine="0" autoPict="0" altText="3 Head">
                <anchor moveWithCells="1">
                  <from>
                    <xdr:col>10</xdr:col>
                    <xdr:colOff>99060</xdr:colOff>
                    <xdr:row>5</xdr:row>
                    <xdr:rowOff>289560</xdr:rowOff>
                  </from>
                  <to>
                    <xdr:col>10</xdr:col>
                    <xdr:colOff>662940</xdr:colOff>
                    <xdr:row>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9" name="Option Button 53">
              <controlPr defaultSize="0" autoFill="0" autoLine="0" autoPict="0" altText="4 Head">
                <anchor moveWithCells="1">
                  <from>
                    <xdr:col>10</xdr:col>
                    <xdr:colOff>99060</xdr:colOff>
                    <xdr:row>5</xdr:row>
                    <xdr:rowOff>480060</xdr:rowOff>
                  </from>
                  <to>
                    <xdr:col>10</xdr:col>
                    <xdr:colOff>670560</xdr:colOff>
                    <xdr:row>5</xdr:row>
                    <xdr:rowOff>701040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0" name="Option Button 54">
              <controlPr defaultSize="0" autoFill="0" autoLine="0" autoPict="0" altText="5 Head">
                <anchor moveWithCells="1">
                  <from>
                    <xdr:col>10</xdr:col>
                    <xdr:colOff>99060</xdr:colOff>
                    <xdr:row>5</xdr:row>
                    <xdr:rowOff>678180</xdr:rowOff>
                  </from>
                  <to>
                    <xdr:col>10</xdr:col>
                    <xdr:colOff>670560</xdr:colOff>
                    <xdr:row>5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1" name="Option Button 55">
              <controlPr defaultSize="0" autoFill="0" autoLine="0" autoPict="0" altText="Dog House">
                <anchor moveWithCells="1">
                  <from>
                    <xdr:col>10</xdr:col>
                    <xdr:colOff>99060</xdr:colOff>
                    <xdr:row>5</xdr:row>
                    <xdr:rowOff>861060</xdr:rowOff>
                  </from>
                  <to>
                    <xdr:col>10</xdr:col>
                    <xdr:colOff>678180</xdr:colOff>
                    <xdr:row>5</xdr:row>
                    <xdr:rowOff>1120140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2" name="Option Button 56">
              <controlPr defaultSize="0" autoFill="0" autoLine="0" autoPict="0" altText="3 Head">
                <anchor moveWithCells="1">
                  <from>
                    <xdr:col>11</xdr:col>
                    <xdr:colOff>68580</xdr:colOff>
                    <xdr:row>5</xdr:row>
                    <xdr:rowOff>68580</xdr:rowOff>
                  </from>
                  <to>
                    <xdr:col>11</xdr:col>
                    <xdr:colOff>655320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3" name="Option Button 57">
              <controlPr defaultSize="0" autoFill="0" autoLine="0" autoPict="0" altText="4 Head">
                <anchor moveWithCells="1">
                  <from>
                    <xdr:col>11</xdr:col>
                    <xdr:colOff>68580</xdr:colOff>
                    <xdr:row>5</xdr:row>
                    <xdr:rowOff>266700</xdr:rowOff>
                  </from>
                  <to>
                    <xdr:col>11</xdr:col>
                    <xdr:colOff>655320</xdr:colOff>
                    <xdr:row>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4" name="Option Button 58">
              <controlPr defaultSize="0" autoFill="0" autoLine="0" autoPict="0" altText="5 Head">
                <anchor moveWithCells="1">
                  <from>
                    <xdr:col>11</xdr:col>
                    <xdr:colOff>68580</xdr:colOff>
                    <xdr:row>5</xdr:row>
                    <xdr:rowOff>464820</xdr:rowOff>
                  </from>
                  <to>
                    <xdr:col>11</xdr:col>
                    <xdr:colOff>655320</xdr:colOff>
                    <xdr:row>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5" name="Option Button 59">
              <controlPr defaultSize="0" autoFill="0" autoLine="0" autoPict="0" altText="Dog House">
                <anchor moveWithCells="1">
                  <from>
                    <xdr:col>11</xdr:col>
                    <xdr:colOff>68580</xdr:colOff>
                    <xdr:row>5</xdr:row>
                    <xdr:rowOff>655320</xdr:rowOff>
                  </from>
                  <to>
                    <xdr:col>11</xdr:col>
                    <xdr:colOff>655320</xdr:colOff>
                    <xdr:row>5</xdr:row>
                    <xdr:rowOff>929640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6" name="Option Button 60">
              <controlPr defaultSize="0" autoFill="0" autoLine="0" autoPict="0" altText="None">
                <anchor moveWithCells="1">
                  <from>
                    <xdr:col>11</xdr:col>
                    <xdr:colOff>68580</xdr:colOff>
                    <xdr:row>5</xdr:row>
                    <xdr:rowOff>868680</xdr:rowOff>
                  </from>
                  <to>
                    <xdr:col>11</xdr:col>
                    <xdr:colOff>655320</xdr:colOff>
                    <xdr:row>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7" name="Group Box 61">
              <controlPr defaultSize="0" autoFill="0" autoPict="0">
                <anchor moveWithCells="1">
                  <from>
                    <xdr:col>11</xdr:col>
                    <xdr:colOff>746760</xdr:colOff>
                    <xdr:row>4</xdr:row>
                    <xdr:rowOff>381000</xdr:rowOff>
                  </from>
                  <to>
                    <xdr:col>12</xdr:col>
                    <xdr:colOff>777240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8" name="Option Button 62">
              <controlPr defaultSize="0" autoFill="0" autoLine="0" autoPict="0" altText="None">
                <anchor moveWithCells="1">
                  <from>
                    <xdr:col>12</xdr:col>
                    <xdr:colOff>99060</xdr:colOff>
                    <xdr:row>5</xdr:row>
                    <xdr:rowOff>45720</xdr:rowOff>
                  </from>
                  <to>
                    <xdr:col>12</xdr:col>
                    <xdr:colOff>655320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Option Button 63">
              <controlPr defaultSize="0" autoFill="0" autoLine="0" autoPict="0" altText="3 Head">
                <anchor moveWithCells="1">
                  <from>
                    <xdr:col>12</xdr:col>
                    <xdr:colOff>99060</xdr:colOff>
                    <xdr:row>5</xdr:row>
                    <xdr:rowOff>243840</xdr:rowOff>
                  </from>
                  <to>
                    <xdr:col>12</xdr:col>
                    <xdr:colOff>655320</xdr:colOff>
                    <xdr:row>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Option Button 64">
              <controlPr defaultSize="0" autoFill="0" autoLine="0" autoPict="0" altText="4 Head">
                <anchor moveWithCells="1">
                  <from>
                    <xdr:col>12</xdr:col>
                    <xdr:colOff>99060</xdr:colOff>
                    <xdr:row>5</xdr:row>
                    <xdr:rowOff>449580</xdr:rowOff>
                  </from>
                  <to>
                    <xdr:col>12</xdr:col>
                    <xdr:colOff>655320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Option Button 65">
              <controlPr defaultSize="0" autoFill="0" autoLine="0" autoPict="0" altText="5 Head">
                <anchor moveWithCells="1">
                  <from>
                    <xdr:col>12</xdr:col>
                    <xdr:colOff>99060</xdr:colOff>
                    <xdr:row>5</xdr:row>
                    <xdr:rowOff>647700</xdr:rowOff>
                  </from>
                  <to>
                    <xdr:col>12</xdr:col>
                    <xdr:colOff>655320</xdr:colOff>
                    <xdr:row>5</xdr:row>
                    <xdr:rowOff>891540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2" name="Option Button 66">
              <controlPr defaultSize="0" autoFill="0" autoLine="0" autoPict="0" altText="Dog House">
                <anchor moveWithCells="1">
                  <from>
                    <xdr:col>12</xdr:col>
                    <xdr:colOff>99060</xdr:colOff>
                    <xdr:row>5</xdr:row>
                    <xdr:rowOff>853440</xdr:rowOff>
                  </from>
                  <to>
                    <xdr:col>12</xdr:col>
                    <xdr:colOff>655320</xdr:colOff>
                    <xdr:row>5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3" name="Group Box 67">
              <controlPr defaultSize="0" autoFill="0" autoPict="0">
                <anchor moveWithCells="1">
                  <from>
                    <xdr:col>2</xdr:col>
                    <xdr:colOff>236220</xdr:colOff>
                    <xdr:row>5</xdr:row>
                    <xdr:rowOff>60960</xdr:rowOff>
                  </from>
                  <to>
                    <xdr:col>2</xdr:col>
                    <xdr:colOff>1021080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4" name="List Box 68">
              <controlPr locked="0" defaultSize="0" autoLine="0" autoPict="0">
                <anchor moveWithCells="1">
                  <from>
                    <xdr:col>2</xdr:col>
                    <xdr:colOff>350520</xdr:colOff>
                    <xdr:row>5</xdr:row>
                    <xdr:rowOff>220980</xdr:rowOff>
                  </from>
                  <to>
                    <xdr:col>2</xdr:col>
                    <xdr:colOff>883920</xdr:colOff>
                    <xdr:row>5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5" name="Group Box 73">
              <controlPr defaultSize="0" autoFill="0" autoPict="0">
                <anchor moveWithCells="1">
                  <from>
                    <xdr:col>10</xdr:col>
                    <xdr:colOff>746760</xdr:colOff>
                    <xdr:row>5</xdr:row>
                    <xdr:rowOff>0</xdr:rowOff>
                  </from>
                  <to>
                    <xdr:col>12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K32"/>
  <sheetViews>
    <sheetView zoomScale="75" zoomScaleNormal="75" workbookViewId="0"/>
  </sheetViews>
  <sheetFormatPr defaultColWidth="9.109375" defaultRowHeight="14.4"/>
  <cols>
    <col min="2" max="2" width="6.6640625" customWidth="1"/>
    <col min="3" max="3" width="10.6640625" customWidth="1"/>
    <col min="4" max="6" width="7.6640625" customWidth="1"/>
    <col min="7" max="7" width="5.6640625" customWidth="1"/>
    <col min="8" max="8" width="7.6640625" customWidth="1"/>
    <col min="9" max="10" width="5.6640625" customWidth="1"/>
    <col min="11" max="11" width="10" bestFit="1" customWidth="1"/>
    <col min="12" max="13" width="5.6640625" customWidth="1"/>
    <col min="14" max="23" width="19.6640625" style="3" customWidth="1"/>
    <col min="24" max="24" width="37.5546875" customWidth="1"/>
    <col min="25" max="35" width="5.6640625" customWidth="1"/>
    <col min="36" max="36" width="32" customWidth="1"/>
  </cols>
  <sheetData>
    <row r="1" spans="1:37" ht="237" customHeight="1" thickBo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  <c r="O1" s="74"/>
      <c r="P1" s="74"/>
      <c r="Q1" s="74"/>
      <c r="R1" s="74"/>
      <c r="S1" s="74"/>
      <c r="T1" s="74"/>
      <c r="U1" s="74"/>
      <c r="V1" s="74"/>
      <c r="W1" s="74"/>
      <c r="X1" s="73"/>
      <c r="Y1" s="73"/>
      <c r="Z1" s="73"/>
      <c r="AA1" s="73"/>
    </row>
    <row r="2" spans="1:37" ht="35.1" customHeight="1" thickBot="1">
      <c r="A2" s="461" t="s">
        <v>211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8"/>
      <c r="N2" s="467" t="s">
        <v>249</v>
      </c>
      <c r="O2" s="456"/>
      <c r="P2" s="456"/>
      <c r="Q2" s="456"/>
      <c r="R2" s="456"/>
      <c r="S2" s="456"/>
      <c r="T2" s="456"/>
      <c r="U2" s="456"/>
      <c r="V2" s="456"/>
      <c r="W2" s="456"/>
      <c r="X2" s="455" t="s">
        <v>223</v>
      </c>
      <c r="Y2" s="456"/>
      <c r="Z2" s="456"/>
      <c r="AA2" s="457"/>
      <c r="AK2" s="71"/>
    </row>
    <row r="3" spans="1:37" ht="118.5" customHeight="1" thickBot="1">
      <c r="A3" s="75" t="s">
        <v>169</v>
      </c>
      <c r="B3" s="76" t="s">
        <v>208</v>
      </c>
      <c r="C3" s="77" t="s">
        <v>176</v>
      </c>
      <c r="D3" s="76" t="s">
        <v>210</v>
      </c>
      <c r="E3" s="76" t="s">
        <v>212</v>
      </c>
      <c r="F3" s="76" t="s">
        <v>171</v>
      </c>
      <c r="G3" s="76" t="s">
        <v>209</v>
      </c>
      <c r="H3" s="76" t="s">
        <v>225</v>
      </c>
      <c r="I3" s="76" t="s">
        <v>321</v>
      </c>
      <c r="J3" s="76" t="s">
        <v>226</v>
      </c>
      <c r="K3" s="76" t="s">
        <v>278</v>
      </c>
      <c r="L3" s="76" t="s">
        <v>227</v>
      </c>
      <c r="M3" s="78" t="s">
        <v>170</v>
      </c>
      <c r="N3" s="77" t="s">
        <v>222</v>
      </c>
      <c r="O3" s="77" t="s">
        <v>221</v>
      </c>
      <c r="P3" s="77" t="s">
        <v>220</v>
      </c>
      <c r="Q3" s="77" t="s">
        <v>219</v>
      </c>
      <c r="R3" s="77" t="s">
        <v>218</v>
      </c>
      <c r="S3" s="77" t="s">
        <v>217</v>
      </c>
      <c r="T3" s="77" t="s">
        <v>216</v>
      </c>
      <c r="U3" s="77" t="s">
        <v>215</v>
      </c>
      <c r="V3" s="77" t="s">
        <v>214</v>
      </c>
      <c r="W3" s="79" t="s">
        <v>213</v>
      </c>
      <c r="X3" s="75" t="s">
        <v>253</v>
      </c>
      <c r="Y3" s="76" t="s">
        <v>255</v>
      </c>
      <c r="Z3" s="76" t="s">
        <v>256</v>
      </c>
      <c r="AA3" s="78" t="s">
        <v>257</v>
      </c>
      <c r="AK3" s="6"/>
    </row>
    <row r="4" spans="1:37" ht="32.1" customHeight="1">
      <c r="A4" s="119"/>
      <c r="B4" s="120"/>
      <c r="C4" s="121"/>
      <c r="D4" s="122"/>
      <c r="E4" s="122"/>
      <c r="F4" s="123"/>
      <c r="G4" s="123"/>
      <c r="H4" s="117" t="str">
        <f>IF(Dimensions!$C$45=1,"Vert.","Horiz.")</f>
        <v>Vert.</v>
      </c>
      <c r="I4" s="117" t="str">
        <f>IF(Dimensions!$C$49=2,"No",IF(Dimensions!$C$49=1,"6 in","2.5in"))</f>
        <v>6 in</v>
      </c>
      <c r="J4" s="117" t="str">
        <f>IF(Dimensions!$C$50=1,"No","Yes")</f>
        <v>No</v>
      </c>
      <c r="K4" s="117"/>
      <c r="L4" s="109">
        <v>1</v>
      </c>
      <c r="M4" s="110">
        <f>Dimensions!$D$46</f>
        <v>60</v>
      </c>
      <c r="N4" s="80" t="str">
        <f>IF(Arm1Design!$D$6=1,"","Dist="&amp;Arm1Design!$D$7&amp;"'"&amp;CHAR(10)&amp;IF(Arm1Design!$D$6=2,"Signal: 3 Head",IF(Arm1Design!$D$6=3,"Signal: 4 Head",IF(Arm1Design!$D$6=4,"Signal: 5 Head","Sign: "&amp;Arm1Design!$D$8/12&amp;"'"&amp;"x"&amp;Arm1Design!$D$9/12&amp;"'"))))</f>
        <v/>
      </c>
      <c r="O4" s="81" t="str">
        <f>IF(Arm1Design!$E$6=1,"","Dist="&amp;Arm1Design!$E$7&amp;"'"&amp;CHAR(10)&amp;IF(Arm1Design!$E$6=2,"Signal: 3 Head",IF(Arm1Design!$E$6=3,"Signal: 4 Head",IF(Arm1Design!$E$6=4,"Signal: 5 Head","Sign: "&amp;Arm1Design!$E$8/12&amp;"'"&amp;"x"&amp;Arm1Design!$E$9/12&amp;"'"))))</f>
        <v/>
      </c>
      <c r="P4" s="81" t="str">
        <f>IF(Arm1Design!$F$6=1,"","Dist="&amp;Arm1Design!$F$7&amp;"'"&amp;CHAR(10)&amp;IF(Arm1Design!$F$6=2,"Signal: 3 Head",IF(Arm1Design!$F$6=3,"Signal: 4 Head",IF(Arm1Design!$F$6=4,"Signal: 5 Head","Sign: "&amp;Arm1Design!$F$8/12&amp;"'"&amp;"x"&amp;Arm1Design!$F$9/12&amp;"'"))))</f>
        <v/>
      </c>
      <c r="Q4" s="81" t="str">
        <f>IF(Arm1Design!$G$6=1,"","Dist="&amp;Arm1Design!$G$7&amp;"'"&amp;CHAR(10)&amp;IF(Arm1Design!$G$6=2,"Signal: 3 Head",IF(Arm1Design!$G$6=3,"Signal: 4 Head",IF(Arm1Design!$G$6=4,"Signal: 5 Head","Sign: "&amp;Arm1Design!$G$8/12&amp;"'"&amp;"x"&amp;Arm1Design!$G$9/12&amp;"'"))))</f>
        <v/>
      </c>
      <c r="R4" s="81" t="str">
        <f>IF(Arm1Design!$H$6=1,"","Dist="&amp;Arm1Design!$H$7&amp;"'"&amp;CHAR(10)&amp;IF(Arm1Design!$H$6=2,"Signal: 3 Head",IF(Arm1Design!$H$6=3,"Signal: 4 Head",IF(Arm1Design!$H$6=4,"Signal: 5 Head","Sign: "&amp;Arm1Design!$H$8/12&amp;"'"&amp;"x"&amp;Arm1Design!$H$9/12&amp;"'"))))</f>
        <v>Dist=59'
Signal: 5 Head</v>
      </c>
      <c r="S4" s="81" t="str">
        <f>IF(Arm1Design!$I$6=1,"","Dist="&amp;Arm1Design!$I$7&amp;"'"&amp;CHAR(10)&amp;IF(Arm1Design!$I$6=2,"Signal: 3 Head",IF(Arm1Design!$I$6=3,"Signal: 4 Head",IF(Arm1Design!$I$6=4,"Signal: 5 Head","Sign: "&amp;Arm1Design!$I$8/12&amp;"'"&amp;"x"&amp;Arm1Design!$I$9/12&amp;"'"))))</f>
        <v>Dist=55'
Sign: 3'x3'</v>
      </c>
      <c r="T4" s="81" t="str">
        <f>IF(Arm1Design!$J$6=1,"","Dist="&amp;Arm1Design!$J$7&amp;"'"&amp;CHAR(10)&amp;IF(Arm1Design!$J$6=2,"Signal: 3 Head",IF(Arm1Design!$J$6=3,"Signal: 4 Head",IF(Arm1Design!$J$6=4,"Signal: 5 Head","Sign: "&amp;Arm1Design!$J$8/12&amp;"'"&amp;"x"&amp;Arm1Design!$J$9/12&amp;"'"))))</f>
        <v>Dist=46'
Sign: 5'x3'</v>
      </c>
      <c r="U4" s="81" t="str">
        <f>IF(Arm1Design!$K$6=1,"","Dist="&amp;Arm1Design!$K$7&amp;"'"&amp;CHAR(10)&amp;IF(Arm1Design!$K$6=2,"Signal: 3 Head",IF(Arm1Design!$K$6=3,"Signal: 4 Head",IF(Arm1Design!$K$6=4,"Signal: 5 Head","Sign: "&amp;Arm1Design!$K$8/12&amp;"'"&amp;"x"&amp;Arm1Design!$K$9/12&amp;"'"))))</f>
        <v>Dist=34'
Signal: 3 Head</v>
      </c>
      <c r="V4" s="81" t="str">
        <f>IF(Arm1Design!$L$6=1,"","Dist="&amp;Arm1Design!$L$7&amp;"'"&amp;CHAR(10)&amp;IF(Arm1Design!$L$6=2,"Signal: 3 Head",IF(Arm1Design!$L$6=3,"Signal: 4 Head",IF(Arm1Design!$L$6=4,"Signal: 5 Head","Sign: "&amp;Arm1Design!$L$8/12&amp;"'"&amp;"x"&amp;Arm1Design!$L$9/12&amp;"'"))))</f>
        <v>Dist=22'
Sign: 10'x2'</v>
      </c>
      <c r="W4" s="82" t="str">
        <f>IF(Arm1Design!$M$6=1,"","Dist="&amp;Arm1Design!$M$7&amp;"'"&amp;CHAR(10)&amp;IF(Arm1Design!$M$6=2,"Signal: 3 Head",IF(Arm1Design!$M$6=3,"Signal: 4 Head",IF(Arm1Design!$M$6=4,"Signal: 5 Head","Sign: "&amp;Arm1Design!$M$8/12&amp;"'"&amp;"x"&amp;Arm1Design!$M$9/12&amp;"'"))))</f>
        <v>Dist=8'
Sign: 10'x2'</v>
      </c>
      <c r="X4" s="458" t="str">
        <f>'CFI&amp;Designation'!C43</f>
        <v>Loads &gt; Standard Arm Capacity</v>
      </c>
      <c r="Y4" s="131"/>
      <c r="Z4" s="131"/>
      <c r="AA4" s="132"/>
      <c r="AK4" s="6"/>
    </row>
    <row r="5" spans="1:37" ht="32.1" customHeight="1" thickBo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1" t="str">
        <f>IF(Dimensions!$C$47=1,"","2")</f>
        <v>2</v>
      </c>
      <c r="M5" s="112">
        <f>IF(Dimensions!$C$47=1,"",Dimensions!$D$47)</f>
        <v>50</v>
      </c>
      <c r="N5" s="83" t="str">
        <f>IF(Dimensions!$C$47=1,"",IF(Arm2Design!$D$6=1,"","Dist="&amp;Arm2Design!$D$7&amp;"'"&amp;CHAR(10)&amp;IF(Arm2Design!$D$6=2,"Signal: 3 Head",IF(Arm2Design!$D$6=3,"Signal: 4 Head",IF(Arm2Design!$D$6=4,"Signal: 5 Head","Sign: "&amp;Arm2Design!$D$8/12&amp;"'"&amp;"x"&amp;Arm2Design!$D$9/12&amp;"'")))))</f>
        <v/>
      </c>
      <c r="O5" s="84" t="str">
        <f>IF(Dimensions!$C$47=1,"",IF(Arm2Design!$E$6=1,"","Dist="&amp;Arm2Design!$E$7&amp;"'"&amp;CHAR(10)&amp;IF(Arm2Design!$E$6=2,"Signal: 3 Head",IF(Arm2Design!$E$6=3,"Signal: 4 Head",IF(Arm2Design!$E$6=4,"Signal: 5 Head","Sign: "&amp;Arm2Design!$E$8/12&amp;"'"&amp;"x"&amp;Arm2Design!$E$9/12&amp;"'")))))</f>
        <v/>
      </c>
      <c r="P5" s="84" t="str">
        <f>IF(Dimensions!$C$47=1,"",IF(Arm2Design!$F$6=1,"","Dist="&amp;Arm2Design!$F$7&amp;"'"&amp;CHAR(10)&amp;IF(Arm2Design!$F$6=2,"Signal: 3 Head",IF(Arm2Design!$F$6=3,"Signal: 4 Head",IF(Arm2Design!$F$6=4,"Signal: 5 Head","Sign: "&amp;Arm2Design!$F$8/12&amp;"'"&amp;"x"&amp;Arm2Design!$F$9/12&amp;"'")))))</f>
        <v/>
      </c>
      <c r="Q5" s="84" t="str">
        <f>IF(Dimensions!$C$47=1,"",IF(Arm2Design!$G$6=1,"","Dist="&amp;Arm2Design!$G$7&amp;"'"&amp;CHAR(10)&amp;IF(Arm2Design!$G$6=2,"Signal: 3 Head",IF(Arm2Design!$G$6=3,"Signal: 4 Head",IF(Arm2Design!$G$6=4,"Signal: 5 Head","Sign: "&amp;Arm2Design!$G$8/12&amp;"'"&amp;"x"&amp;Arm2Design!$G$9/12&amp;"'")))))</f>
        <v/>
      </c>
      <c r="R5" s="84" t="str">
        <f>IF(Dimensions!$C$47=1,"",IF(Arm2Design!$H$6=1,"","Dist="&amp;Arm2Design!$H$7&amp;"'"&amp;CHAR(10)&amp;IF(Arm2Design!$H$6=2,"Signal: 3 Head",IF(Arm2Design!$H$6=3,"Signal: 4 Head",IF(Arm2Design!$H$6=4,"Signal: 5 Head","Sign: "&amp;Arm2Design!$H$8/12&amp;"'"&amp;"x"&amp;Arm2Design!$H$9/12&amp;"'")))))</f>
        <v/>
      </c>
      <c r="S5" s="84" t="str">
        <f>IF(Dimensions!$C$47=1,"",IF(Arm2Design!$I$6=1,"","Dist="&amp;Arm2Design!$I$7&amp;"'"&amp;CHAR(10)&amp;IF(Arm2Design!$I$6=2,"Signal: 3 Head",IF(Arm2Design!$I$6=3,"Signal: 4 Head",IF(Arm2Design!$I$6=4,"Signal: 5 Head","Sign: "&amp;Arm2Design!$I$8/12&amp;"'"&amp;"x"&amp;Arm2Design!$I$9/12&amp;"'")))))</f>
        <v>Dist=48'
Signal: 5 Head</v>
      </c>
      <c r="T5" s="84" t="str">
        <f>IF(Dimensions!$C$47=1,"",IF(Arm2Design!$J$6=1,"","Dist="&amp;Arm2Design!$J$7&amp;"'"&amp;CHAR(10)&amp;IF(Arm2Design!$J$6=2,"Signal: 3 Head",IF(Arm2Design!$J$6=3,"Signal: 4 Head",IF(Arm2Design!$J$6=4,"Signal: 5 Head","Sign: "&amp;Arm2Design!$J$8/12&amp;"'"&amp;"x"&amp;Arm2Design!$J$9/12&amp;"'")))))</f>
        <v>Dist=42'
Sign: 3'x3'</v>
      </c>
      <c r="U5" s="84" t="str">
        <f>IF(Dimensions!$C$47=1,"",IF(Arm2Design!$K$6=1,"","Dist="&amp;Arm2Design!$K$7&amp;"'"&amp;CHAR(10)&amp;IF(Arm2Design!$K$6=2,"Signal: 3 Head",IF(Arm2Design!$K$6=3,"Signal: 4 Head",IF(Arm2Design!$K$6=4,"Signal: 5 Head","Sign: "&amp;Arm2Design!$K$8/12&amp;"'"&amp;"x"&amp;Arm2Design!$K$9/12&amp;"'")))))</f>
        <v/>
      </c>
      <c r="V5" s="84" t="str">
        <f>IF(Dimensions!$C$47=1,"",IF(Arm2Design!$L$6=1,"","Dist="&amp;Arm2Design!$L$7&amp;"'"&amp;CHAR(10)&amp;IF(Arm2Design!$L$6=2,"Signal: 3 Head",IF(Arm2Design!$L$6=3,"Signal: 4 Head",IF(Arm2Design!$L$6=4,"Signal: 5 Head","Sign: "&amp;Arm2Design!$L$8/12&amp;"'"&amp;"x"&amp;Arm2Design!$L$9/12&amp;"'")))))</f>
        <v>Dist=22'
Signal: 3 Head</v>
      </c>
      <c r="W5" s="85" t="str">
        <f>IF(Dimensions!$C$47=1,"",IF(Arm2Design!$M$6=1,"","Dist="&amp;Arm2Design!$M$7&amp;"'"&amp;CHAR(10)&amp;IF(Arm2Design!$M$6=2,"Signal: 3 Head",IF(Arm2Design!$M$6=3,"Signal: 4 Head",IF(Arm2Design!$M$6=4,"Signal: 5 Head","Sign: "&amp;Arm2Design!$M$8/12&amp;"'"&amp;"x"&amp;Arm2Design!$M$9/12&amp;"'")))))</f>
        <v>Dist=12'
Signal: 3 Head</v>
      </c>
      <c r="X5" s="459"/>
      <c r="Y5" s="129"/>
      <c r="Z5" s="129"/>
      <c r="AA5" s="130"/>
      <c r="AK5" s="6"/>
    </row>
    <row r="6" spans="1:37" ht="32.1" customHeight="1">
      <c r="A6" s="125"/>
      <c r="B6" s="117"/>
      <c r="C6" s="117"/>
      <c r="D6" s="126"/>
      <c r="E6" s="126"/>
      <c r="F6" s="127"/>
      <c r="G6" s="127"/>
      <c r="H6" s="117"/>
      <c r="I6" s="117"/>
      <c r="J6" s="117"/>
      <c r="K6" s="117"/>
      <c r="L6" s="109">
        <v>1</v>
      </c>
      <c r="M6" s="110"/>
      <c r="N6" s="86"/>
      <c r="O6" s="87"/>
      <c r="P6" s="87"/>
      <c r="Q6" s="87"/>
      <c r="R6" s="87"/>
      <c r="S6" s="87"/>
      <c r="T6" s="87"/>
      <c r="U6" s="87"/>
      <c r="V6" s="87"/>
      <c r="W6" s="88"/>
      <c r="X6" s="124"/>
      <c r="Y6" s="131"/>
      <c r="Z6" s="131"/>
      <c r="AA6" s="132"/>
      <c r="AK6" s="6"/>
    </row>
    <row r="7" spans="1:37" ht="32.1" customHeight="1" thickBot="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13">
        <v>2</v>
      </c>
      <c r="M7" s="114"/>
      <c r="N7" s="89"/>
      <c r="O7" s="90"/>
      <c r="P7" s="90"/>
      <c r="Q7" s="90"/>
      <c r="R7" s="90"/>
      <c r="S7" s="90"/>
      <c r="T7" s="90"/>
      <c r="U7" s="90"/>
      <c r="V7" s="90"/>
      <c r="W7" s="91"/>
      <c r="X7" s="133"/>
      <c r="Y7" s="129"/>
      <c r="Z7" s="129"/>
      <c r="AA7" s="130"/>
      <c r="AK7" s="6"/>
    </row>
    <row r="8" spans="1:37" ht="32.1" customHeight="1">
      <c r="A8" s="125"/>
      <c r="B8" s="117"/>
      <c r="C8" s="117"/>
      <c r="D8" s="126"/>
      <c r="E8" s="126"/>
      <c r="F8" s="127"/>
      <c r="G8" s="127"/>
      <c r="H8" s="117"/>
      <c r="I8" s="117"/>
      <c r="J8" s="117"/>
      <c r="K8" s="117"/>
      <c r="L8" s="115">
        <v>1</v>
      </c>
      <c r="M8" s="116"/>
      <c r="N8" s="80"/>
      <c r="O8" s="81"/>
      <c r="P8" s="81"/>
      <c r="Q8" s="81"/>
      <c r="R8" s="81"/>
      <c r="S8" s="81"/>
      <c r="T8" s="81"/>
      <c r="U8" s="81"/>
      <c r="V8" s="81"/>
      <c r="W8" s="92"/>
      <c r="X8" s="134"/>
      <c r="Y8" s="131"/>
      <c r="Z8" s="131"/>
      <c r="AA8" s="132"/>
      <c r="AK8" s="6"/>
    </row>
    <row r="9" spans="1:37" ht="32.1" customHeight="1" thickBo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11">
        <v>2</v>
      </c>
      <c r="M9" s="112"/>
      <c r="N9" s="83"/>
      <c r="O9" s="84"/>
      <c r="P9" s="84"/>
      <c r="Q9" s="84"/>
      <c r="R9" s="84"/>
      <c r="S9" s="84"/>
      <c r="T9" s="84"/>
      <c r="U9" s="84"/>
      <c r="V9" s="84"/>
      <c r="W9" s="93"/>
      <c r="X9" s="133"/>
      <c r="Y9" s="129"/>
      <c r="Z9" s="129"/>
      <c r="AA9" s="130"/>
      <c r="AK9" s="6"/>
    </row>
    <row r="10" spans="1:37" ht="32.1" customHeight="1">
      <c r="A10" s="125"/>
      <c r="B10" s="117"/>
      <c r="C10" s="117"/>
      <c r="D10" s="126"/>
      <c r="E10" s="126"/>
      <c r="F10" s="127"/>
      <c r="G10" s="127"/>
      <c r="H10" s="117"/>
      <c r="I10" s="117"/>
      <c r="J10" s="117"/>
      <c r="K10" s="117"/>
      <c r="L10" s="109">
        <v>1</v>
      </c>
      <c r="M10" s="110"/>
      <c r="N10" s="86"/>
      <c r="O10" s="87"/>
      <c r="P10" s="87"/>
      <c r="Q10" s="87"/>
      <c r="R10" s="87"/>
      <c r="S10" s="87"/>
      <c r="T10" s="87"/>
      <c r="U10" s="87"/>
      <c r="V10" s="87"/>
      <c r="W10" s="88"/>
      <c r="X10" s="124"/>
      <c r="Y10" s="131"/>
      <c r="Z10" s="131"/>
      <c r="AA10" s="132"/>
      <c r="AK10" s="6"/>
    </row>
    <row r="11" spans="1:37" ht="32.1" customHeight="1" thickBo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13">
        <v>2</v>
      </c>
      <c r="M11" s="114"/>
      <c r="N11" s="89"/>
      <c r="O11" s="90"/>
      <c r="P11" s="90"/>
      <c r="Q11" s="90"/>
      <c r="R11" s="90"/>
      <c r="S11" s="90"/>
      <c r="T11" s="90"/>
      <c r="U11" s="90"/>
      <c r="V11" s="90"/>
      <c r="W11" s="91"/>
      <c r="X11" s="133"/>
      <c r="Y11" s="129"/>
      <c r="Z11" s="129"/>
      <c r="AA11" s="130"/>
      <c r="AK11" s="6"/>
    </row>
    <row r="12" spans="1:37" ht="32.1" customHeight="1">
      <c r="A12" s="125"/>
      <c r="B12" s="117"/>
      <c r="C12" s="117"/>
      <c r="D12" s="126"/>
      <c r="E12" s="126"/>
      <c r="F12" s="127"/>
      <c r="G12" s="127"/>
      <c r="H12" s="117"/>
      <c r="I12" s="117"/>
      <c r="J12" s="117"/>
      <c r="K12" s="117"/>
      <c r="L12" s="115">
        <v>1</v>
      </c>
      <c r="M12" s="116"/>
      <c r="N12" s="80"/>
      <c r="O12" s="81"/>
      <c r="P12" s="81"/>
      <c r="Q12" s="81"/>
      <c r="R12" s="81"/>
      <c r="S12" s="81"/>
      <c r="T12" s="81"/>
      <c r="U12" s="81"/>
      <c r="V12" s="81"/>
      <c r="W12" s="92"/>
      <c r="X12" s="134"/>
      <c r="Y12" s="131"/>
      <c r="Z12" s="131"/>
      <c r="AA12" s="132"/>
      <c r="AK12" s="6"/>
    </row>
    <row r="13" spans="1:37" ht="32.1" customHeight="1" thickBot="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11">
        <v>2</v>
      </c>
      <c r="M13" s="112"/>
      <c r="N13" s="83"/>
      <c r="O13" s="84"/>
      <c r="P13" s="84"/>
      <c r="Q13" s="84"/>
      <c r="R13" s="84"/>
      <c r="S13" s="84"/>
      <c r="T13" s="84"/>
      <c r="U13" s="84"/>
      <c r="V13" s="84"/>
      <c r="W13" s="93"/>
      <c r="X13" s="133"/>
      <c r="Y13" s="129"/>
      <c r="Z13" s="129"/>
      <c r="AA13" s="130"/>
      <c r="AK13" s="6"/>
    </row>
    <row r="14" spans="1:37" ht="32.1" customHeight="1">
      <c r="A14" s="125"/>
      <c r="B14" s="117"/>
      <c r="C14" s="117"/>
      <c r="D14" s="126"/>
      <c r="E14" s="126"/>
      <c r="F14" s="127"/>
      <c r="G14" s="127"/>
      <c r="H14" s="117"/>
      <c r="I14" s="117"/>
      <c r="J14" s="117"/>
      <c r="K14" s="117"/>
      <c r="L14" s="109">
        <v>1</v>
      </c>
      <c r="M14" s="110"/>
      <c r="N14" s="86"/>
      <c r="O14" s="87"/>
      <c r="P14" s="87"/>
      <c r="Q14" s="87"/>
      <c r="R14" s="87"/>
      <c r="S14" s="87"/>
      <c r="T14" s="87"/>
      <c r="U14" s="87"/>
      <c r="V14" s="87"/>
      <c r="W14" s="88"/>
      <c r="X14" s="124"/>
      <c r="Y14" s="131"/>
      <c r="Z14" s="131"/>
      <c r="AA14" s="132"/>
      <c r="AK14" s="6"/>
    </row>
    <row r="15" spans="1:37" ht="32.1" customHeight="1" thickBot="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13">
        <v>2</v>
      </c>
      <c r="M15" s="114"/>
      <c r="N15" s="89"/>
      <c r="O15" s="90"/>
      <c r="P15" s="90"/>
      <c r="Q15" s="90"/>
      <c r="R15" s="90"/>
      <c r="S15" s="90"/>
      <c r="T15" s="90"/>
      <c r="U15" s="90"/>
      <c r="V15" s="90"/>
      <c r="W15" s="91"/>
      <c r="X15" s="133"/>
      <c r="Y15" s="129"/>
      <c r="Z15" s="129"/>
      <c r="AA15" s="130"/>
      <c r="AK15" s="6"/>
    </row>
    <row r="16" spans="1:37" ht="32.1" customHeight="1">
      <c r="A16" s="125"/>
      <c r="B16" s="117"/>
      <c r="C16" s="117"/>
      <c r="D16" s="126"/>
      <c r="E16" s="126"/>
      <c r="F16" s="127"/>
      <c r="G16" s="127"/>
      <c r="H16" s="117"/>
      <c r="I16" s="117"/>
      <c r="J16" s="117"/>
      <c r="K16" s="117"/>
      <c r="L16" s="115">
        <v>1</v>
      </c>
      <c r="M16" s="116"/>
      <c r="N16" s="80"/>
      <c r="O16" s="81"/>
      <c r="P16" s="81"/>
      <c r="Q16" s="81"/>
      <c r="R16" s="81"/>
      <c r="S16" s="81"/>
      <c r="T16" s="81"/>
      <c r="U16" s="81"/>
      <c r="V16" s="81"/>
      <c r="W16" s="92"/>
      <c r="X16" s="134"/>
      <c r="Y16" s="131"/>
      <c r="Z16" s="131"/>
      <c r="AA16" s="132"/>
      <c r="AK16" s="6"/>
    </row>
    <row r="17" spans="1:37" ht="32.1" customHeight="1" thickBot="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11">
        <v>2</v>
      </c>
      <c r="M17" s="112"/>
      <c r="N17" s="83"/>
      <c r="O17" s="84"/>
      <c r="P17" s="84"/>
      <c r="Q17" s="84"/>
      <c r="R17" s="84"/>
      <c r="S17" s="84"/>
      <c r="T17" s="84"/>
      <c r="U17" s="84"/>
      <c r="V17" s="84"/>
      <c r="W17" s="93"/>
      <c r="X17" s="133"/>
      <c r="Y17" s="129"/>
      <c r="Z17" s="129"/>
      <c r="AA17" s="130"/>
      <c r="AK17" s="6"/>
    </row>
    <row r="18" spans="1:37" ht="32.1" customHeight="1">
      <c r="A18" s="125"/>
      <c r="B18" s="117"/>
      <c r="C18" s="117"/>
      <c r="D18" s="126"/>
      <c r="E18" s="126"/>
      <c r="F18" s="127"/>
      <c r="G18" s="127"/>
      <c r="H18" s="117"/>
      <c r="I18" s="117"/>
      <c r="J18" s="117"/>
      <c r="K18" s="117"/>
      <c r="L18" s="109">
        <v>1</v>
      </c>
      <c r="M18" s="110"/>
      <c r="N18" s="86"/>
      <c r="O18" s="87"/>
      <c r="P18" s="87"/>
      <c r="Q18" s="87"/>
      <c r="R18" s="87"/>
      <c r="S18" s="87"/>
      <c r="T18" s="87"/>
      <c r="U18" s="87"/>
      <c r="V18" s="87"/>
      <c r="W18" s="88"/>
      <c r="X18" s="124"/>
      <c r="Y18" s="131"/>
      <c r="Z18" s="131"/>
      <c r="AA18" s="132"/>
      <c r="AK18" s="6"/>
    </row>
    <row r="19" spans="1:37" ht="32.1" customHeight="1" thickBot="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13">
        <v>2</v>
      </c>
      <c r="M19" s="114"/>
      <c r="N19" s="89"/>
      <c r="O19" s="90"/>
      <c r="P19" s="90"/>
      <c r="Q19" s="90"/>
      <c r="R19" s="90"/>
      <c r="S19" s="90"/>
      <c r="T19" s="90"/>
      <c r="U19" s="90"/>
      <c r="V19" s="90"/>
      <c r="W19" s="91"/>
      <c r="X19" s="133"/>
      <c r="Y19" s="129"/>
      <c r="Z19" s="129"/>
      <c r="AA19" s="130"/>
      <c r="AK19" s="6"/>
    </row>
    <row r="20" spans="1:37" ht="15.6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3"/>
      <c r="Y20" s="73"/>
      <c r="Z20" s="73"/>
      <c r="AA20" s="73"/>
    </row>
    <row r="21" spans="1:37" ht="16.2" thickBo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3"/>
      <c r="Y21" s="73"/>
      <c r="Z21" s="73"/>
      <c r="AA21" s="73"/>
    </row>
    <row r="22" spans="1:37" ht="24" customHeight="1" thickBot="1">
      <c r="A22" s="73"/>
      <c r="B22" s="73"/>
      <c r="C22" s="461" t="s">
        <v>224</v>
      </c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3"/>
      <c r="O22" s="463"/>
      <c r="P22" s="464"/>
      <c r="Q22" s="74"/>
      <c r="R22" s="74"/>
      <c r="S22" s="74"/>
      <c r="T22" s="74"/>
      <c r="U22" s="74"/>
      <c r="V22" s="74"/>
      <c r="W22" s="74"/>
      <c r="X22" s="73"/>
      <c r="Y22" s="73"/>
      <c r="Z22" s="73"/>
      <c r="AA22" s="73"/>
    </row>
    <row r="23" spans="1:37" ht="24" customHeight="1" thickBot="1">
      <c r="A23" s="73"/>
      <c r="B23" s="73"/>
      <c r="C23" s="460" t="s">
        <v>169</v>
      </c>
      <c r="D23" s="465" t="s">
        <v>228</v>
      </c>
      <c r="E23" s="466"/>
      <c r="F23" s="466"/>
      <c r="G23" s="466"/>
      <c r="H23" s="466"/>
      <c r="I23" s="466"/>
      <c r="J23" s="466"/>
      <c r="K23" s="466"/>
      <c r="L23" s="466"/>
      <c r="M23" s="466"/>
      <c r="N23" s="103" t="s">
        <v>250</v>
      </c>
      <c r="O23" s="104" t="s">
        <v>251</v>
      </c>
      <c r="P23" s="108" t="s">
        <v>267</v>
      </c>
      <c r="Q23" s="74"/>
      <c r="R23" s="74"/>
      <c r="S23" s="74"/>
      <c r="T23" s="74"/>
      <c r="U23" s="74"/>
      <c r="V23" s="74"/>
      <c r="W23" s="74"/>
      <c r="X23" s="73"/>
      <c r="Y23" s="73"/>
      <c r="Z23" s="73"/>
      <c r="AA23" s="73"/>
    </row>
    <row r="24" spans="1:37" ht="101.25" customHeight="1" thickBot="1">
      <c r="A24" s="73"/>
      <c r="B24" s="73"/>
      <c r="C24" s="460"/>
      <c r="D24" s="97" t="s">
        <v>258</v>
      </c>
      <c r="E24" s="98" t="s">
        <v>259</v>
      </c>
      <c r="F24" s="98" t="s">
        <v>260</v>
      </c>
      <c r="G24" s="98" t="s">
        <v>261</v>
      </c>
      <c r="H24" s="98" t="s">
        <v>262</v>
      </c>
      <c r="I24" s="98" t="s">
        <v>263</v>
      </c>
      <c r="J24" s="98"/>
      <c r="K24" s="98" t="s">
        <v>264</v>
      </c>
      <c r="L24" s="98" t="s">
        <v>266</v>
      </c>
      <c r="M24" s="107" t="s">
        <v>265</v>
      </c>
      <c r="N24" s="99"/>
      <c r="O24" s="100"/>
      <c r="P24" s="101"/>
      <c r="Q24" s="74"/>
      <c r="R24" s="74"/>
      <c r="S24" s="74"/>
      <c r="T24" s="74"/>
      <c r="U24" s="74"/>
      <c r="V24" s="74"/>
      <c r="W24" s="74"/>
      <c r="X24" s="73"/>
      <c r="Y24" s="73"/>
      <c r="Z24" s="73"/>
      <c r="AA24" s="73"/>
    </row>
    <row r="25" spans="1:37" ht="32.1" customHeight="1" thickBot="1">
      <c r="A25" s="73"/>
      <c r="B25" s="73"/>
      <c r="C25" s="102"/>
      <c r="D25" s="103"/>
      <c r="E25" s="104"/>
      <c r="F25" s="104"/>
      <c r="G25" s="105"/>
      <c r="H25" s="105"/>
      <c r="I25" s="105"/>
      <c r="J25" s="105"/>
      <c r="K25" s="105"/>
      <c r="L25" s="105"/>
      <c r="M25" s="106"/>
      <c r="N25" s="94"/>
      <c r="O25" s="95"/>
      <c r="P25" s="96"/>
      <c r="Q25" s="74"/>
      <c r="R25" s="74"/>
      <c r="S25" s="74"/>
      <c r="T25" s="74"/>
      <c r="U25" s="74"/>
      <c r="V25" s="74"/>
      <c r="W25" s="74"/>
      <c r="X25" s="73"/>
      <c r="Y25" s="73"/>
      <c r="Z25" s="73"/>
      <c r="AA25" s="73"/>
    </row>
    <row r="26" spans="1:37" ht="32.1" customHeight="1" thickBot="1">
      <c r="A26" s="73"/>
      <c r="B26" s="73"/>
      <c r="C26" s="103"/>
      <c r="D26" s="103"/>
      <c r="E26" s="104"/>
      <c r="F26" s="104"/>
      <c r="G26" s="105"/>
      <c r="H26" s="105"/>
      <c r="I26" s="105"/>
      <c r="J26" s="105"/>
      <c r="K26" s="105"/>
      <c r="L26" s="105"/>
      <c r="M26" s="106"/>
      <c r="N26" s="94"/>
      <c r="O26" s="95"/>
      <c r="P26" s="96"/>
      <c r="Q26" s="74"/>
      <c r="R26" s="74"/>
      <c r="S26" s="74"/>
      <c r="T26" s="74"/>
      <c r="U26" s="74"/>
      <c r="V26" s="74"/>
      <c r="W26" s="74"/>
      <c r="X26" s="73"/>
      <c r="Y26" s="73"/>
      <c r="Z26" s="73"/>
      <c r="AA26" s="73"/>
    </row>
    <row r="27" spans="1:37" ht="32.1" customHeight="1" thickBot="1">
      <c r="A27" s="73"/>
      <c r="B27" s="73"/>
      <c r="C27" s="103"/>
      <c r="D27" s="103"/>
      <c r="E27" s="104"/>
      <c r="F27" s="104"/>
      <c r="G27" s="105"/>
      <c r="H27" s="105"/>
      <c r="I27" s="105"/>
      <c r="J27" s="105"/>
      <c r="K27" s="105"/>
      <c r="L27" s="105"/>
      <c r="M27" s="106"/>
      <c r="N27" s="94"/>
      <c r="O27" s="95"/>
      <c r="P27" s="96"/>
      <c r="Q27" s="74"/>
      <c r="R27" s="74"/>
      <c r="S27" s="74"/>
      <c r="T27" s="74"/>
      <c r="U27" s="74"/>
      <c r="V27" s="74"/>
      <c r="W27" s="74"/>
      <c r="X27" s="73"/>
      <c r="Y27" s="73"/>
      <c r="Z27" s="73"/>
      <c r="AA27" s="73"/>
    </row>
    <row r="28" spans="1:37" ht="32.1" customHeight="1" thickBot="1">
      <c r="A28" s="73"/>
      <c r="B28" s="73"/>
      <c r="C28" s="103"/>
      <c r="D28" s="103"/>
      <c r="E28" s="104"/>
      <c r="F28" s="104"/>
      <c r="G28" s="105"/>
      <c r="H28" s="105"/>
      <c r="I28" s="105"/>
      <c r="J28" s="105"/>
      <c r="K28" s="105"/>
      <c r="L28" s="105"/>
      <c r="M28" s="106"/>
      <c r="N28" s="94"/>
      <c r="O28" s="95"/>
      <c r="P28" s="96"/>
      <c r="Q28" s="74"/>
      <c r="R28" s="74"/>
      <c r="S28" s="74"/>
      <c r="T28" s="74"/>
      <c r="U28" s="74"/>
      <c r="V28" s="74"/>
      <c r="W28" s="74"/>
      <c r="X28" s="73"/>
      <c r="Y28" s="73"/>
      <c r="Z28" s="73"/>
      <c r="AA28" s="73"/>
    </row>
    <row r="29" spans="1:37" ht="32.1" customHeight="1" thickBot="1">
      <c r="A29" s="73"/>
      <c r="B29" s="73"/>
      <c r="C29" s="103"/>
      <c r="D29" s="103"/>
      <c r="E29" s="104"/>
      <c r="F29" s="104"/>
      <c r="G29" s="105"/>
      <c r="H29" s="105"/>
      <c r="I29" s="105"/>
      <c r="J29" s="105"/>
      <c r="K29" s="105"/>
      <c r="L29" s="105"/>
      <c r="M29" s="106"/>
      <c r="N29" s="94"/>
      <c r="O29" s="95"/>
      <c r="P29" s="96"/>
      <c r="Q29" s="74"/>
      <c r="R29" s="74"/>
      <c r="S29" s="74"/>
      <c r="T29" s="74"/>
      <c r="U29" s="74"/>
      <c r="V29" s="74"/>
      <c r="W29" s="74"/>
      <c r="X29" s="73"/>
      <c r="Y29" s="73"/>
      <c r="Z29" s="73"/>
      <c r="AA29" s="73"/>
    </row>
    <row r="30" spans="1:37" ht="32.1" customHeight="1">
      <c r="A30" s="73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3"/>
      <c r="Y30" s="73"/>
      <c r="Z30" s="73"/>
      <c r="AA30" s="73"/>
    </row>
    <row r="31" spans="1:37" ht="32.1" customHeight="1">
      <c r="A31" s="73"/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3"/>
      <c r="Y31" s="73"/>
      <c r="Z31" s="73"/>
      <c r="AA31" s="73"/>
    </row>
    <row r="32" spans="1:37" ht="32.1" customHeight="1">
      <c r="A32" s="73"/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3"/>
      <c r="Y32" s="73"/>
      <c r="Z32" s="73"/>
      <c r="AA32" s="73"/>
    </row>
  </sheetData>
  <mergeCells count="7">
    <mergeCell ref="X2:AA2"/>
    <mergeCell ref="X4:X5"/>
    <mergeCell ref="C23:C24"/>
    <mergeCell ref="C22:P22"/>
    <mergeCell ref="D23:M23"/>
    <mergeCell ref="N2:W2"/>
    <mergeCell ref="A2:M2"/>
  </mergeCells>
  <pageMargins left="0.7" right="0.7" top="0.75" bottom="0.75" header="0.3" footer="0.3"/>
  <pageSetup paperSize="3" scale="56" orientation="landscape" r:id="rId1"/>
  <colBreaks count="1" manualBreakCount="1">
    <brk id="3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7" tint="0.79998168889431442"/>
  </sheetPr>
  <dimension ref="B1:AH77"/>
  <sheetViews>
    <sheetView workbookViewId="0"/>
  </sheetViews>
  <sheetFormatPr defaultRowHeight="14.4"/>
  <cols>
    <col min="2" max="2" width="24" bestFit="1" customWidth="1"/>
    <col min="3" max="3" width="14.44140625" bestFit="1" customWidth="1"/>
    <col min="4" max="4" width="6.88671875" bestFit="1" customWidth="1"/>
    <col min="5" max="5" width="12.88671875" bestFit="1" customWidth="1"/>
    <col min="6" max="6" width="13.44140625" bestFit="1" customWidth="1"/>
    <col min="10" max="10" width="9.109375"/>
    <col min="12" max="12" width="14.109375" bestFit="1" customWidth="1"/>
    <col min="15" max="15" width="12.88671875" bestFit="1" customWidth="1"/>
    <col min="16" max="16" width="13.44140625" bestFit="1" customWidth="1"/>
    <col min="20" max="20" width="9.109375"/>
    <col min="21" max="21" width="14" bestFit="1" customWidth="1"/>
    <col min="22" max="23" width="9.109375"/>
    <col min="24" max="24" width="13.44140625" bestFit="1" customWidth="1"/>
    <col min="25" max="28" width="9.109375"/>
    <col min="29" max="29" width="7.44140625" bestFit="1" customWidth="1"/>
    <col min="30" max="30" width="7.44140625" customWidth="1"/>
    <col min="32" max="32" width="12" bestFit="1" customWidth="1"/>
    <col min="34" max="34" width="12" bestFit="1" customWidth="1"/>
  </cols>
  <sheetData>
    <row r="1" spans="2:34" ht="15" thickBot="1">
      <c r="AF1" s="34" t="s">
        <v>23</v>
      </c>
    </row>
    <row r="2" spans="2:34" ht="15" thickBot="1">
      <c r="AF2" s="61" t="s">
        <v>20</v>
      </c>
      <c r="AG2" s="35" t="s">
        <v>26</v>
      </c>
      <c r="AH2" s="36"/>
    </row>
    <row r="3" spans="2:34">
      <c r="B3" s="37" t="s">
        <v>31</v>
      </c>
      <c r="C3" s="54" t="s">
        <v>8</v>
      </c>
      <c r="D3" s="54" t="s">
        <v>9</v>
      </c>
      <c r="E3" s="54" t="s">
        <v>10</v>
      </c>
      <c r="F3" s="54" t="s">
        <v>11</v>
      </c>
      <c r="G3" s="54" t="s">
        <v>12</v>
      </c>
      <c r="H3" s="54" t="s">
        <v>13</v>
      </c>
      <c r="I3" s="54" t="s">
        <v>22</v>
      </c>
      <c r="J3" s="55" t="s">
        <v>54</v>
      </c>
      <c r="L3" s="37" t="s">
        <v>295</v>
      </c>
      <c r="M3" s="54" t="s">
        <v>8</v>
      </c>
      <c r="N3" s="54" t="s">
        <v>9</v>
      </c>
      <c r="O3" s="54" t="s">
        <v>10</v>
      </c>
      <c r="P3" s="54" t="s">
        <v>11</v>
      </c>
      <c r="Q3" s="54" t="s">
        <v>12</v>
      </c>
      <c r="R3" s="54" t="s">
        <v>13</v>
      </c>
      <c r="S3" s="54" t="s">
        <v>22</v>
      </c>
      <c r="T3" s="55" t="s">
        <v>54</v>
      </c>
      <c r="U3" s="324" t="s">
        <v>299</v>
      </c>
      <c r="V3" s="54" t="s">
        <v>8</v>
      </c>
      <c r="W3" s="54" t="s">
        <v>9</v>
      </c>
      <c r="X3" s="54" t="s">
        <v>10</v>
      </c>
      <c r="Y3" s="54" t="s">
        <v>11</v>
      </c>
      <c r="Z3" s="54" t="s">
        <v>12</v>
      </c>
      <c r="AA3" s="54" t="s">
        <v>13</v>
      </c>
      <c r="AB3" s="54" t="s">
        <v>22</v>
      </c>
      <c r="AC3" s="55" t="s">
        <v>54</v>
      </c>
      <c r="AD3" s="3"/>
      <c r="AF3" s="18">
        <v>30</v>
      </c>
      <c r="AG3" s="19">
        <v>130</v>
      </c>
      <c r="AH3" s="20" t="s">
        <v>27</v>
      </c>
    </row>
    <row r="4" spans="2:34">
      <c r="B4" s="39" t="s">
        <v>289</v>
      </c>
      <c r="C4" s="56">
        <f>C5+6*2</f>
        <v>26.04</v>
      </c>
      <c r="D4" s="56">
        <f>D5+6*2</f>
        <v>54.12</v>
      </c>
      <c r="E4" s="56">
        <f t="shared" ref="E4:F9" si="0">C4/2</f>
        <v>13.02</v>
      </c>
      <c r="F4" s="56">
        <f t="shared" si="0"/>
        <v>27.06</v>
      </c>
      <c r="G4" s="56">
        <f>IF(AND(Dimensions!C49=3,Dimensions!C45=1),-E8/12,IF(AND(Dimensions!C49=1,Dimensions!C45=2),-E6/12,IF(AND(Dimensions!C49=1,Dimensions!C45=1),-E4/12,IF(AND(Dimensions!C49=3,Dimensions!C45=2),-E9/12,IF(AND(Dimensions!C49=2,Dimensions!C45=2),-E7/12,IF(AND(Dimensions!C49=2,Dimensions!C45=1),-E5/12))))))</f>
        <v>-1.085</v>
      </c>
      <c r="H4" s="56">
        <f>IF(AND(Dimensions!C49=1,Dimensions!C45=2),-F6/12,IF(AND(Dimensions!C49=1,Dimensions!C45=1),-F4/12,IF(AND(Dimensions!C49=2,Dimensions!C45=2),-F7/12,IF(AND(Dimensions!C49=2,Dimensions!C45=1),-F5/12,IF(AND(Dimensions!C49=3,Dimensions!C45=2),-F9/12,IF(AND(Dimensions!C49=3,Dimensions!C45=1),-F8/12))))))</f>
        <v>-2.2549999999999999</v>
      </c>
      <c r="I4" s="56">
        <f>(IF(Dimensions!C49=1,C4*D4,IF(Dimensions!C49=2,C5*D5,C8*C9))/144)</f>
        <v>9.7866999999999997</v>
      </c>
      <c r="J4" s="40">
        <v>50</v>
      </c>
      <c r="L4" s="45"/>
      <c r="M4" s="9">
        <f>Arm1Design!$D$8</f>
        <v>22</v>
      </c>
      <c r="N4" s="9">
        <f>Arm1Design!$D$9</f>
        <v>36</v>
      </c>
      <c r="O4" s="3">
        <f>M4/2</f>
        <v>11</v>
      </c>
      <c r="P4" s="3">
        <f>N4/2</f>
        <v>18</v>
      </c>
      <c r="Q4" s="3">
        <f>-O4/12</f>
        <v>-0.91666666666666663</v>
      </c>
      <c r="R4" s="3">
        <f>-P4/12</f>
        <v>-1.5</v>
      </c>
      <c r="S4" s="3">
        <f>(M4*N4)/144</f>
        <v>5.5</v>
      </c>
      <c r="T4" s="46">
        <f>4*S4</f>
        <v>22</v>
      </c>
      <c r="U4" s="66"/>
      <c r="V4" s="9">
        <f>Arm2Design!$D$8</f>
        <v>24</v>
      </c>
      <c r="W4" s="9">
        <f>Arm2Design!$D$9</f>
        <v>36</v>
      </c>
      <c r="X4" s="3">
        <f>V4/2</f>
        <v>12</v>
      </c>
      <c r="Y4" s="3">
        <f>W4/2</f>
        <v>18</v>
      </c>
      <c r="Z4" s="3">
        <f>-X4/12</f>
        <v>-1</v>
      </c>
      <c r="AA4" s="3">
        <f>-Y4/12</f>
        <v>-1.5</v>
      </c>
      <c r="AB4" s="3">
        <f>(V4*W4)/144</f>
        <v>6</v>
      </c>
      <c r="AC4" s="46">
        <f>4*AB4</f>
        <v>24</v>
      </c>
      <c r="AD4" s="3"/>
      <c r="AF4" s="15">
        <f>AF3+10</f>
        <v>40</v>
      </c>
      <c r="AG4" s="14">
        <v>150</v>
      </c>
      <c r="AH4" s="21" t="s">
        <v>27</v>
      </c>
    </row>
    <row r="5" spans="2:34">
      <c r="B5" s="39" t="s">
        <v>290</v>
      </c>
      <c r="C5" s="56">
        <f>14.04*1</f>
        <v>14.04</v>
      </c>
      <c r="D5" s="56">
        <f>14.04*3</f>
        <v>42.12</v>
      </c>
      <c r="E5" s="56">
        <f t="shared" si="0"/>
        <v>7.02</v>
      </c>
      <c r="F5" s="56">
        <f t="shared" si="0"/>
        <v>21.06</v>
      </c>
      <c r="G5" s="56">
        <f>-G4</f>
        <v>1.085</v>
      </c>
      <c r="H5" s="56">
        <f>H4</f>
        <v>-2.2549999999999999</v>
      </c>
      <c r="I5" s="56"/>
      <c r="J5" s="57"/>
      <c r="L5" s="45"/>
      <c r="M5" s="3"/>
      <c r="N5" s="3"/>
      <c r="O5" s="3"/>
      <c r="P5" s="3"/>
      <c r="Q5" s="3">
        <f>O4/12</f>
        <v>0.91666666666666663</v>
      </c>
      <c r="R5" s="3">
        <f>-P4/12</f>
        <v>-1.5</v>
      </c>
      <c r="S5" s="3"/>
      <c r="T5" s="46"/>
      <c r="U5" s="66"/>
      <c r="V5" s="3"/>
      <c r="W5" s="3"/>
      <c r="X5" s="3"/>
      <c r="Y5" s="3"/>
      <c r="Z5" s="3">
        <f>X4/12</f>
        <v>1</v>
      </c>
      <c r="AA5" s="3">
        <f>-Y4/12</f>
        <v>-1.5</v>
      </c>
      <c r="AB5" s="3"/>
      <c r="AC5" s="46"/>
      <c r="AD5" s="3"/>
      <c r="AF5" s="15">
        <f>AF4+10</f>
        <v>50</v>
      </c>
      <c r="AG5" s="14">
        <v>170</v>
      </c>
      <c r="AH5" s="21" t="s">
        <v>27</v>
      </c>
    </row>
    <row r="6" spans="2:34">
      <c r="B6" s="39" t="s">
        <v>291</v>
      </c>
      <c r="C6" s="56">
        <f>C7+6*2</f>
        <v>54.12</v>
      </c>
      <c r="D6" s="56">
        <f>D7+6*2</f>
        <v>26.04</v>
      </c>
      <c r="E6" s="56">
        <f t="shared" si="0"/>
        <v>27.06</v>
      </c>
      <c r="F6" s="56">
        <f t="shared" si="0"/>
        <v>13.02</v>
      </c>
      <c r="G6" s="56">
        <f>G5</f>
        <v>1.085</v>
      </c>
      <c r="H6" s="56">
        <f>-H4</f>
        <v>2.2549999999999999</v>
      </c>
      <c r="I6" s="56"/>
      <c r="J6" s="57"/>
      <c r="L6" s="45"/>
      <c r="M6" s="3"/>
      <c r="N6" s="3"/>
      <c r="O6" s="3"/>
      <c r="P6" s="3"/>
      <c r="Q6" s="3">
        <f>O4/12</f>
        <v>0.91666666666666663</v>
      </c>
      <c r="R6" s="3">
        <f>P4/12</f>
        <v>1.5</v>
      </c>
      <c r="S6" s="3"/>
      <c r="T6" s="46"/>
      <c r="U6" s="66"/>
      <c r="V6" s="3"/>
      <c r="W6" s="3"/>
      <c r="X6" s="3"/>
      <c r="Y6" s="3"/>
      <c r="Z6" s="3">
        <f>X4/12</f>
        <v>1</v>
      </c>
      <c r="AA6" s="3">
        <f>Y4/12</f>
        <v>1.5</v>
      </c>
      <c r="AB6" s="3"/>
      <c r="AC6" s="46"/>
      <c r="AD6" s="3"/>
      <c r="AF6" s="15">
        <f>AF5+10</f>
        <v>60</v>
      </c>
      <c r="AG6" s="14"/>
      <c r="AH6" s="21"/>
    </row>
    <row r="7" spans="2:34">
      <c r="B7" s="39" t="s">
        <v>292</v>
      </c>
      <c r="C7" s="56">
        <f>14.04*3</f>
        <v>42.12</v>
      </c>
      <c r="D7" s="56">
        <f>14.04*1</f>
        <v>14.04</v>
      </c>
      <c r="E7" s="56">
        <f t="shared" si="0"/>
        <v>21.06</v>
      </c>
      <c r="F7" s="56">
        <f t="shared" si="0"/>
        <v>7.02</v>
      </c>
      <c r="G7" s="56">
        <f>G4</f>
        <v>-1.085</v>
      </c>
      <c r="H7" s="56">
        <f>-H4</f>
        <v>2.2549999999999999</v>
      </c>
      <c r="I7" s="56"/>
      <c r="J7" s="57"/>
      <c r="L7" s="45"/>
      <c r="M7" s="3"/>
      <c r="N7" s="3"/>
      <c r="O7" s="3"/>
      <c r="P7" s="3"/>
      <c r="Q7" s="3">
        <f>-O4/12</f>
        <v>-0.91666666666666663</v>
      </c>
      <c r="R7" s="3">
        <f>P4/12</f>
        <v>1.5</v>
      </c>
      <c r="S7" s="3"/>
      <c r="T7" s="46"/>
      <c r="U7" s="66"/>
      <c r="V7" s="3"/>
      <c r="W7" s="3"/>
      <c r="X7" s="3"/>
      <c r="Y7" s="3"/>
      <c r="Z7" s="3">
        <f>-X4/12</f>
        <v>-1</v>
      </c>
      <c r="AA7" s="3">
        <f>Y4/12</f>
        <v>1.5</v>
      </c>
      <c r="AB7" s="3"/>
      <c r="AC7" s="46"/>
      <c r="AD7" s="3"/>
      <c r="AF7" s="15">
        <f>AF6+10</f>
        <v>70</v>
      </c>
      <c r="AG7" s="14"/>
      <c r="AH7" s="21"/>
    </row>
    <row r="8" spans="2:34" ht="15" thickBot="1">
      <c r="B8" s="39" t="s">
        <v>293</v>
      </c>
      <c r="C8" s="56">
        <f>C5+2.5*2</f>
        <v>19.04</v>
      </c>
      <c r="D8" s="56">
        <f>D5+6*2</f>
        <v>54.12</v>
      </c>
      <c r="E8" s="56">
        <f t="shared" si="0"/>
        <v>9.52</v>
      </c>
      <c r="F8" s="56">
        <f t="shared" si="0"/>
        <v>27.06</v>
      </c>
      <c r="G8" s="56">
        <f>G4</f>
        <v>-1.085</v>
      </c>
      <c r="H8" s="56">
        <f>H4</f>
        <v>-2.2549999999999999</v>
      </c>
      <c r="I8" s="56"/>
      <c r="J8" s="57"/>
      <c r="L8" s="44"/>
      <c r="M8" s="47"/>
      <c r="N8" s="47"/>
      <c r="O8" s="47"/>
      <c r="P8" s="47"/>
      <c r="Q8" s="47">
        <f>-O4/12</f>
        <v>-0.91666666666666663</v>
      </c>
      <c r="R8" s="47">
        <f>-P4/12</f>
        <v>-1.5</v>
      </c>
      <c r="S8" s="47"/>
      <c r="T8" s="48"/>
      <c r="U8" s="67"/>
      <c r="V8" s="47"/>
      <c r="W8" s="47"/>
      <c r="X8" s="47"/>
      <c r="Y8" s="47"/>
      <c r="Z8" s="47">
        <f>-X4/12</f>
        <v>-1</v>
      </c>
      <c r="AA8" s="47">
        <f>-Y4/12</f>
        <v>-1.5</v>
      </c>
      <c r="AB8" s="47"/>
      <c r="AC8" s="48"/>
      <c r="AD8" s="3"/>
      <c r="AF8" s="16">
        <f>AF7+8</f>
        <v>78</v>
      </c>
      <c r="AG8" s="17"/>
      <c r="AH8" s="22"/>
    </row>
    <row r="9" spans="2:34" ht="15" thickBot="1">
      <c r="B9" s="39" t="s">
        <v>294</v>
      </c>
      <c r="C9" s="56">
        <f>C7+6*2</f>
        <v>54.12</v>
      </c>
      <c r="D9" s="56">
        <f>D7+2.5*2</f>
        <v>19.04</v>
      </c>
      <c r="E9" s="56">
        <f t="shared" si="0"/>
        <v>27.06</v>
      </c>
      <c r="F9" s="56">
        <f t="shared" si="0"/>
        <v>9.52</v>
      </c>
      <c r="G9" s="56">
        <f>-G4</f>
        <v>1.085</v>
      </c>
      <c r="H9" s="56">
        <f>-H4</f>
        <v>2.2549999999999999</v>
      </c>
      <c r="I9" s="56"/>
      <c r="J9" s="5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4" ht="15" thickBot="1">
      <c r="B10" s="44"/>
      <c r="C10" s="58"/>
      <c r="D10" s="58"/>
      <c r="E10" s="58"/>
      <c r="F10" s="58"/>
      <c r="G10" s="58">
        <f>IF(AND(Dimensions!C49=1,Dimensions!C45=2),-E6/12,IF(AND(Dimensions!C49=1,Dimensions!C45=1),-E4/12,IF(AND(Dimensions!C49=2,Dimensions!C45=2),-E7/12,IF(AND(Dimensions!C49=2,Dimensions!C45=1),-E5/12))))</f>
        <v>-1.085</v>
      </c>
      <c r="H10" s="58">
        <f>IF(AND(Dimensions!C49=1,Dimensions!C45=2),-F6/12,IF(AND(Dimensions!C49=1,Dimensions!C45=1),-F4/12,IF(AND(Dimensions!C49=2,Dimensions!C45=2),-F7/12,IF(AND(Dimensions!C49=2,Dimensions!C45=1),-F5/12))))</f>
        <v>-2.2549999999999999</v>
      </c>
      <c r="I10" s="58"/>
      <c r="J10" s="59"/>
      <c r="L10" s="37" t="s">
        <v>296</v>
      </c>
      <c r="M10" s="54" t="s">
        <v>8</v>
      </c>
      <c r="N10" s="54" t="s">
        <v>9</v>
      </c>
      <c r="O10" s="54" t="s">
        <v>10</v>
      </c>
      <c r="P10" s="54" t="s">
        <v>11</v>
      </c>
      <c r="Q10" s="54" t="s">
        <v>12</v>
      </c>
      <c r="R10" s="54" t="s">
        <v>13</v>
      </c>
      <c r="S10" s="54" t="s">
        <v>22</v>
      </c>
      <c r="T10" s="55" t="s">
        <v>54</v>
      </c>
      <c r="U10" s="37" t="s">
        <v>300</v>
      </c>
      <c r="V10" s="54" t="s">
        <v>8</v>
      </c>
      <c r="W10" s="54" t="s">
        <v>9</v>
      </c>
      <c r="X10" s="54" t="s">
        <v>10</v>
      </c>
      <c r="Y10" s="54" t="s">
        <v>11</v>
      </c>
      <c r="Z10" s="54" t="s">
        <v>12</v>
      </c>
      <c r="AA10" s="54" t="s">
        <v>13</v>
      </c>
      <c r="AB10" s="54" t="s">
        <v>22</v>
      </c>
      <c r="AC10" s="55" t="s">
        <v>54</v>
      </c>
      <c r="AD10" s="3"/>
      <c r="AE10" s="62" t="s">
        <v>112</v>
      </c>
      <c r="AF10" s="53" t="s">
        <v>115</v>
      </c>
    </row>
    <row r="11" spans="2:34" ht="15" thickBot="1">
      <c r="C11" s="3"/>
      <c r="D11" s="3"/>
      <c r="E11" s="3"/>
      <c r="F11" s="3"/>
      <c r="G11" s="3"/>
      <c r="H11" s="3"/>
      <c r="I11" s="3"/>
      <c r="J11" s="3"/>
      <c r="L11" s="45"/>
      <c r="M11" s="9">
        <f>Arm1Design!$E$8</f>
        <v>60</v>
      </c>
      <c r="N11" s="9">
        <f>Arm1Design!$E$9</f>
        <v>50</v>
      </c>
      <c r="O11" s="3">
        <f>M11/2</f>
        <v>30</v>
      </c>
      <c r="P11" s="3">
        <f>N11/2</f>
        <v>25</v>
      </c>
      <c r="Q11" s="3">
        <f>-O11/12</f>
        <v>-2.5</v>
      </c>
      <c r="R11" s="3">
        <f>-P11/12</f>
        <v>-2.0833333333333335</v>
      </c>
      <c r="S11" s="3">
        <f>(M11*N11)/144</f>
        <v>20.833333333333332</v>
      </c>
      <c r="T11" s="46">
        <f>4*S11</f>
        <v>83.333333333333329</v>
      </c>
      <c r="U11" s="66"/>
      <c r="V11" s="9">
        <f>Arm2Design!$E$8</f>
        <v>24</v>
      </c>
      <c r="W11" s="9">
        <f>Arm2Design!$E$9</f>
        <v>36</v>
      </c>
      <c r="X11" s="3">
        <f>V11/2</f>
        <v>12</v>
      </c>
      <c r="Y11" s="3">
        <f>W11/2</f>
        <v>18</v>
      </c>
      <c r="Z11" s="3">
        <f>-X11/12</f>
        <v>-1</v>
      </c>
      <c r="AA11" s="3">
        <f>-Y11/12</f>
        <v>-1.5</v>
      </c>
      <c r="AB11" s="3">
        <f>(V11*W11)/144</f>
        <v>6</v>
      </c>
      <c r="AC11" s="46">
        <f>4*AB11</f>
        <v>24</v>
      </c>
      <c r="AD11" s="3"/>
      <c r="AE11" s="15">
        <v>1</v>
      </c>
      <c r="AF11" s="21" t="s">
        <v>20</v>
      </c>
    </row>
    <row r="12" spans="2:34">
      <c r="B12" s="37" t="s">
        <v>33</v>
      </c>
      <c r="C12" s="54" t="s">
        <v>8</v>
      </c>
      <c r="D12" s="54" t="s">
        <v>9</v>
      </c>
      <c r="E12" s="54" t="s">
        <v>10</v>
      </c>
      <c r="F12" s="54" t="s">
        <v>11</v>
      </c>
      <c r="G12" s="54" t="s">
        <v>12</v>
      </c>
      <c r="H12" s="54" t="s">
        <v>13</v>
      </c>
      <c r="I12" s="54" t="s">
        <v>22</v>
      </c>
      <c r="J12" s="55" t="s">
        <v>54</v>
      </c>
      <c r="L12" s="45"/>
      <c r="M12" s="3"/>
      <c r="N12" s="3"/>
      <c r="O12" s="3"/>
      <c r="P12" s="3"/>
      <c r="Q12" s="3">
        <f>O11/12</f>
        <v>2.5</v>
      </c>
      <c r="R12" s="3">
        <f>-P11/12</f>
        <v>-2.0833333333333335</v>
      </c>
      <c r="S12" s="3"/>
      <c r="T12" s="46"/>
      <c r="U12" s="66"/>
      <c r="V12" s="3"/>
      <c r="W12" s="3"/>
      <c r="X12" s="3"/>
      <c r="Y12" s="3"/>
      <c r="Z12" s="3">
        <f>X11/12</f>
        <v>1</v>
      </c>
      <c r="AA12" s="3">
        <f>-Y11/12</f>
        <v>-1.5</v>
      </c>
      <c r="AB12" s="3"/>
      <c r="AC12" s="46"/>
      <c r="AD12" s="3"/>
      <c r="AE12" s="15">
        <f>AE11+1</f>
        <v>2</v>
      </c>
      <c r="AF12" s="21" t="s">
        <v>140</v>
      </c>
    </row>
    <row r="13" spans="2:34">
      <c r="B13" s="39" t="s">
        <v>289</v>
      </c>
      <c r="C13" s="56">
        <f>C14+6*2</f>
        <v>26.04</v>
      </c>
      <c r="D13" s="56">
        <f>D14+6*2</f>
        <v>68.16</v>
      </c>
      <c r="E13" s="56">
        <f t="shared" ref="E13:F18" si="1">C13/2</f>
        <v>13.02</v>
      </c>
      <c r="F13" s="56">
        <f t="shared" si="1"/>
        <v>34.08</v>
      </c>
      <c r="G13" s="56">
        <f>IF(AND(Dimensions!C49=1,Dimensions!C45=2),-E15/12,IF(AND(Dimensions!C49=1,Dimensions!C45=1),-E13/12,IF(AND(Dimensions!C49=2,Dimensions!C45=2),-E16/12,IF(AND(Dimensions!C49=2,Dimensions!C45=1),-E14/12,IF(AND(Dimensions!C49=3,Dimensions!C45=2),-E18/12,IF(AND(Dimensions!C49=3,Dimensions!C45=1),-E17/12))))))</f>
        <v>-1.085</v>
      </c>
      <c r="H13" s="56">
        <f>IF(AND(Dimensions!C49=1,Dimensions!C45=2),-F15/12,IF(AND(Dimensions!C49=1,Dimensions!C45=1),-F13/12,IF(AND(Dimensions!C49=2,Dimensions!C45=2),-F16/12,IF(AND(Dimensions!C49=2,Dimensions!C45=1),-F14/12,IF(AND(Dimensions!C49=3,Dimensions!C45=2),-F18/12,IF(AND(Dimensions!C49=3,Dimensions!C45=1),-F17/12))))))</f>
        <v>-2.84</v>
      </c>
      <c r="I13" s="56">
        <f>(IF(Dimensions!C49=1,C13*D13,IF(Dimensions!C49=2,C14*D14,C17*D17))/144)</f>
        <v>12.3256</v>
      </c>
      <c r="J13" s="40">
        <v>65</v>
      </c>
      <c r="L13" s="45"/>
      <c r="M13" s="3"/>
      <c r="N13" s="3"/>
      <c r="O13" s="3"/>
      <c r="P13" s="3"/>
      <c r="Q13" s="3">
        <f>O11/12</f>
        <v>2.5</v>
      </c>
      <c r="R13" s="3">
        <f>P11/12</f>
        <v>2.0833333333333335</v>
      </c>
      <c r="S13" s="3"/>
      <c r="T13" s="46"/>
      <c r="U13" s="66"/>
      <c r="V13" s="3"/>
      <c r="W13" s="3"/>
      <c r="X13" s="3"/>
      <c r="Y13" s="3"/>
      <c r="Z13" s="3">
        <f>X11/12</f>
        <v>1</v>
      </c>
      <c r="AA13" s="3">
        <f>Y11/12</f>
        <v>1.5</v>
      </c>
      <c r="AB13" s="3"/>
      <c r="AC13" s="46"/>
      <c r="AD13" s="3"/>
      <c r="AE13" s="15">
        <f t="shared" ref="AE13:AE23" si="2">AE12+1</f>
        <v>3</v>
      </c>
      <c r="AF13" s="21" t="s">
        <v>125</v>
      </c>
    </row>
    <row r="14" spans="2:34">
      <c r="B14" s="39" t="s">
        <v>290</v>
      </c>
      <c r="C14" s="56">
        <f>14.04*1</f>
        <v>14.04</v>
      </c>
      <c r="D14" s="56">
        <f>14.04*4</f>
        <v>56.16</v>
      </c>
      <c r="E14" s="56">
        <f t="shared" si="1"/>
        <v>7.02</v>
      </c>
      <c r="F14" s="56">
        <f t="shared" si="1"/>
        <v>28.08</v>
      </c>
      <c r="G14" s="56">
        <f>-G13</f>
        <v>1.085</v>
      </c>
      <c r="H14" s="56">
        <f>H13</f>
        <v>-2.84</v>
      </c>
      <c r="I14" s="56"/>
      <c r="J14" s="57"/>
      <c r="L14" s="45"/>
      <c r="M14" s="3"/>
      <c r="N14" s="3"/>
      <c r="O14" s="3"/>
      <c r="P14" s="3"/>
      <c r="Q14" s="3">
        <f>-O11/12</f>
        <v>-2.5</v>
      </c>
      <c r="R14" s="3">
        <f>P11/12</f>
        <v>2.0833333333333335</v>
      </c>
      <c r="S14" s="3"/>
      <c r="T14" s="46"/>
      <c r="U14" s="66"/>
      <c r="V14" s="3"/>
      <c r="W14" s="3"/>
      <c r="X14" s="3"/>
      <c r="Y14" s="3"/>
      <c r="Z14" s="3">
        <f>-X11/12</f>
        <v>-1</v>
      </c>
      <c r="AA14" s="3">
        <f>Y11/12</f>
        <v>1.5</v>
      </c>
      <c r="AB14" s="3"/>
      <c r="AC14" s="46"/>
      <c r="AD14" s="3"/>
      <c r="AE14" s="15">
        <f t="shared" si="2"/>
        <v>4</v>
      </c>
      <c r="AF14" s="21" t="s">
        <v>126</v>
      </c>
    </row>
    <row r="15" spans="2:34" ht="15" thickBot="1">
      <c r="B15" s="39" t="s">
        <v>32</v>
      </c>
      <c r="C15" s="56">
        <f>C16+6*2</f>
        <v>68.16</v>
      </c>
      <c r="D15" s="56">
        <f>D16+6*2</f>
        <v>26.04</v>
      </c>
      <c r="E15" s="56">
        <f t="shared" si="1"/>
        <v>34.08</v>
      </c>
      <c r="F15" s="56">
        <f t="shared" si="1"/>
        <v>13.02</v>
      </c>
      <c r="G15" s="56">
        <f>-G13</f>
        <v>1.085</v>
      </c>
      <c r="H15" s="56">
        <f>-H13</f>
        <v>2.84</v>
      </c>
      <c r="I15" s="56"/>
      <c r="J15" s="57"/>
      <c r="L15" s="44"/>
      <c r="M15" s="47"/>
      <c r="N15" s="47"/>
      <c r="O15" s="47"/>
      <c r="P15" s="47"/>
      <c r="Q15" s="47">
        <f>-O11/12</f>
        <v>-2.5</v>
      </c>
      <c r="R15" s="47">
        <f>-P11/12</f>
        <v>-2.0833333333333335</v>
      </c>
      <c r="S15" s="47"/>
      <c r="T15" s="48"/>
      <c r="U15" s="67"/>
      <c r="V15" s="47"/>
      <c r="W15" s="47"/>
      <c r="X15" s="47"/>
      <c r="Y15" s="47"/>
      <c r="Z15" s="47">
        <f>-X11/12</f>
        <v>-1</v>
      </c>
      <c r="AA15" s="47">
        <f>-Y11/12</f>
        <v>-1.5</v>
      </c>
      <c r="AB15" s="47"/>
      <c r="AC15" s="48"/>
      <c r="AD15" s="3"/>
      <c r="AE15" s="15">
        <f>AE14+1</f>
        <v>5</v>
      </c>
      <c r="AF15" s="21" t="s">
        <v>127</v>
      </c>
    </row>
    <row r="16" spans="2:34" ht="15" thickBot="1">
      <c r="B16" s="39" t="s">
        <v>292</v>
      </c>
      <c r="C16" s="56">
        <f>14.04*4</f>
        <v>56.16</v>
      </c>
      <c r="D16" s="56">
        <f>14.04*1</f>
        <v>14.04</v>
      </c>
      <c r="E16" s="56">
        <f t="shared" si="1"/>
        <v>28.08</v>
      </c>
      <c r="F16" s="56">
        <f t="shared" si="1"/>
        <v>7.02</v>
      </c>
      <c r="G16" s="56">
        <f>G13</f>
        <v>-1.085</v>
      </c>
      <c r="H16" s="56">
        <f>-H13</f>
        <v>2.84</v>
      </c>
      <c r="I16" s="56"/>
      <c r="J16" s="5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5">
        <f t="shared" si="2"/>
        <v>6</v>
      </c>
      <c r="AF16" s="21" t="s">
        <v>128</v>
      </c>
    </row>
    <row r="17" spans="2:32">
      <c r="B17" s="39" t="s">
        <v>293</v>
      </c>
      <c r="C17" s="56">
        <f>C14+2.5*2</f>
        <v>19.04</v>
      </c>
      <c r="D17" s="56">
        <f>D14+6*2</f>
        <v>68.16</v>
      </c>
      <c r="E17" s="56">
        <f t="shared" si="1"/>
        <v>9.52</v>
      </c>
      <c r="F17" s="56">
        <f t="shared" si="1"/>
        <v>34.08</v>
      </c>
      <c r="G17" s="56">
        <f>G13</f>
        <v>-1.085</v>
      </c>
      <c r="H17" s="56">
        <f>H13</f>
        <v>-2.84</v>
      </c>
      <c r="I17" s="56"/>
      <c r="J17" s="57"/>
      <c r="L17" s="37" t="s">
        <v>297</v>
      </c>
      <c r="M17" s="54" t="s">
        <v>8</v>
      </c>
      <c r="N17" s="54" t="s">
        <v>9</v>
      </c>
      <c r="O17" s="54" t="s">
        <v>10</v>
      </c>
      <c r="P17" s="54" t="s">
        <v>11</v>
      </c>
      <c r="Q17" s="54" t="s">
        <v>12</v>
      </c>
      <c r="R17" s="54" t="s">
        <v>13</v>
      </c>
      <c r="S17" s="54" t="s">
        <v>22</v>
      </c>
      <c r="T17" s="55" t="s">
        <v>54</v>
      </c>
      <c r="U17" s="37" t="s">
        <v>301</v>
      </c>
      <c r="V17" s="54" t="s">
        <v>8</v>
      </c>
      <c r="W17" s="54" t="s">
        <v>9</v>
      </c>
      <c r="X17" s="54" t="s">
        <v>10</v>
      </c>
      <c r="Y17" s="54" t="s">
        <v>11</v>
      </c>
      <c r="Z17" s="54" t="s">
        <v>12</v>
      </c>
      <c r="AA17" s="54" t="s">
        <v>13</v>
      </c>
      <c r="AB17" s="54" t="s">
        <v>22</v>
      </c>
      <c r="AC17" s="55" t="s">
        <v>54</v>
      </c>
      <c r="AD17" s="3"/>
      <c r="AE17" s="15">
        <f t="shared" si="2"/>
        <v>7</v>
      </c>
      <c r="AF17" s="21" t="s">
        <v>129</v>
      </c>
    </row>
    <row r="18" spans="2:32">
      <c r="B18" s="39" t="s">
        <v>294</v>
      </c>
      <c r="C18" s="56">
        <f>C16+6*2</f>
        <v>68.16</v>
      </c>
      <c r="D18" s="56">
        <f>D16+2.5*2</f>
        <v>19.04</v>
      </c>
      <c r="E18" s="56">
        <f t="shared" si="1"/>
        <v>34.08</v>
      </c>
      <c r="F18" s="56">
        <f t="shared" si="1"/>
        <v>9.52</v>
      </c>
      <c r="G18" s="56">
        <f>-G13</f>
        <v>1.085</v>
      </c>
      <c r="H18" s="56">
        <f>-H13</f>
        <v>2.84</v>
      </c>
      <c r="I18" s="56"/>
      <c r="J18" s="57"/>
      <c r="L18" s="45"/>
      <c r="M18" s="9">
        <f>Arm1Design!$F$8</f>
        <v>24</v>
      </c>
      <c r="N18" s="9">
        <f>Arm1Design!$F$9</f>
        <v>36</v>
      </c>
      <c r="O18" s="3">
        <f>M18/2</f>
        <v>12</v>
      </c>
      <c r="P18" s="3">
        <f>N18/2</f>
        <v>18</v>
      </c>
      <c r="Q18" s="3">
        <f>-O18/12</f>
        <v>-1</v>
      </c>
      <c r="R18" s="3">
        <f>-P18/12</f>
        <v>-1.5</v>
      </c>
      <c r="S18" s="3">
        <f>(M18*N18)/144</f>
        <v>6</v>
      </c>
      <c r="T18" s="46">
        <f>4*S18</f>
        <v>24</v>
      </c>
      <c r="U18" s="66"/>
      <c r="V18" s="9">
        <f>Arm2Design!$F$8</f>
        <v>24</v>
      </c>
      <c r="W18" s="9">
        <f>Arm2Design!$F$9</f>
        <v>36</v>
      </c>
      <c r="X18" s="3">
        <f>V18/2</f>
        <v>12</v>
      </c>
      <c r="Y18" s="3">
        <f>W18/2</f>
        <v>18</v>
      </c>
      <c r="Z18" s="3">
        <f>-X18/12</f>
        <v>-1</v>
      </c>
      <c r="AA18" s="3">
        <f>-Y18/12</f>
        <v>-1.5</v>
      </c>
      <c r="AB18" s="3">
        <f>(V18*W18)/144</f>
        <v>6</v>
      </c>
      <c r="AC18" s="46">
        <f>4*AB18</f>
        <v>24</v>
      </c>
      <c r="AD18" s="3"/>
      <c r="AE18" s="15">
        <f t="shared" si="2"/>
        <v>8</v>
      </c>
      <c r="AF18" s="21" t="s">
        <v>130</v>
      </c>
    </row>
    <row r="19" spans="2:32" ht="15" thickBot="1">
      <c r="B19" s="44"/>
      <c r="C19" s="58"/>
      <c r="D19" s="58"/>
      <c r="E19" s="58"/>
      <c r="F19" s="58"/>
      <c r="G19" s="58">
        <f>IF(AND(Dimensions!C49=1,Dimensions!C45=2),-E15/12,IF(AND(Dimensions!C49=1,Dimensions!C45=1),-E13/12,IF(AND(Dimensions!C49=2,Dimensions!C45=2),-E16/12,IF(AND(Dimensions!C49=2,Dimensions!C45=1),-E14/12))))</f>
        <v>-1.085</v>
      </c>
      <c r="H19" s="58">
        <f>IF(AND(Dimensions!C49=1,Dimensions!C45=2),-F15/12,IF(AND(Dimensions!C49=1,Dimensions!C45=1),-F13/12,IF(AND(Dimensions!C49=2,Dimensions!C45=2),-F16/12,IF(AND(Dimensions!C49=2,Dimensions!C45=1),-F14/12))))</f>
        <v>-2.84</v>
      </c>
      <c r="I19" s="58"/>
      <c r="J19" s="59"/>
      <c r="L19" s="45"/>
      <c r="M19" s="3"/>
      <c r="N19" s="3"/>
      <c r="O19" s="3"/>
      <c r="P19" s="3"/>
      <c r="Q19" s="3">
        <f>O18/12</f>
        <v>1</v>
      </c>
      <c r="R19" s="3">
        <f>-P18/12</f>
        <v>-1.5</v>
      </c>
      <c r="S19" s="3"/>
      <c r="T19" s="46"/>
      <c r="U19" s="66"/>
      <c r="V19" s="3"/>
      <c r="W19" s="3"/>
      <c r="X19" s="3"/>
      <c r="Y19" s="3"/>
      <c r="Z19" s="3">
        <f>X18/12</f>
        <v>1</v>
      </c>
      <c r="AA19" s="3">
        <f>-Y18/12</f>
        <v>-1.5</v>
      </c>
      <c r="AB19" s="3"/>
      <c r="AC19" s="46"/>
      <c r="AD19" s="3"/>
      <c r="AE19" s="15">
        <f t="shared" si="2"/>
        <v>9</v>
      </c>
      <c r="AF19" s="21" t="s">
        <v>131</v>
      </c>
    </row>
    <row r="20" spans="2:32" ht="15" thickBot="1">
      <c r="C20" s="3"/>
      <c r="D20" s="3"/>
      <c r="E20" s="3"/>
      <c r="F20" s="3"/>
      <c r="G20" s="3"/>
      <c r="H20" s="3"/>
      <c r="I20" s="3"/>
      <c r="J20" s="3"/>
      <c r="L20" s="45"/>
      <c r="M20" s="3"/>
      <c r="N20" s="3"/>
      <c r="O20" s="3"/>
      <c r="P20" s="3"/>
      <c r="Q20" s="3">
        <f>O18/12</f>
        <v>1</v>
      </c>
      <c r="R20" s="3">
        <f>P18/12</f>
        <v>1.5</v>
      </c>
      <c r="S20" s="3"/>
      <c r="T20" s="46"/>
      <c r="U20" s="66"/>
      <c r="V20" s="3"/>
      <c r="W20" s="3"/>
      <c r="X20" s="3"/>
      <c r="Y20" s="3"/>
      <c r="Z20" s="3">
        <f>X18/12</f>
        <v>1</v>
      </c>
      <c r="AA20" s="3">
        <f>Y18/12</f>
        <v>1.5</v>
      </c>
      <c r="AB20" s="3"/>
      <c r="AC20" s="46"/>
      <c r="AD20" s="3"/>
      <c r="AE20" s="15">
        <f t="shared" si="2"/>
        <v>10</v>
      </c>
      <c r="AF20" s="21" t="s">
        <v>132</v>
      </c>
    </row>
    <row r="21" spans="2:32">
      <c r="B21" s="37" t="s">
        <v>34</v>
      </c>
      <c r="C21" s="54" t="s">
        <v>8</v>
      </c>
      <c r="D21" s="54" t="s">
        <v>9</v>
      </c>
      <c r="E21" s="54" t="s">
        <v>10</v>
      </c>
      <c r="F21" s="54" t="s">
        <v>11</v>
      </c>
      <c r="G21" s="54" t="s">
        <v>12</v>
      </c>
      <c r="H21" s="54" t="s">
        <v>13</v>
      </c>
      <c r="I21" s="54" t="s">
        <v>22</v>
      </c>
      <c r="J21" s="55" t="s">
        <v>54</v>
      </c>
      <c r="L21" s="45"/>
      <c r="M21" s="3"/>
      <c r="N21" s="3"/>
      <c r="O21" s="3"/>
      <c r="P21" s="3"/>
      <c r="Q21" s="3">
        <f>-O18/12</f>
        <v>-1</v>
      </c>
      <c r="R21" s="3">
        <f>P18/12</f>
        <v>1.5</v>
      </c>
      <c r="S21" s="3"/>
      <c r="T21" s="46"/>
      <c r="U21" s="66"/>
      <c r="V21" s="3"/>
      <c r="W21" s="3"/>
      <c r="X21" s="3"/>
      <c r="Y21" s="3"/>
      <c r="Z21" s="3">
        <f>-X18/12</f>
        <v>-1</v>
      </c>
      <c r="AA21" s="3">
        <f>Y18/12</f>
        <v>1.5</v>
      </c>
      <c r="AB21" s="3"/>
      <c r="AC21" s="46"/>
      <c r="AD21" s="3"/>
      <c r="AE21" s="15">
        <f t="shared" si="2"/>
        <v>11</v>
      </c>
      <c r="AF21" s="21" t="s">
        <v>133</v>
      </c>
    </row>
    <row r="22" spans="2:32" ht="15" thickBot="1">
      <c r="B22" s="39" t="s">
        <v>289</v>
      </c>
      <c r="C22" s="56">
        <f>C23+6*2</f>
        <v>26.04</v>
      </c>
      <c r="D22" s="56">
        <f>D23+6*2</f>
        <v>82.199999999999989</v>
      </c>
      <c r="E22" s="56">
        <f t="shared" ref="E22:F27" si="3">C22/2</f>
        <v>13.02</v>
      </c>
      <c r="F22" s="56">
        <f t="shared" si="3"/>
        <v>41.099999999999994</v>
      </c>
      <c r="G22" s="56">
        <f>IF(AND(Dimensions!C49=1,Dimensions!C45=2),-E24/12,IF(AND(Dimensions!C49=1,Dimensions!C45=1),-E22/12,IF(AND(Dimensions!C49=2,Dimensions!C45=2),-E25/12,IF(AND(Dimensions!C49=2,Dimensions!C45=1),-E23/12,IF(AND(Dimensions!C49=3,Dimensions!C45=2),-E27/12,IF(AND(Dimensions!C49=3,Dimensions!C45=1),-E26/12))))))</f>
        <v>-1.085</v>
      </c>
      <c r="H22" s="56">
        <f>IF(AND(Dimensions!C49=1,Dimensions!C45=2),-F24/12,IF(AND(Dimensions!C49=1,Dimensions!C45=1),-F22/12,IF(AND(Dimensions!C49=2,Dimensions!C45=2),-F25/12,IF(AND(Dimensions!C49=2,Dimensions!C45=1),-F23/12,IF(AND(Dimensions!C49=3,Dimensions!C45=2),-F27/12,IF(AND(Dimensions!C49=3,Dimensions!C45=1),-F26/12))))))</f>
        <v>-3.4249999999999994</v>
      </c>
      <c r="I22" s="56">
        <f>(IF(Dimensions!C49=1,C22*D22,IF(Dimensions!C49=2,C23*D23,C26*D26))/144)</f>
        <v>14.8645</v>
      </c>
      <c r="J22" s="40">
        <v>80</v>
      </c>
      <c r="L22" s="44"/>
      <c r="M22" s="47"/>
      <c r="N22" s="47"/>
      <c r="O22" s="47"/>
      <c r="P22" s="47"/>
      <c r="Q22" s="47">
        <f>-O18/12</f>
        <v>-1</v>
      </c>
      <c r="R22" s="47">
        <f>-P18/12</f>
        <v>-1.5</v>
      </c>
      <c r="S22" s="47"/>
      <c r="T22" s="48"/>
      <c r="U22" s="67"/>
      <c r="V22" s="47"/>
      <c r="W22" s="47"/>
      <c r="X22" s="47"/>
      <c r="Y22" s="47"/>
      <c r="Z22" s="47">
        <f>-X18/12</f>
        <v>-1</v>
      </c>
      <c r="AA22" s="47">
        <f>-Y18/12</f>
        <v>-1.5</v>
      </c>
      <c r="AB22" s="47"/>
      <c r="AC22" s="48"/>
      <c r="AD22" s="3"/>
      <c r="AE22" s="15">
        <f>AE21+1</f>
        <v>12</v>
      </c>
      <c r="AF22" s="21" t="s">
        <v>134</v>
      </c>
    </row>
    <row r="23" spans="2:32" ht="15" thickBot="1">
      <c r="B23" s="39" t="s">
        <v>290</v>
      </c>
      <c r="C23" s="56">
        <f>14.04*1</f>
        <v>14.04</v>
      </c>
      <c r="D23" s="56">
        <f>14.04*5</f>
        <v>70.199999999999989</v>
      </c>
      <c r="E23" s="56">
        <f t="shared" si="3"/>
        <v>7.02</v>
      </c>
      <c r="F23" s="56">
        <f t="shared" si="3"/>
        <v>35.099999999999994</v>
      </c>
      <c r="G23" s="56">
        <f>-G22</f>
        <v>1.085</v>
      </c>
      <c r="H23" s="56">
        <f>H22</f>
        <v>-3.4249999999999994</v>
      </c>
      <c r="I23" s="56"/>
      <c r="J23" s="5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6">
        <f t="shared" si="2"/>
        <v>13</v>
      </c>
      <c r="AF23" s="22" t="s">
        <v>135</v>
      </c>
    </row>
    <row r="24" spans="2:32">
      <c r="B24" s="39" t="s">
        <v>291</v>
      </c>
      <c r="C24" s="56">
        <f>C25+6*2</f>
        <v>82.199999999999989</v>
      </c>
      <c r="D24" s="56">
        <f>D25+6*2</f>
        <v>26.04</v>
      </c>
      <c r="E24" s="56">
        <f t="shared" si="3"/>
        <v>41.099999999999994</v>
      </c>
      <c r="F24" s="56">
        <f t="shared" si="3"/>
        <v>13.02</v>
      </c>
      <c r="G24" s="56">
        <f>-G22</f>
        <v>1.085</v>
      </c>
      <c r="H24" s="56">
        <f>-H22</f>
        <v>3.4249999999999994</v>
      </c>
      <c r="I24" s="56"/>
      <c r="J24" s="57"/>
      <c r="L24" s="37" t="s">
        <v>298</v>
      </c>
      <c r="M24" s="54" t="s">
        <v>8</v>
      </c>
      <c r="N24" s="54" t="s">
        <v>9</v>
      </c>
      <c r="O24" s="54" t="s">
        <v>10</v>
      </c>
      <c r="P24" s="54" t="s">
        <v>11</v>
      </c>
      <c r="Q24" s="54" t="s">
        <v>12</v>
      </c>
      <c r="R24" s="54" t="s">
        <v>13</v>
      </c>
      <c r="S24" s="54" t="s">
        <v>22</v>
      </c>
      <c r="T24" s="55" t="s">
        <v>54</v>
      </c>
      <c r="U24" s="37" t="s">
        <v>302</v>
      </c>
      <c r="V24" s="54" t="s">
        <v>8</v>
      </c>
      <c r="W24" s="54" t="s">
        <v>9</v>
      </c>
      <c r="X24" s="54" t="s">
        <v>10</v>
      </c>
      <c r="Y24" s="54" t="s">
        <v>11</v>
      </c>
      <c r="Z24" s="54" t="s">
        <v>12</v>
      </c>
      <c r="AA24" s="54" t="s">
        <v>13</v>
      </c>
      <c r="AB24" s="54" t="s">
        <v>22</v>
      </c>
      <c r="AC24" s="55" t="s">
        <v>54</v>
      </c>
      <c r="AD24" s="3"/>
      <c r="AE24" s="3"/>
      <c r="AF24" s="3"/>
    </row>
    <row r="25" spans="2:32" ht="15" thickBot="1">
      <c r="B25" s="39" t="s">
        <v>292</v>
      </c>
      <c r="C25" s="56">
        <f>14.04*5</f>
        <v>70.199999999999989</v>
      </c>
      <c r="D25" s="56">
        <f>14.04*1</f>
        <v>14.04</v>
      </c>
      <c r="E25" s="56">
        <f t="shared" si="3"/>
        <v>35.099999999999994</v>
      </c>
      <c r="F25" s="56">
        <f t="shared" si="3"/>
        <v>7.02</v>
      </c>
      <c r="G25" s="56">
        <f>G22</f>
        <v>-1.085</v>
      </c>
      <c r="H25" s="56">
        <f>-H22</f>
        <v>3.4249999999999994</v>
      </c>
      <c r="I25" s="56"/>
      <c r="J25" s="57"/>
      <c r="L25" s="45"/>
      <c r="M25" s="9">
        <f>Arm1Design!$G$8</f>
        <v>24</v>
      </c>
      <c r="N25" s="9">
        <f>Arm1Design!$G$9</f>
        <v>36</v>
      </c>
      <c r="O25" s="3">
        <f>M25/2</f>
        <v>12</v>
      </c>
      <c r="P25" s="3">
        <f>N25/2</f>
        <v>18</v>
      </c>
      <c r="Q25" s="3">
        <f>-O25/12</f>
        <v>-1</v>
      </c>
      <c r="R25" s="3">
        <f>-P25/12</f>
        <v>-1.5</v>
      </c>
      <c r="S25" s="3">
        <f>(M25*N25)/144</f>
        <v>6</v>
      </c>
      <c r="T25" s="46">
        <f>4*S25</f>
        <v>24</v>
      </c>
      <c r="U25" s="66"/>
      <c r="V25" s="9">
        <f>Arm2Design!$G$8</f>
        <v>24</v>
      </c>
      <c r="W25" s="9">
        <f>Arm2Design!$G$9</f>
        <v>36</v>
      </c>
      <c r="X25" s="3">
        <f>V25/2</f>
        <v>12</v>
      </c>
      <c r="Y25" s="3">
        <f>W25/2</f>
        <v>18</v>
      </c>
      <c r="Z25" s="3">
        <f>-X25/12</f>
        <v>-1</v>
      </c>
      <c r="AA25" s="3">
        <f>-Y25/12</f>
        <v>-1.5</v>
      </c>
      <c r="AB25" s="3">
        <f>(V25*W25)/144</f>
        <v>6</v>
      </c>
      <c r="AC25" s="46">
        <f>4*AB25</f>
        <v>24</v>
      </c>
      <c r="AD25" s="3"/>
      <c r="AE25" t="s">
        <v>116</v>
      </c>
    </row>
    <row r="26" spans="2:32" ht="15" thickBot="1">
      <c r="B26" s="39" t="s">
        <v>293</v>
      </c>
      <c r="C26" s="56">
        <f>C23+2.5*2</f>
        <v>19.04</v>
      </c>
      <c r="D26" s="56">
        <f>D23+6*2</f>
        <v>82.199999999999989</v>
      </c>
      <c r="E26" s="56">
        <f t="shared" si="3"/>
        <v>9.52</v>
      </c>
      <c r="F26" s="56">
        <f t="shared" si="3"/>
        <v>41.099999999999994</v>
      </c>
      <c r="G26" s="56">
        <f>G22</f>
        <v>-1.085</v>
      </c>
      <c r="H26" s="56">
        <f>H22</f>
        <v>-3.4249999999999994</v>
      </c>
      <c r="I26" s="56"/>
      <c r="J26" s="57"/>
      <c r="L26" s="45"/>
      <c r="M26" s="3"/>
      <c r="N26" s="3"/>
      <c r="O26" s="3"/>
      <c r="P26" s="3"/>
      <c r="Q26" s="3">
        <f>O25/12</f>
        <v>1</v>
      </c>
      <c r="R26" s="3">
        <f>-P25/12</f>
        <v>-1.5</v>
      </c>
      <c r="S26" s="3"/>
      <c r="T26" s="46"/>
      <c r="U26" s="66"/>
      <c r="V26" s="3"/>
      <c r="W26" s="3"/>
      <c r="X26" s="3"/>
      <c r="Y26" s="3"/>
      <c r="Z26" s="3">
        <f>X25/12</f>
        <v>1</v>
      </c>
      <c r="AA26" s="3">
        <f>-Y25/12</f>
        <v>-1.5</v>
      </c>
      <c r="AB26" s="3"/>
      <c r="AC26" s="46"/>
      <c r="AD26" s="3"/>
      <c r="AE26" s="63">
        <f>Arm1Design!B8</f>
        <v>0</v>
      </c>
      <c r="AF26" s="51" t="e">
        <f>VLOOKUP(AE26,Dimensions!AE11:AF23,2,)</f>
        <v>#N/A</v>
      </c>
    </row>
    <row r="27" spans="2:32">
      <c r="B27" s="39" t="s">
        <v>294</v>
      </c>
      <c r="C27" s="56">
        <f>C25+6*2</f>
        <v>82.199999999999989</v>
      </c>
      <c r="D27" s="56">
        <f>D25+2.5*2</f>
        <v>19.04</v>
      </c>
      <c r="E27" s="56">
        <f t="shared" si="3"/>
        <v>41.099999999999994</v>
      </c>
      <c r="F27" s="56">
        <f t="shared" si="3"/>
        <v>9.52</v>
      </c>
      <c r="G27" s="56">
        <f>-G22</f>
        <v>1.085</v>
      </c>
      <c r="H27" s="56">
        <f>-H22</f>
        <v>3.4249999999999994</v>
      </c>
      <c r="I27" s="56"/>
      <c r="J27" s="57"/>
      <c r="L27" s="45"/>
      <c r="M27" s="3"/>
      <c r="N27" s="3"/>
      <c r="O27" s="3"/>
      <c r="P27" s="3"/>
      <c r="Q27" s="3">
        <f>O25/12</f>
        <v>1</v>
      </c>
      <c r="R27" s="3">
        <f>P25/12</f>
        <v>1.5</v>
      </c>
      <c r="S27" s="3"/>
      <c r="T27" s="46"/>
      <c r="U27" s="66"/>
      <c r="V27" s="3"/>
      <c r="W27" s="3"/>
      <c r="X27" s="3"/>
      <c r="Y27" s="3"/>
      <c r="Z27" s="3">
        <f>X25/12</f>
        <v>1</v>
      </c>
      <c r="AA27" s="3">
        <f>Y25/12</f>
        <v>1.5</v>
      </c>
      <c r="AB27" s="3"/>
      <c r="AC27" s="46"/>
      <c r="AD27" s="3"/>
    </row>
    <row r="28" spans="2:32" ht="15" thickBot="1">
      <c r="B28" s="44"/>
      <c r="C28" s="58"/>
      <c r="D28" s="58"/>
      <c r="E28" s="58"/>
      <c r="F28" s="58"/>
      <c r="G28" s="58">
        <f>IF(AND(Dimensions!C49=1,Dimensions!C45=2),-E24/12,IF(AND(Dimensions!C49=1,Dimensions!C45=1),-E22/12,IF(AND(Dimensions!C49=2,Dimensions!C45=2),-E25/12,IF(AND(Dimensions!C49=2,Dimensions!C45=1),-E23/12))))</f>
        <v>-1.085</v>
      </c>
      <c r="H28" s="58">
        <f>IF(AND(Dimensions!C49=1,Dimensions!C45=2),-F24/12,IF(AND(Dimensions!C49=1,Dimensions!C45=1),-F22/12,IF(AND(Dimensions!C49=2,Dimensions!C45=2),-F25/12,IF(AND(Dimensions!C49=2,Dimensions!C45=1),-F23/12))))</f>
        <v>-3.4249999999999994</v>
      </c>
      <c r="I28" s="58"/>
      <c r="J28" s="59"/>
      <c r="L28" s="45"/>
      <c r="M28" s="3"/>
      <c r="N28" s="3"/>
      <c r="O28" s="3"/>
      <c r="P28" s="3"/>
      <c r="Q28" s="3">
        <f>-O25/12</f>
        <v>-1</v>
      </c>
      <c r="R28" s="3">
        <f>P25/12</f>
        <v>1.5</v>
      </c>
      <c r="S28" s="3"/>
      <c r="T28" s="46"/>
      <c r="U28" s="66"/>
      <c r="V28" s="3"/>
      <c r="W28" s="3"/>
      <c r="X28" s="3"/>
      <c r="Y28" s="3"/>
      <c r="Z28" s="3">
        <f>-X25/12</f>
        <v>-1</v>
      </c>
      <c r="AA28" s="3">
        <f>Y25/12</f>
        <v>1.5</v>
      </c>
      <c r="AB28" s="3"/>
      <c r="AC28" s="46"/>
      <c r="AD28" s="3"/>
    </row>
    <row r="29" spans="2:32" ht="15" thickBot="1">
      <c r="C29" s="3"/>
      <c r="D29" s="3"/>
      <c r="E29" s="3"/>
      <c r="F29" s="3"/>
      <c r="G29" s="3"/>
      <c r="H29" s="3"/>
      <c r="I29" s="3"/>
      <c r="J29" s="3"/>
      <c r="L29" s="44"/>
      <c r="M29" s="47"/>
      <c r="N29" s="47"/>
      <c r="O29" s="47"/>
      <c r="P29" s="47"/>
      <c r="Q29" s="47">
        <f>-O25/12</f>
        <v>-1</v>
      </c>
      <c r="R29" s="47">
        <f>-P25/12</f>
        <v>-1.5</v>
      </c>
      <c r="S29" s="47"/>
      <c r="T29" s="48"/>
      <c r="U29" s="67"/>
      <c r="V29" s="47"/>
      <c r="W29" s="47"/>
      <c r="X29" s="47"/>
      <c r="Y29" s="47"/>
      <c r="Z29" s="47">
        <f>-X25/12</f>
        <v>-1</v>
      </c>
      <c r="AA29" s="47">
        <f>-Y25/12</f>
        <v>-1.5</v>
      </c>
      <c r="AB29" s="47"/>
      <c r="AC29" s="48"/>
      <c r="AD29" s="3"/>
    </row>
    <row r="30" spans="2:32" ht="15" thickBot="1">
      <c r="B30" s="37" t="s">
        <v>35</v>
      </c>
      <c r="C30" s="54" t="s">
        <v>8</v>
      </c>
      <c r="D30" s="54" t="s">
        <v>9</v>
      </c>
      <c r="E30" s="54" t="s">
        <v>10</v>
      </c>
      <c r="F30" s="54" t="s">
        <v>11</v>
      </c>
      <c r="G30" s="54" t="s">
        <v>12</v>
      </c>
      <c r="H30" s="54" t="s">
        <v>13</v>
      </c>
      <c r="I30" s="54" t="s">
        <v>22</v>
      </c>
      <c r="J30" s="55" t="s">
        <v>54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2:32">
      <c r="B31" s="39" t="s">
        <v>289</v>
      </c>
      <c r="C31" s="56">
        <f>14.04*2+6*2</f>
        <v>40.08</v>
      </c>
      <c r="D31" s="56">
        <f>14.04*3+6*2</f>
        <v>54.12</v>
      </c>
      <c r="E31" s="56">
        <f>C31/2</f>
        <v>20.04</v>
      </c>
      <c r="F31" s="56">
        <f>D31/2</f>
        <v>27.06</v>
      </c>
      <c r="G31" s="56">
        <f>IF(AND(Dimensions!C49=1,Dimensions!C45=2),0,IF(AND(Dimensions!C49=1,Dimensions!C45=1),-E31/12,IF(AND(Dimensions!C49=2,Dimensions!C45=2),0,IF(AND(Dimensions!C49=2,Dimensions!C45=1),-E32/12))))</f>
        <v>-1.67</v>
      </c>
      <c r="H31" s="56">
        <f>IF(AND(Dimensions!C49=1,Dimensions!C45=2),-F33/12,IF(AND(Dimensions!C49=1,Dimensions!C45=1),-F31/12,IF(AND(Dimensions!C49=2,Dimensions!C45=2),-F34/12,IF(AND(Dimensions!C49=2,Dimensions!C45=1),-F32/12))))</f>
        <v>-2.2549999999999999</v>
      </c>
      <c r="I31" s="56">
        <f>(IF(Dimensions!C49=1,((D31*(C31-20))+((14+6)*(14+6*2))),((D32-14)*(C32))+(14*14)))/144</f>
        <v>11.157844444444443</v>
      </c>
      <c r="J31" s="40">
        <v>80</v>
      </c>
      <c r="L31" s="37" t="s">
        <v>303</v>
      </c>
      <c r="M31" s="54" t="s">
        <v>8</v>
      </c>
      <c r="N31" s="54" t="s">
        <v>9</v>
      </c>
      <c r="O31" s="54" t="s">
        <v>10</v>
      </c>
      <c r="P31" s="54" t="s">
        <v>11</v>
      </c>
      <c r="Q31" s="54" t="s">
        <v>12</v>
      </c>
      <c r="R31" s="54" t="s">
        <v>13</v>
      </c>
      <c r="S31" s="54" t="s">
        <v>22</v>
      </c>
      <c r="T31" s="55" t="s">
        <v>54</v>
      </c>
      <c r="U31" s="37" t="s">
        <v>304</v>
      </c>
      <c r="V31" s="54" t="s">
        <v>8</v>
      </c>
      <c r="W31" s="54" t="s">
        <v>9</v>
      </c>
      <c r="X31" s="54" t="s">
        <v>10</v>
      </c>
      <c r="Y31" s="54" t="s">
        <v>11</v>
      </c>
      <c r="Z31" s="54" t="s">
        <v>12</v>
      </c>
      <c r="AA31" s="54" t="s">
        <v>13</v>
      </c>
      <c r="AB31" s="54" t="s">
        <v>22</v>
      </c>
      <c r="AC31" s="55" t="s">
        <v>54</v>
      </c>
      <c r="AD31" s="3"/>
    </row>
    <row r="32" spans="2:32">
      <c r="B32" s="39" t="s">
        <v>290</v>
      </c>
      <c r="C32" s="56">
        <f>C31-6*2</f>
        <v>28.08</v>
      </c>
      <c r="D32" s="56">
        <f>D31-6*2</f>
        <v>42.12</v>
      </c>
      <c r="E32" s="56">
        <f>C32/2</f>
        <v>14.04</v>
      </c>
      <c r="F32" s="56">
        <f>D32/2</f>
        <v>21.06</v>
      </c>
      <c r="G32" s="56">
        <f>IF(AND(Dimensions!C49=1,Dimensions!C45=2),E33/12,IF(AND(Dimensions!C49=1,Dimensions!C45=1),E31/12,IF(AND(Dimensions!C49=2,Dimensions!C45=2),E34/12,IF(AND(Dimensions!C49=2,Dimensions!C45=1),E32/12))))</f>
        <v>1.67</v>
      </c>
      <c r="H32" s="56">
        <f>IF(AND(Dimensions!C49=1,Dimensions!C45=2),-F33/12,IF(AND(Dimensions!C49=1,Dimensions!C45=1),-F31/12,IF(AND(Dimensions!C49=2,Dimensions!C45=2),-F34/12,IF(AND(Dimensions!C49=2,Dimensions!C45=1),-F32/12))))</f>
        <v>-2.2549999999999999</v>
      </c>
      <c r="I32" s="56"/>
      <c r="J32" s="57"/>
      <c r="L32" s="45"/>
      <c r="M32" s="9">
        <f>Arm1Design!$H$8</f>
        <v>24</v>
      </c>
      <c r="N32" s="9">
        <f>Arm1Design!$H$9</f>
        <v>36</v>
      </c>
      <c r="O32" s="3">
        <f>M32/2</f>
        <v>12</v>
      </c>
      <c r="P32" s="3">
        <f>N32/2</f>
        <v>18</v>
      </c>
      <c r="Q32" s="3">
        <f>-O32/12</f>
        <v>-1</v>
      </c>
      <c r="R32" s="3">
        <f>-P32/12</f>
        <v>-1.5</v>
      </c>
      <c r="S32" s="3">
        <f>(M32*N32)/144</f>
        <v>6</v>
      </c>
      <c r="T32" s="46">
        <f>4*S32</f>
        <v>24</v>
      </c>
      <c r="U32" s="66"/>
      <c r="V32" s="9">
        <f>Arm2Design!$H$8</f>
        <v>24</v>
      </c>
      <c r="W32" s="9">
        <f>Arm2Design!$H$9</f>
        <v>36</v>
      </c>
      <c r="X32" s="3">
        <f>V32/2</f>
        <v>12</v>
      </c>
      <c r="Y32" s="3">
        <f>W32/2</f>
        <v>18</v>
      </c>
      <c r="Z32" s="3">
        <f>-X32/12</f>
        <v>-1</v>
      </c>
      <c r="AA32" s="3">
        <f>-Y32/12</f>
        <v>-1.5</v>
      </c>
      <c r="AB32" s="3">
        <f>(V32*W32)/144</f>
        <v>6</v>
      </c>
      <c r="AC32" s="46">
        <f>4*AB32</f>
        <v>24</v>
      </c>
      <c r="AD32" s="3"/>
    </row>
    <row r="33" spans="2:30">
      <c r="B33" s="39" t="s">
        <v>291</v>
      </c>
      <c r="C33" s="56">
        <v>0</v>
      </c>
      <c r="D33" s="56">
        <v>0</v>
      </c>
      <c r="E33" s="56">
        <v>0</v>
      </c>
      <c r="F33" s="56">
        <v>0</v>
      </c>
      <c r="G33" s="56">
        <f>IF(AND(Dimensions!C49=1,Dimensions!C45=2),E33/12,IF(AND(Dimensions!C49=1,Dimensions!C45=1),E31/12,IF(AND(Dimensions!C49=2,Dimensions!C45=2),E34/12,IF(AND(Dimensions!C49=2,Dimensions!C45=1),E32/12))))</f>
        <v>1.67</v>
      </c>
      <c r="H33" s="56">
        <f>IF(AND(Dimensions!C49=1,Dimensions!C45=2),F33/12,IF(AND(Dimensions!C49=1,Dimensions!C45=1),(((D31*2)/3)-F31)/12,IF(AND(Dimensions!C49=2,Dimensions!C45=2),F34/12,IF(AND(Dimensions!C49=2,Dimensions!C45=1),(((D32*2)/3)-F32)/12))))</f>
        <v>0.75166666666666659</v>
      </c>
      <c r="I33" s="56"/>
      <c r="J33" s="57"/>
      <c r="L33" s="45"/>
      <c r="M33" s="3"/>
      <c r="N33" s="3"/>
      <c r="O33" s="3"/>
      <c r="P33" s="3"/>
      <c r="Q33" s="3">
        <f>O32/12</f>
        <v>1</v>
      </c>
      <c r="R33" s="3">
        <f>-P32/12</f>
        <v>-1.5</v>
      </c>
      <c r="S33" s="3"/>
      <c r="T33" s="46"/>
      <c r="U33" s="66"/>
      <c r="V33" s="3"/>
      <c r="W33" s="3"/>
      <c r="X33" s="3"/>
      <c r="Y33" s="3"/>
      <c r="Z33" s="3">
        <f>X32/12</f>
        <v>1</v>
      </c>
      <c r="AA33" s="3">
        <f>-Y32/12</f>
        <v>-1.5</v>
      </c>
      <c r="AB33" s="3"/>
      <c r="AC33" s="46"/>
      <c r="AD33" s="3"/>
    </row>
    <row r="34" spans="2:30">
      <c r="B34" s="39" t="s">
        <v>292</v>
      </c>
      <c r="C34" s="56">
        <v>0</v>
      </c>
      <c r="D34" s="56">
        <v>0</v>
      </c>
      <c r="E34" s="56">
        <v>0</v>
      </c>
      <c r="F34" s="56">
        <v>0</v>
      </c>
      <c r="G34" s="56">
        <f>IF(AND(Dimensions!C49=1,Dimensions!C45=2),0,IF(AND(Dimensions!C49=1,Dimensions!C45=1),(E31-7)/12,IF(AND(Dimensions!C49=2,Dimensions!C45=2),0,IF(AND(Dimensions!C49=2,Dimensions!C45=1),(E32-7)/12))))</f>
        <v>1.0866666666666667</v>
      </c>
      <c r="H34" s="56">
        <f>IF(AND(Dimensions!C49=1,Dimensions!C45=2),F33/12,IF(AND(Dimensions!C49=1,Dimensions!C45=1),(((D31*2)/3)-F31)/12,IF(AND(Dimensions!C49=2,Dimensions!C45=2),F34/12,IF(AND(Dimensions!C49=2,Dimensions!C45=1),(((D32*2)/3)-F32)/12))))</f>
        <v>0.75166666666666659</v>
      </c>
      <c r="I34" s="56"/>
      <c r="J34" s="57"/>
      <c r="L34" s="45"/>
      <c r="M34" s="3"/>
      <c r="N34" s="3"/>
      <c r="O34" s="3"/>
      <c r="P34" s="3"/>
      <c r="Q34" s="3">
        <f>O32/12</f>
        <v>1</v>
      </c>
      <c r="R34" s="3">
        <f>P32/12</f>
        <v>1.5</v>
      </c>
      <c r="S34" s="3"/>
      <c r="T34" s="46"/>
      <c r="U34" s="66"/>
      <c r="V34" s="3"/>
      <c r="W34" s="3"/>
      <c r="X34" s="3"/>
      <c r="Y34" s="3"/>
      <c r="Z34" s="3">
        <f>X32/12</f>
        <v>1</v>
      </c>
      <c r="AA34" s="3">
        <f>Y32/12</f>
        <v>1.5</v>
      </c>
      <c r="AB34" s="3"/>
      <c r="AC34" s="46"/>
      <c r="AD34" s="3"/>
    </row>
    <row r="35" spans="2:30">
      <c r="B35" s="45"/>
      <c r="C35" s="56"/>
      <c r="D35" s="56"/>
      <c r="E35" s="56"/>
      <c r="F35" s="56"/>
      <c r="G35" s="56">
        <f>IF(AND(Dimensions!C49=1,Dimensions!C45=2),0,IF(AND(Dimensions!C49=1,Dimensions!C45=1),(E31-7)/12,IF(AND(Dimensions!C49=2,Dimensions!C45=2),0,IF(AND(Dimensions!C49=2,Dimensions!C45=1),(E32-7)/12))))</f>
        <v>1.0866666666666667</v>
      </c>
      <c r="H35" s="56">
        <f>IF(AND(Dimensions!C49=1,Dimensions!C45=2),F33/12,IF(AND(Dimensions!C49=1,Dimensions!C45=1),F31/12,IF(AND(Dimensions!C49=2,Dimensions!C45=2),F34/12,IF(AND(Dimensions!C49=2,Dimensions!C45=1),F32/12))))</f>
        <v>2.2549999999999999</v>
      </c>
      <c r="I35" s="56"/>
      <c r="J35" s="57"/>
      <c r="L35" s="45"/>
      <c r="M35" s="3"/>
      <c r="N35" s="3"/>
      <c r="O35" s="3"/>
      <c r="P35" s="3"/>
      <c r="Q35" s="3">
        <f>-O32/12</f>
        <v>-1</v>
      </c>
      <c r="R35" s="3">
        <f>P32/12</f>
        <v>1.5</v>
      </c>
      <c r="S35" s="3"/>
      <c r="T35" s="46"/>
      <c r="U35" s="66"/>
      <c r="V35" s="3"/>
      <c r="W35" s="3"/>
      <c r="X35" s="3"/>
      <c r="Y35" s="3"/>
      <c r="Z35" s="3">
        <f>-X32/12</f>
        <v>-1</v>
      </c>
      <c r="AA35" s="3">
        <f>Y32/12</f>
        <v>1.5</v>
      </c>
      <c r="AB35" s="3"/>
      <c r="AC35" s="46"/>
      <c r="AD35" s="3"/>
    </row>
    <row r="36" spans="2:30" ht="15" thickBot="1">
      <c r="B36" s="45"/>
      <c r="C36" s="56"/>
      <c r="D36" s="56"/>
      <c r="E36" s="56"/>
      <c r="F36" s="56"/>
      <c r="G36" s="56">
        <f>IF(AND(Dimensions!C49=1,Dimensions!C45=2),0,IF(AND(Dimensions!C49=1,Dimensions!C45=1),(-E31+7)/12,IF(AND(Dimensions!C49=2,Dimensions!C45=2),0,IF(AND(Dimensions!C49=2,Dimensions!C45=1),(-E32+7)/12))))</f>
        <v>-1.0866666666666667</v>
      </c>
      <c r="H36" s="56">
        <f>IF(AND(Dimensions!C49=1,Dimensions!C45=2),F33/12,IF(AND(Dimensions!C49=1,Dimensions!C45=1),F31/12,IF(AND(Dimensions!C49=2,Dimensions!C45=2),F34/12,IF(AND(Dimensions!C49=2,Dimensions!C45=1),F32/12))))</f>
        <v>2.2549999999999999</v>
      </c>
      <c r="I36" s="56"/>
      <c r="J36" s="57"/>
      <c r="L36" s="44"/>
      <c r="M36" s="47"/>
      <c r="N36" s="47"/>
      <c r="O36" s="47"/>
      <c r="P36" s="47"/>
      <c r="Q36" s="47">
        <f>-O32/12</f>
        <v>-1</v>
      </c>
      <c r="R36" s="47">
        <f>-P32/12</f>
        <v>-1.5</v>
      </c>
      <c r="S36" s="47"/>
      <c r="T36" s="48"/>
      <c r="U36" s="67"/>
      <c r="V36" s="47"/>
      <c r="W36" s="47"/>
      <c r="X36" s="47"/>
      <c r="Y36" s="47"/>
      <c r="Z36" s="47">
        <f>-X32/12</f>
        <v>-1</v>
      </c>
      <c r="AA36" s="47">
        <f>-Y32/12</f>
        <v>-1.5</v>
      </c>
      <c r="AB36" s="47"/>
      <c r="AC36" s="48"/>
      <c r="AD36" s="3"/>
    </row>
    <row r="37" spans="2:30" ht="15" thickBot="1">
      <c r="B37" s="45"/>
      <c r="C37" s="56"/>
      <c r="D37" s="56"/>
      <c r="E37" s="56"/>
      <c r="F37" s="56"/>
      <c r="G37" s="56">
        <f>IF(AND(Dimensions!C49=1,Dimensions!C45=2),0,IF(AND(Dimensions!C49=1,Dimensions!C45=1),(-E31+7)/12,IF(AND(Dimensions!C49=2,Dimensions!C45=2),0,IF(AND(Dimensions!C49=2,Dimensions!C45=1),(-E32+7)/12))))</f>
        <v>-1.0866666666666667</v>
      </c>
      <c r="H37" s="56">
        <f>IF(AND(Dimensions!C49=1,Dimensions!C45=2),F33/12,IF(AND(Dimensions!C49=1,Dimensions!C45=1),(((D31*2)/3)-F31)/12,IF(AND(Dimensions!C49=2,Dimensions!C45=2),F34/12,IF(AND(Dimensions!C49=2,Dimensions!C45=1),(((D32*2)/3)-F32)/12))))</f>
        <v>0.75166666666666659</v>
      </c>
      <c r="I37" s="56"/>
      <c r="J37" s="5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2:30">
      <c r="B38" s="45"/>
      <c r="C38" s="56"/>
      <c r="D38" s="56"/>
      <c r="E38" s="56"/>
      <c r="F38" s="56"/>
      <c r="G38" s="56">
        <f>IF(AND(Dimensions!C49=1,Dimensions!C45=2),-E33/12,IF(AND(Dimensions!C49=1,Dimensions!C45=1),-E31/12,IF(AND(Dimensions!C49=2,Dimensions!C45=2),-E34/12,IF(AND(Dimensions!C49=2,Dimensions!C45=1),-E32/12))))</f>
        <v>-1.67</v>
      </c>
      <c r="H38" s="56">
        <f>IF(AND(Dimensions!C49=1,Dimensions!C45=2),F33/12,IF(AND(Dimensions!C49=1,Dimensions!C45=1),(((D31*2)/3)-F31)/12,IF(AND(Dimensions!C49=2,Dimensions!C45=2),F34/12,IF(AND(Dimensions!C49=2,Dimensions!C45=1),(((D32*2)/3)-F32)/12))))</f>
        <v>0.75166666666666659</v>
      </c>
      <c r="I38" s="56"/>
      <c r="J38" s="57"/>
      <c r="L38" s="37" t="s">
        <v>307</v>
      </c>
      <c r="M38" s="54" t="s">
        <v>8</v>
      </c>
      <c r="N38" s="54" t="s">
        <v>9</v>
      </c>
      <c r="O38" s="54" t="s">
        <v>10</v>
      </c>
      <c r="P38" s="54" t="s">
        <v>11</v>
      </c>
      <c r="Q38" s="54" t="s">
        <v>12</v>
      </c>
      <c r="R38" s="54" t="s">
        <v>13</v>
      </c>
      <c r="S38" s="54" t="s">
        <v>22</v>
      </c>
      <c r="T38" s="55" t="s">
        <v>54</v>
      </c>
      <c r="U38" s="37" t="s">
        <v>305</v>
      </c>
      <c r="V38" s="54" t="s">
        <v>8</v>
      </c>
      <c r="W38" s="54" t="s">
        <v>9</v>
      </c>
      <c r="X38" s="54" t="s">
        <v>10</v>
      </c>
      <c r="Y38" s="54" t="s">
        <v>11</v>
      </c>
      <c r="Z38" s="54" t="s">
        <v>12</v>
      </c>
      <c r="AA38" s="54" t="s">
        <v>13</v>
      </c>
      <c r="AB38" s="54" t="s">
        <v>22</v>
      </c>
      <c r="AC38" s="55" t="s">
        <v>54</v>
      </c>
      <c r="AD38" s="3"/>
    </row>
    <row r="39" spans="2:30" ht="15" thickBot="1">
      <c r="B39" s="44"/>
      <c r="C39" s="42"/>
      <c r="D39" s="42"/>
      <c r="E39" s="42"/>
      <c r="F39" s="42"/>
      <c r="G39" s="70">
        <f>IF(AND(Dimensions!C49=1,Dimensions!C45=2),-E33/12,IF(AND(Dimensions!C49=1,Dimensions!C45=1),-E31/12,IF(AND(Dimensions!C49=2,Dimensions!C45=2),-E34/12,IF(AND(Dimensions!C49=2,Dimensions!C45=1),-E32/12))))</f>
        <v>-1.67</v>
      </c>
      <c r="H39" s="70">
        <f>IF(AND(Dimensions!C49=1,Dimensions!C45=2),-F33/12,IF(AND(Dimensions!C49=1,Dimensions!C45=1),-F31/12,IF(AND(Dimensions!C49=2,Dimensions!C45=2),-F34/12,IF(AND(Dimensions!C49=2,Dimensions!C45=1),-F32/12))))</f>
        <v>-2.2549999999999999</v>
      </c>
      <c r="I39" s="42"/>
      <c r="J39" s="43"/>
      <c r="L39" s="45"/>
      <c r="M39" s="9">
        <f>Arm1Design!$I$8</f>
        <v>36</v>
      </c>
      <c r="N39" s="9">
        <f>Arm1Design!$I$9</f>
        <v>36</v>
      </c>
      <c r="O39" s="3">
        <f>M39/2</f>
        <v>18</v>
      </c>
      <c r="P39" s="3">
        <f>N39/2</f>
        <v>18</v>
      </c>
      <c r="Q39" s="3">
        <f>-O39/12</f>
        <v>-1.5</v>
      </c>
      <c r="R39" s="3">
        <f>-P39/12</f>
        <v>-1.5</v>
      </c>
      <c r="S39" s="3">
        <f>(M39*N39)/144</f>
        <v>9</v>
      </c>
      <c r="T39" s="46">
        <f>4*S39</f>
        <v>36</v>
      </c>
      <c r="U39" s="66"/>
      <c r="V39" s="9">
        <f>Arm2Design!$I$8</f>
        <v>36</v>
      </c>
      <c r="W39" s="9">
        <f>Arm2Design!$I$9</f>
        <v>36</v>
      </c>
      <c r="X39" s="3">
        <f>V39/2</f>
        <v>18</v>
      </c>
      <c r="Y39" s="3">
        <f>W39/2</f>
        <v>18</v>
      </c>
      <c r="Z39" s="3">
        <f>-X39/12</f>
        <v>-1.5</v>
      </c>
      <c r="AA39" s="3">
        <f>-Y39/12</f>
        <v>-1.5</v>
      </c>
      <c r="AB39" s="3">
        <f>(V39*W39)/144</f>
        <v>9</v>
      </c>
      <c r="AC39" s="46">
        <f>4*AB39</f>
        <v>36</v>
      </c>
      <c r="AD39" s="3"/>
    </row>
    <row r="40" spans="2:30" ht="15" thickBot="1">
      <c r="L40" s="45"/>
      <c r="M40" s="3"/>
      <c r="N40" s="3"/>
      <c r="O40" s="3"/>
      <c r="P40" s="3"/>
      <c r="Q40" s="3">
        <f>O39/12</f>
        <v>1.5</v>
      </c>
      <c r="R40" s="3">
        <f>-P39/12</f>
        <v>-1.5</v>
      </c>
      <c r="S40" s="3"/>
      <c r="T40" s="46"/>
      <c r="U40" s="66"/>
      <c r="V40" s="3"/>
      <c r="W40" s="3"/>
      <c r="X40" s="3"/>
      <c r="Y40" s="3"/>
      <c r="Z40" s="3">
        <f>X39/12</f>
        <v>1.5</v>
      </c>
      <c r="AA40" s="3">
        <f>-Y39/12</f>
        <v>-1.5</v>
      </c>
      <c r="AB40" s="3"/>
      <c r="AC40" s="46"/>
      <c r="AD40" s="3"/>
    </row>
    <row r="41" spans="2:30" ht="15" thickBot="1">
      <c r="B41" s="37" t="s">
        <v>139</v>
      </c>
      <c r="C41" s="54" t="s">
        <v>138</v>
      </c>
      <c r="D41" s="38" t="s">
        <v>17</v>
      </c>
      <c r="E41" s="38" t="s">
        <v>30</v>
      </c>
      <c r="F41" s="55" t="s">
        <v>19</v>
      </c>
      <c r="L41" s="45"/>
      <c r="M41" s="3"/>
      <c r="N41" s="3"/>
      <c r="O41" s="3"/>
      <c r="P41" s="3"/>
      <c r="Q41" s="3">
        <f>O39/12</f>
        <v>1.5</v>
      </c>
      <c r="R41" s="3">
        <f>P39/12</f>
        <v>1.5</v>
      </c>
      <c r="S41" s="3"/>
      <c r="T41" s="46"/>
      <c r="U41" s="66"/>
      <c r="V41" s="3"/>
      <c r="W41" s="3"/>
      <c r="X41" s="3"/>
      <c r="Y41" s="3"/>
      <c r="Z41" s="3">
        <f>X39/12</f>
        <v>1.5</v>
      </c>
      <c r="AA41" s="3">
        <f>Y39/12</f>
        <v>1.5</v>
      </c>
      <c r="AB41" s="3"/>
      <c r="AC41" s="46"/>
      <c r="AD41" s="3"/>
    </row>
    <row r="42" spans="2:30">
      <c r="B42" s="68" t="s">
        <v>149</v>
      </c>
      <c r="C42" s="469">
        <v>0.5</v>
      </c>
      <c r="D42" s="469">
        <v>0.02</v>
      </c>
      <c r="E42" s="52">
        <f>D46</f>
        <v>60</v>
      </c>
      <c r="F42" s="471">
        <f>C42/2</f>
        <v>0.25</v>
      </c>
      <c r="L42" s="45"/>
      <c r="M42" s="3"/>
      <c r="N42" s="3"/>
      <c r="O42" s="3"/>
      <c r="P42" s="3"/>
      <c r="Q42" s="3">
        <f>-O39/12</f>
        <v>-1.5</v>
      </c>
      <c r="R42" s="3">
        <f>P39/12</f>
        <v>1.5</v>
      </c>
      <c r="S42" s="3"/>
      <c r="T42" s="46"/>
      <c r="U42" s="66"/>
      <c r="V42" s="3"/>
      <c r="W42" s="3"/>
      <c r="X42" s="3"/>
      <c r="Y42" s="3"/>
      <c r="Z42" s="3">
        <f>-X39/12</f>
        <v>-1.5</v>
      </c>
      <c r="AA42" s="3">
        <f>Y39/12</f>
        <v>1.5</v>
      </c>
      <c r="AB42" s="3"/>
      <c r="AC42" s="46"/>
      <c r="AD42" s="3"/>
    </row>
    <row r="43" spans="2:30" ht="15" thickBot="1">
      <c r="B43" s="69" t="s">
        <v>150</v>
      </c>
      <c r="C43" s="470"/>
      <c r="D43" s="470"/>
      <c r="E43" s="17">
        <f>D47</f>
        <v>50</v>
      </c>
      <c r="F43" s="472"/>
      <c r="L43" s="44"/>
      <c r="M43" s="47"/>
      <c r="N43" s="47"/>
      <c r="O43" s="47"/>
      <c r="P43" s="47"/>
      <c r="Q43" s="47">
        <f>-O39/12</f>
        <v>-1.5</v>
      </c>
      <c r="R43" s="47">
        <f>-P39/12</f>
        <v>-1.5</v>
      </c>
      <c r="S43" s="47"/>
      <c r="T43" s="48"/>
      <c r="U43" s="67"/>
      <c r="V43" s="47"/>
      <c r="W43" s="47"/>
      <c r="X43" s="47"/>
      <c r="Y43" s="47"/>
      <c r="Z43" s="47">
        <f>-X39/12</f>
        <v>-1.5</v>
      </c>
      <c r="AA43" s="47">
        <f>-Y39/12</f>
        <v>-1.5</v>
      </c>
      <c r="AB43" s="47"/>
      <c r="AC43" s="48"/>
      <c r="AD43" s="3"/>
    </row>
    <row r="44" spans="2:30" ht="15" thickBot="1">
      <c r="B44" s="45"/>
      <c r="C44" s="50" t="s">
        <v>83</v>
      </c>
      <c r="D44" s="50" t="s">
        <v>84</v>
      </c>
      <c r="E44" s="3"/>
      <c r="F44" s="4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0">
      <c r="B45" s="39" t="s">
        <v>28</v>
      </c>
      <c r="C45" s="64">
        <v>1</v>
      </c>
      <c r="D45" s="49" t="s">
        <v>29</v>
      </c>
      <c r="E45" s="3"/>
      <c r="F45" s="46"/>
      <c r="L45" s="37" t="s">
        <v>308</v>
      </c>
      <c r="M45" s="54" t="s">
        <v>8</v>
      </c>
      <c r="N45" s="54" t="s">
        <v>9</v>
      </c>
      <c r="O45" s="54" t="s">
        <v>10</v>
      </c>
      <c r="P45" s="54" t="s">
        <v>11</v>
      </c>
      <c r="Q45" s="54" t="s">
        <v>12</v>
      </c>
      <c r="R45" s="54" t="s">
        <v>13</v>
      </c>
      <c r="S45" s="54" t="s">
        <v>22</v>
      </c>
      <c r="T45" s="55" t="s">
        <v>54</v>
      </c>
      <c r="U45" s="37" t="s">
        <v>306</v>
      </c>
      <c r="V45" s="54" t="s">
        <v>8</v>
      </c>
      <c r="W45" s="54" t="s">
        <v>9</v>
      </c>
      <c r="X45" s="54" t="s">
        <v>10</v>
      </c>
      <c r="Y45" s="54" t="s">
        <v>11</v>
      </c>
      <c r="Z45" s="54" t="s">
        <v>12</v>
      </c>
      <c r="AA45" s="54" t="s">
        <v>13</v>
      </c>
      <c r="AB45" s="54" t="s">
        <v>22</v>
      </c>
      <c r="AC45" s="55" t="s">
        <v>54</v>
      </c>
      <c r="AD45" s="3"/>
    </row>
    <row r="46" spans="2:30">
      <c r="B46" s="39" t="s">
        <v>147</v>
      </c>
      <c r="C46" s="64">
        <v>4</v>
      </c>
      <c r="D46" s="3">
        <f>IF(C46=6,78,20+C46*10)</f>
        <v>60</v>
      </c>
      <c r="E46" s="3"/>
      <c r="F46" s="46"/>
      <c r="L46" s="45"/>
      <c r="M46" s="9">
        <f>Arm1Design!$J$8</f>
        <v>60</v>
      </c>
      <c r="N46" s="9">
        <f>Arm1Design!$J$9</f>
        <v>36</v>
      </c>
      <c r="O46" s="3">
        <f>M46/2</f>
        <v>30</v>
      </c>
      <c r="P46" s="3">
        <f>N46/2</f>
        <v>18</v>
      </c>
      <c r="Q46" s="3">
        <f>-O46/12</f>
        <v>-2.5</v>
      </c>
      <c r="R46" s="3">
        <f>-P46/12</f>
        <v>-1.5</v>
      </c>
      <c r="S46" s="3">
        <f>(M46*N46)/144</f>
        <v>15</v>
      </c>
      <c r="T46" s="46">
        <f>4*S46</f>
        <v>60</v>
      </c>
      <c r="U46" s="66"/>
      <c r="V46" s="9">
        <f>Arm2Design!$J$8</f>
        <v>36</v>
      </c>
      <c r="W46" s="9">
        <f>Arm2Design!$J$9</f>
        <v>36</v>
      </c>
      <c r="X46" s="3">
        <f>V46/2</f>
        <v>18</v>
      </c>
      <c r="Y46" s="3">
        <f>W46/2</f>
        <v>18</v>
      </c>
      <c r="Z46" s="3">
        <f>-X46/12</f>
        <v>-1.5</v>
      </c>
      <c r="AA46" s="3">
        <f>-Y46/12</f>
        <v>-1.5</v>
      </c>
      <c r="AB46" s="3">
        <f>(V46*W46)/144</f>
        <v>9</v>
      </c>
      <c r="AC46" s="46">
        <f>4*AB46</f>
        <v>36</v>
      </c>
      <c r="AD46" s="3"/>
    </row>
    <row r="47" spans="2:30">
      <c r="B47" s="39" t="s">
        <v>148</v>
      </c>
      <c r="C47" s="64">
        <v>4</v>
      </c>
      <c r="D47" s="3">
        <f>IF(C47=7,78,IF(C47=1,0,10+C47*10))</f>
        <v>50</v>
      </c>
      <c r="E47" s="3"/>
      <c r="F47" s="46"/>
      <c r="L47" s="45"/>
      <c r="M47" s="3"/>
      <c r="N47" s="3"/>
      <c r="O47" s="3"/>
      <c r="P47" s="3"/>
      <c r="Q47" s="3">
        <f>O46/12</f>
        <v>2.5</v>
      </c>
      <c r="R47" s="3">
        <f>-P46/12</f>
        <v>-1.5</v>
      </c>
      <c r="S47" s="3"/>
      <c r="T47" s="46"/>
      <c r="U47" s="66"/>
      <c r="V47" s="3"/>
      <c r="W47" s="3"/>
      <c r="X47" s="3"/>
      <c r="Y47" s="3"/>
      <c r="Z47" s="3">
        <f>X46/12</f>
        <v>1.5</v>
      </c>
      <c r="AA47" s="3">
        <f>-Y46/12</f>
        <v>-1.5</v>
      </c>
      <c r="AB47" s="3"/>
      <c r="AC47" s="46"/>
      <c r="AD47" s="3"/>
    </row>
    <row r="48" spans="2:30">
      <c r="B48" s="39" t="s">
        <v>26</v>
      </c>
      <c r="C48" s="64">
        <v>3</v>
      </c>
      <c r="D48" s="3">
        <f>IF(C48=1,130,IF(C48=2,150,IF(C48=3,170,0)))</f>
        <v>170</v>
      </c>
      <c r="E48" s="3"/>
      <c r="F48" s="46"/>
      <c r="L48" s="45"/>
      <c r="M48" s="3"/>
      <c r="N48" s="3"/>
      <c r="O48" s="3"/>
      <c r="P48" s="3"/>
      <c r="Q48" s="3">
        <f>O46/12</f>
        <v>2.5</v>
      </c>
      <c r="R48" s="3">
        <f>P46/12</f>
        <v>1.5</v>
      </c>
      <c r="S48" s="3"/>
      <c r="T48" s="46"/>
      <c r="U48" s="66"/>
      <c r="V48" s="3"/>
      <c r="W48" s="3"/>
      <c r="X48" s="3"/>
      <c r="Y48" s="3"/>
      <c r="Z48" s="3">
        <f>X46/12</f>
        <v>1.5</v>
      </c>
      <c r="AA48" s="3">
        <f>Y46/12</f>
        <v>1.5</v>
      </c>
      <c r="AB48" s="3"/>
      <c r="AC48" s="46"/>
      <c r="AD48" s="3"/>
    </row>
    <row r="49" spans="2:30">
      <c r="B49" s="39" t="s">
        <v>288</v>
      </c>
      <c r="C49" s="64">
        <v>1</v>
      </c>
      <c r="D49" s="49" t="s">
        <v>315</v>
      </c>
      <c r="E49" s="3"/>
      <c r="F49" s="46"/>
      <c r="L49" s="45"/>
      <c r="M49" s="3"/>
      <c r="N49" s="3"/>
      <c r="O49" s="3"/>
      <c r="P49" s="3"/>
      <c r="Q49" s="3">
        <f>-O46/12</f>
        <v>-2.5</v>
      </c>
      <c r="R49" s="3">
        <f>P46/12</f>
        <v>1.5</v>
      </c>
      <c r="S49" s="3"/>
      <c r="T49" s="46"/>
      <c r="U49" s="66"/>
      <c r="V49" s="3"/>
      <c r="W49" s="3"/>
      <c r="X49" s="3"/>
      <c r="Y49" s="3"/>
      <c r="Z49" s="3">
        <f>-X46/12</f>
        <v>-1.5</v>
      </c>
      <c r="AA49" s="3">
        <f>Y46/12</f>
        <v>1.5</v>
      </c>
      <c r="AB49" s="3"/>
      <c r="AC49" s="46"/>
      <c r="AD49" s="3"/>
    </row>
    <row r="50" spans="2:30" ht="15" thickBot="1">
      <c r="B50" s="41" t="s">
        <v>78</v>
      </c>
      <c r="C50" s="65">
        <v>1</v>
      </c>
      <c r="D50" s="60" t="s">
        <v>79</v>
      </c>
      <c r="E50" s="47"/>
      <c r="F50" s="48"/>
      <c r="L50" s="44"/>
      <c r="M50" s="47"/>
      <c r="N50" s="47"/>
      <c r="O50" s="47"/>
      <c r="P50" s="47"/>
      <c r="Q50" s="47">
        <f>-O46/12</f>
        <v>-2.5</v>
      </c>
      <c r="R50" s="47">
        <f>-P46/12</f>
        <v>-1.5</v>
      </c>
      <c r="S50" s="47"/>
      <c r="T50" s="48"/>
      <c r="U50" s="67"/>
      <c r="V50" s="47"/>
      <c r="W50" s="47"/>
      <c r="X50" s="47"/>
      <c r="Y50" s="47"/>
      <c r="Z50" s="47">
        <f>-X46/12</f>
        <v>-1.5</v>
      </c>
      <c r="AA50" s="47">
        <f>-Y46/12</f>
        <v>-1.5</v>
      </c>
      <c r="AB50" s="47"/>
      <c r="AC50" s="48"/>
      <c r="AD50" s="3"/>
    </row>
    <row r="51" spans="2:30" ht="15" thickBot="1"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:30">
      <c r="L52" s="37" t="s">
        <v>309</v>
      </c>
      <c r="M52" s="54" t="s">
        <v>8</v>
      </c>
      <c r="N52" s="54" t="s">
        <v>9</v>
      </c>
      <c r="O52" s="54" t="s">
        <v>10</v>
      </c>
      <c r="P52" s="54" t="s">
        <v>11</v>
      </c>
      <c r="Q52" s="54" t="s">
        <v>12</v>
      </c>
      <c r="R52" s="54" t="s">
        <v>13</v>
      </c>
      <c r="S52" s="54" t="s">
        <v>22</v>
      </c>
      <c r="T52" s="55" t="s">
        <v>54</v>
      </c>
      <c r="U52" s="37" t="s">
        <v>310</v>
      </c>
      <c r="V52" s="54" t="s">
        <v>8</v>
      </c>
      <c r="W52" s="54" t="s">
        <v>9</v>
      </c>
      <c r="X52" s="54" t="s">
        <v>10</v>
      </c>
      <c r="Y52" s="54" t="s">
        <v>11</v>
      </c>
      <c r="Z52" s="54" t="s">
        <v>12</v>
      </c>
      <c r="AA52" s="54" t="s">
        <v>13</v>
      </c>
      <c r="AB52" s="54" t="s">
        <v>22</v>
      </c>
      <c r="AC52" s="55" t="s">
        <v>54</v>
      </c>
      <c r="AD52" s="3"/>
    </row>
    <row r="53" spans="2:30">
      <c r="L53" s="45"/>
      <c r="M53" s="9">
        <f>Arm1Design!$K$8</f>
        <v>120</v>
      </c>
      <c r="N53" s="9">
        <f>Arm1Design!$K$9</f>
        <v>24</v>
      </c>
      <c r="O53" s="3">
        <f>M53/2</f>
        <v>60</v>
      </c>
      <c r="P53" s="3">
        <f>N53/2</f>
        <v>12</v>
      </c>
      <c r="Q53" s="3">
        <f>-O53/12</f>
        <v>-5</v>
      </c>
      <c r="R53" s="3">
        <f>-P53/12</f>
        <v>-1</v>
      </c>
      <c r="S53" s="3">
        <f>(M53*N53)/144</f>
        <v>20</v>
      </c>
      <c r="T53" s="46">
        <f>4*S53</f>
        <v>80</v>
      </c>
      <c r="U53" s="66"/>
      <c r="V53" s="9">
        <f>Arm2Design!$K$8</f>
        <v>120</v>
      </c>
      <c r="W53" s="9">
        <f>Arm2Design!$K$9</f>
        <v>24</v>
      </c>
      <c r="X53" s="3">
        <f>V53/2</f>
        <v>60</v>
      </c>
      <c r="Y53" s="3">
        <f>W53/2</f>
        <v>12</v>
      </c>
      <c r="Z53" s="3">
        <f>-X53/12</f>
        <v>-5</v>
      </c>
      <c r="AA53" s="3">
        <f>-Y53/12</f>
        <v>-1</v>
      </c>
      <c r="AB53" s="3">
        <f>(V53*W53)/144</f>
        <v>20</v>
      </c>
      <c r="AC53" s="46">
        <f>4*AB53</f>
        <v>80</v>
      </c>
      <c r="AD53" s="3"/>
    </row>
    <row r="54" spans="2:30">
      <c r="L54" s="45"/>
      <c r="M54" s="3"/>
      <c r="N54" s="3"/>
      <c r="O54" s="3"/>
      <c r="P54" s="3"/>
      <c r="Q54" s="3">
        <f>O53/12</f>
        <v>5</v>
      </c>
      <c r="R54" s="3">
        <f>-P53/12</f>
        <v>-1</v>
      </c>
      <c r="S54" s="3"/>
      <c r="T54" s="46"/>
      <c r="U54" s="66"/>
      <c r="V54" s="3"/>
      <c r="W54" s="3"/>
      <c r="X54" s="3"/>
      <c r="Y54" s="3"/>
      <c r="Z54" s="3">
        <f>X53/12</f>
        <v>5</v>
      </c>
      <c r="AA54" s="3">
        <f>-Y53/12</f>
        <v>-1</v>
      </c>
      <c r="AB54" s="3"/>
      <c r="AC54" s="46"/>
      <c r="AD54" s="3"/>
    </row>
    <row r="55" spans="2:30">
      <c r="L55" s="45"/>
      <c r="M55" s="3"/>
      <c r="N55" s="3"/>
      <c r="O55" s="3"/>
      <c r="P55" s="3"/>
      <c r="Q55" s="3">
        <f>O53/12</f>
        <v>5</v>
      </c>
      <c r="R55" s="3">
        <f>P53/12</f>
        <v>1</v>
      </c>
      <c r="S55" s="3"/>
      <c r="T55" s="46"/>
      <c r="U55" s="66"/>
      <c r="V55" s="3"/>
      <c r="W55" s="3"/>
      <c r="X55" s="3"/>
      <c r="Y55" s="3"/>
      <c r="Z55" s="3">
        <f>X53/12</f>
        <v>5</v>
      </c>
      <c r="AA55" s="3">
        <f>Y53/12</f>
        <v>1</v>
      </c>
      <c r="AB55" s="3"/>
      <c r="AC55" s="46"/>
      <c r="AD55" s="3"/>
    </row>
    <row r="56" spans="2:30">
      <c r="L56" s="45"/>
      <c r="M56" s="3"/>
      <c r="N56" s="3"/>
      <c r="O56" s="3"/>
      <c r="P56" s="3"/>
      <c r="Q56" s="3">
        <f>-O53/12</f>
        <v>-5</v>
      </c>
      <c r="R56" s="3">
        <f>P53/12</f>
        <v>1</v>
      </c>
      <c r="S56" s="3"/>
      <c r="T56" s="46"/>
      <c r="U56" s="66"/>
      <c r="V56" s="3"/>
      <c r="W56" s="3"/>
      <c r="X56" s="3"/>
      <c r="Y56" s="3"/>
      <c r="Z56" s="3">
        <f>-X53/12</f>
        <v>-5</v>
      </c>
      <c r="AA56" s="3">
        <f>Y53/12</f>
        <v>1</v>
      </c>
      <c r="AB56" s="3"/>
      <c r="AC56" s="46"/>
      <c r="AD56" s="3"/>
    </row>
    <row r="57" spans="2:30" ht="15" thickBot="1">
      <c r="L57" s="44"/>
      <c r="M57" s="47"/>
      <c r="N57" s="47"/>
      <c r="O57" s="47"/>
      <c r="P57" s="47"/>
      <c r="Q57" s="47">
        <f>-O53/12</f>
        <v>-5</v>
      </c>
      <c r="R57" s="47">
        <f>-P53/12</f>
        <v>-1</v>
      </c>
      <c r="S57" s="47"/>
      <c r="T57" s="48"/>
      <c r="U57" s="67"/>
      <c r="V57" s="47"/>
      <c r="W57" s="47"/>
      <c r="X57" s="47"/>
      <c r="Y57" s="47"/>
      <c r="Z57" s="47">
        <f>-X53/12</f>
        <v>-5</v>
      </c>
      <c r="AA57" s="47">
        <f>-Y53/12</f>
        <v>-1</v>
      </c>
      <c r="AB57" s="47"/>
      <c r="AC57" s="48"/>
      <c r="AD57" s="3"/>
    </row>
    <row r="58" spans="2:30" ht="15" thickBot="1"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0">
      <c r="L59" s="37" t="s">
        <v>312</v>
      </c>
      <c r="M59" s="54" t="s">
        <v>8</v>
      </c>
      <c r="N59" s="54" t="s">
        <v>9</v>
      </c>
      <c r="O59" s="54" t="s">
        <v>10</v>
      </c>
      <c r="P59" s="54" t="s">
        <v>11</v>
      </c>
      <c r="Q59" s="54" t="s">
        <v>12</v>
      </c>
      <c r="R59" s="54" t="s">
        <v>13</v>
      </c>
      <c r="S59" s="54" t="s">
        <v>22</v>
      </c>
      <c r="T59" s="55" t="s">
        <v>54</v>
      </c>
      <c r="U59" s="37" t="s">
        <v>311</v>
      </c>
      <c r="V59" s="54" t="s">
        <v>8</v>
      </c>
      <c r="W59" s="54" t="s">
        <v>9</v>
      </c>
      <c r="X59" s="54" t="s">
        <v>10</v>
      </c>
      <c r="Y59" s="54" t="s">
        <v>11</v>
      </c>
      <c r="Z59" s="54" t="s">
        <v>12</v>
      </c>
      <c r="AA59" s="54" t="s">
        <v>13</v>
      </c>
      <c r="AB59" s="54" t="s">
        <v>22</v>
      </c>
      <c r="AC59" s="55" t="s">
        <v>54</v>
      </c>
      <c r="AD59" s="3"/>
    </row>
    <row r="60" spans="2:30">
      <c r="L60" s="45"/>
      <c r="M60" s="9">
        <f>Arm1Design!$L$8</f>
        <v>120</v>
      </c>
      <c r="N60" s="9">
        <f>Arm1Design!$L$9</f>
        <v>24</v>
      </c>
      <c r="O60" s="3">
        <f>M60/2</f>
        <v>60</v>
      </c>
      <c r="P60" s="3">
        <f>N60/2</f>
        <v>12</v>
      </c>
      <c r="Q60" s="3">
        <f>-O60/12</f>
        <v>-5</v>
      </c>
      <c r="R60" s="3">
        <f>-P60/12</f>
        <v>-1</v>
      </c>
      <c r="S60" s="3">
        <f>(M60*N60)/144</f>
        <v>20</v>
      </c>
      <c r="T60" s="46">
        <f>4*S60</f>
        <v>80</v>
      </c>
      <c r="U60" s="66"/>
      <c r="V60" s="9">
        <f>Arm2Design!$L$8</f>
        <v>120</v>
      </c>
      <c r="W60" s="9">
        <f>Arm2Design!$L$9</f>
        <v>24</v>
      </c>
      <c r="X60" s="3">
        <f>V60/2</f>
        <v>60</v>
      </c>
      <c r="Y60" s="3">
        <f>W60/2</f>
        <v>12</v>
      </c>
      <c r="Z60" s="3">
        <f>-X60/12</f>
        <v>-5</v>
      </c>
      <c r="AA60" s="3">
        <f>-Y60/12</f>
        <v>-1</v>
      </c>
      <c r="AB60" s="3">
        <f>(V60*W60)/144</f>
        <v>20</v>
      </c>
      <c r="AC60" s="46">
        <f>4*AB60</f>
        <v>80</v>
      </c>
      <c r="AD60" s="3"/>
    </row>
    <row r="61" spans="2:30">
      <c r="L61" s="45"/>
      <c r="M61" s="3"/>
      <c r="N61" s="3"/>
      <c r="O61" s="3"/>
      <c r="P61" s="3"/>
      <c r="Q61" s="3">
        <f>O60/12</f>
        <v>5</v>
      </c>
      <c r="R61" s="3">
        <f>-P60/12</f>
        <v>-1</v>
      </c>
      <c r="S61" s="3"/>
      <c r="T61" s="46"/>
      <c r="U61" s="66"/>
      <c r="V61" s="3"/>
      <c r="W61" s="3"/>
      <c r="X61" s="3"/>
      <c r="Y61" s="3"/>
      <c r="Z61" s="3">
        <f>X60/12</f>
        <v>5</v>
      </c>
      <c r="AA61" s="3">
        <f>-Y60/12</f>
        <v>-1</v>
      </c>
      <c r="AB61" s="3"/>
      <c r="AC61" s="46"/>
      <c r="AD61" s="3"/>
    </row>
    <row r="62" spans="2:30">
      <c r="L62" s="45"/>
      <c r="M62" s="3"/>
      <c r="N62" s="3"/>
      <c r="O62" s="3"/>
      <c r="P62" s="3"/>
      <c r="Q62" s="3">
        <f>O60/12</f>
        <v>5</v>
      </c>
      <c r="R62" s="3">
        <f>P60/12</f>
        <v>1</v>
      </c>
      <c r="S62" s="3"/>
      <c r="T62" s="46"/>
      <c r="U62" s="66"/>
      <c r="V62" s="3"/>
      <c r="W62" s="3"/>
      <c r="X62" s="3"/>
      <c r="Y62" s="3"/>
      <c r="Z62" s="3">
        <f>X60/12</f>
        <v>5</v>
      </c>
      <c r="AA62" s="3">
        <f>Y60/12</f>
        <v>1</v>
      </c>
      <c r="AB62" s="3"/>
      <c r="AC62" s="46"/>
      <c r="AD62" s="3"/>
    </row>
    <row r="63" spans="2:30">
      <c r="L63" s="45"/>
      <c r="M63" s="3"/>
      <c r="N63" s="3"/>
      <c r="O63" s="3"/>
      <c r="P63" s="3"/>
      <c r="Q63" s="3">
        <f>-O60/12</f>
        <v>-5</v>
      </c>
      <c r="R63" s="3">
        <f>P60/12</f>
        <v>1</v>
      </c>
      <c r="S63" s="3"/>
      <c r="T63" s="46"/>
      <c r="U63" s="66"/>
      <c r="V63" s="3"/>
      <c r="W63" s="3"/>
      <c r="X63" s="3"/>
      <c r="Y63" s="3"/>
      <c r="Z63" s="3">
        <f>-X60/12</f>
        <v>-5</v>
      </c>
      <c r="AA63" s="3">
        <f>Y60/12</f>
        <v>1</v>
      </c>
      <c r="AB63" s="3"/>
      <c r="AC63" s="46"/>
      <c r="AD63" s="3"/>
    </row>
    <row r="64" spans="2:30" ht="15" thickBot="1">
      <c r="L64" s="44"/>
      <c r="M64" s="47"/>
      <c r="N64" s="47"/>
      <c r="O64" s="47"/>
      <c r="P64" s="47"/>
      <c r="Q64" s="47">
        <f>-O60/12</f>
        <v>-5</v>
      </c>
      <c r="R64" s="47">
        <f>-P60/12</f>
        <v>-1</v>
      </c>
      <c r="S64" s="47"/>
      <c r="T64" s="48"/>
      <c r="U64" s="67"/>
      <c r="V64" s="47"/>
      <c r="W64" s="47"/>
      <c r="X64" s="47"/>
      <c r="Y64" s="47"/>
      <c r="Z64" s="47">
        <f>-X60/12</f>
        <v>-5</v>
      </c>
      <c r="AA64" s="47">
        <f>-Y60/12</f>
        <v>-1</v>
      </c>
      <c r="AB64" s="47"/>
      <c r="AC64" s="48"/>
      <c r="AD64" s="3"/>
    </row>
    <row r="65" spans="12:30" ht="15" thickBot="1"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2:30">
      <c r="L66" s="37" t="s">
        <v>313</v>
      </c>
      <c r="M66" s="54" t="s">
        <v>8</v>
      </c>
      <c r="N66" s="54" t="s">
        <v>9</v>
      </c>
      <c r="O66" s="54" t="s">
        <v>10</v>
      </c>
      <c r="P66" s="54" t="s">
        <v>11</v>
      </c>
      <c r="Q66" s="54" t="s">
        <v>12</v>
      </c>
      <c r="R66" s="54" t="s">
        <v>13</v>
      </c>
      <c r="S66" s="54" t="s">
        <v>22</v>
      </c>
      <c r="T66" s="55" t="s">
        <v>54</v>
      </c>
      <c r="U66" s="37" t="s">
        <v>314</v>
      </c>
      <c r="V66" s="54" t="s">
        <v>8</v>
      </c>
      <c r="W66" s="54" t="s">
        <v>9</v>
      </c>
      <c r="X66" s="54" t="s">
        <v>10</v>
      </c>
      <c r="Y66" s="54" t="s">
        <v>11</v>
      </c>
      <c r="Z66" s="54" t="s">
        <v>12</v>
      </c>
      <c r="AA66" s="54" t="s">
        <v>13</v>
      </c>
      <c r="AB66" s="54" t="s">
        <v>22</v>
      </c>
      <c r="AC66" s="55" t="s">
        <v>54</v>
      </c>
      <c r="AD66" s="3"/>
    </row>
    <row r="67" spans="12:30">
      <c r="L67" s="45"/>
      <c r="M67" s="9">
        <f>Arm1Design!$M$8</f>
        <v>120</v>
      </c>
      <c r="N67" s="9">
        <f>Arm1Design!$M$9</f>
        <v>24</v>
      </c>
      <c r="O67" s="3">
        <f>M67/2</f>
        <v>60</v>
      </c>
      <c r="P67" s="3">
        <f>N67/2</f>
        <v>12</v>
      </c>
      <c r="Q67" s="3">
        <f>-O67/12</f>
        <v>-5</v>
      </c>
      <c r="R67" s="3">
        <f>-P67/12</f>
        <v>-1</v>
      </c>
      <c r="S67" s="3">
        <f>(M67*N67)/144</f>
        <v>20</v>
      </c>
      <c r="T67" s="46">
        <f>4*S67</f>
        <v>80</v>
      </c>
      <c r="U67" s="66"/>
      <c r="V67" s="9">
        <f>Arm2Design!$M$8</f>
        <v>120</v>
      </c>
      <c r="W67" s="9">
        <f>Arm2Design!$M$9</f>
        <v>24</v>
      </c>
      <c r="X67" s="3">
        <f>V67/2</f>
        <v>60</v>
      </c>
      <c r="Y67" s="3">
        <f>W67/2</f>
        <v>12</v>
      </c>
      <c r="Z67" s="3">
        <f>-X67/12</f>
        <v>-5</v>
      </c>
      <c r="AA67" s="3">
        <f>-Y67/12</f>
        <v>-1</v>
      </c>
      <c r="AB67" s="3">
        <f>(V67*W67)/144</f>
        <v>20</v>
      </c>
      <c r="AC67" s="46">
        <f>4*AB67</f>
        <v>80</v>
      </c>
      <c r="AD67" s="3"/>
    </row>
    <row r="68" spans="12:30">
      <c r="L68" s="45"/>
      <c r="M68" s="3"/>
      <c r="N68" s="3"/>
      <c r="O68" s="3"/>
      <c r="P68" s="3"/>
      <c r="Q68" s="3">
        <f>O67/12</f>
        <v>5</v>
      </c>
      <c r="R68" s="3">
        <f>-P67/12</f>
        <v>-1</v>
      </c>
      <c r="S68" s="3"/>
      <c r="T68" s="46"/>
      <c r="U68" s="66"/>
      <c r="V68" s="3"/>
      <c r="W68" s="3"/>
      <c r="X68" s="3"/>
      <c r="Y68" s="3"/>
      <c r="Z68" s="3">
        <f>X67/12</f>
        <v>5</v>
      </c>
      <c r="AA68" s="3">
        <f>-Y67/12</f>
        <v>-1</v>
      </c>
      <c r="AB68" s="3"/>
      <c r="AC68" s="46"/>
      <c r="AD68" s="3"/>
    </row>
    <row r="69" spans="12:30">
      <c r="L69" s="45"/>
      <c r="M69" s="3"/>
      <c r="N69" s="3"/>
      <c r="O69" s="3"/>
      <c r="P69" s="3"/>
      <c r="Q69" s="3">
        <f>O67/12</f>
        <v>5</v>
      </c>
      <c r="R69" s="3">
        <f>P67/12</f>
        <v>1</v>
      </c>
      <c r="S69" s="3"/>
      <c r="T69" s="46"/>
      <c r="U69" s="66"/>
      <c r="V69" s="3"/>
      <c r="W69" s="3"/>
      <c r="X69" s="3"/>
      <c r="Y69" s="3"/>
      <c r="Z69" s="3">
        <f>X67/12</f>
        <v>5</v>
      </c>
      <c r="AA69" s="3">
        <f>Y67/12</f>
        <v>1</v>
      </c>
      <c r="AB69" s="3"/>
      <c r="AC69" s="46"/>
      <c r="AD69" s="3"/>
    </row>
    <row r="70" spans="12:30">
      <c r="L70" s="45"/>
      <c r="M70" s="3"/>
      <c r="N70" s="3"/>
      <c r="O70" s="3"/>
      <c r="P70" s="3"/>
      <c r="Q70" s="3">
        <f>-O67/12</f>
        <v>-5</v>
      </c>
      <c r="R70" s="3">
        <f>P67/12</f>
        <v>1</v>
      </c>
      <c r="S70" s="3"/>
      <c r="T70" s="46"/>
      <c r="U70" s="66"/>
      <c r="V70" s="3"/>
      <c r="W70" s="3"/>
      <c r="X70" s="3"/>
      <c r="Y70" s="3"/>
      <c r="Z70" s="3">
        <f>-X67/12</f>
        <v>-5</v>
      </c>
      <c r="AA70" s="3">
        <f>Y67/12</f>
        <v>1</v>
      </c>
      <c r="AB70" s="3"/>
      <c r="AC70" s="46"/>
      <c r="AD70" s="3"/>
    </row>
    <row r="71" spans="12:30" ht="15" thickBot="1">
      <c r="L71" s="44"/>
      <c r="M71" s="47"/>
      <c r="N71" s="47"/>
      <c r="O71" s="47"/>
      <c r="P71" s="47"/>
      <c r="Q71" s="47">
        <f>-O67/12</f>
        <v>-5</v>
      </c>
      <c r="R71" s="47">
        <f>-P67/12</f>
        <v>-1</v>
      </c>
      <c r="S71" s="47"/>
      <c r="T71" s="48"/>
      <c r="U71" s="67"/>
      <c r="V71" s="47"/>
      <c r="W71" s="47"/>
      <c r="X71" s="47"/>
      <c r="Y71" s="47"/>
      <c r="Z71" s="47">
        <f>-X67/12</f>
        <v>-5</v>
      </c>
      <c r="AA71" s="47">
        <f>-Y67/12</f>
        <v>-1</v>
      </c>
      <c r="AB71" s="47"/>
      <c r="AC71" s="48"/>
      <c r="AD71" s="3"/>
    </row>
    <row r="72" spans="12:30">
      <c r="AD72" s="3"/>
    </row>
    <row r="73" spans="12:30">
      <c r="AD73" s="3"/>
    </row>
    <row r="74" spans="12:30">
      <c r="AD74" s="3"/>
    </row>
    <row r="75" spans="12:30">
      <c r="AD75" s="3"/>
    </row>
    <row r="76" spans="12:30">
      <c r="AD76" s="3"/>
    </row>
    <row r="77" spans="12:30">
      <c r="AD77" s="3"/>
    </row>
  </sheetData>
  <sheetProtection sheet="1" objects="1" scenarios="1"/>
  <mergeCells count="3">
    <mergeCell ref="C42:C43"/>
    <mergeCell ref="D42:D43"/>
    <mergeCell ref="F42:F43"/>
  </mergeCells>
  <pageMargins left="0.7" right="0.7" top="0.75" bottom="0.75" header="0.3" footer="0.3"/>
  <pageSetup orientation="portrait" r:id="rId1"/>
  <ignoredErrors>
    <ignoredError sqref="C14:D14 C5:D5 C23:D23" formula="1"/>
    <ignoredError sqref="D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7" tint="0.79998168889431442"/>
    <pageSetUpPr fitToPage="1"/>
  </sheetPr>
  <dimension ref="A1:Q40"/>
  <sheetViews>
    <sheetView workbookViewId="0"/>
  </sheetViews>
  <sheetFormatPr defaultRowHeight="14.4"/>
  <cols>
    <col min="1" max="1" width="3.44140625" customWidth="1"/>
    <col min="2" max="2" width="14.44140625" customWidth="1"/>
    <col min="3" max="3" width="13.88671875" customWidth="1"/>
    <col min="4" max="12" width="12.6640625" customWidth="1"/>
  </cols>
  <sheetData>
    <row r="1" spans="1:17">
      <c r="A1" s="6"/>
      <c r="B1" s="6"/>
      <c r="C1" s="473" t="s">
        <v>158</v>
      </c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2" spans="1:17" ht="28.8">
      <c r="A2" s="6"/>
      <c r="B2" s="6"/>
      <c r="C2" s="7" t="s">
        <v>229</v>
      </c>
      <c r="D2" s="7" t="s">
        <v>230</v>
      </c>
      <c r="E2" s="7" t="s">
        <v>231</v>
      </c>
      <c r="F2" s="7" t="s">
        <v>232</v>
      </c>
      <c r="G2" s="7" t="s">
        <v>233</v>
      </c>
      <c r="H2" s="7" t="s">
        <v>234</v>
      </c>
      <c r="I2" s="7" t="s">
        <v>235</v>
      </c>
      <c r="J2" s="7" t="s">
        <v>236</v>
      </c>
      <c r="K2" s="7" t="s">
        <v>237</v>
      </c>
      <c r="L2" s="7" t="s">
        <v>238</v>
      </c>
      <c r="M2" s="6"/>
      <c r="N2" s="8" t="s">
        <v>6</v>
      </c>
      <c r="O2" s="8" t="s">
        <v>7</v>
      </c>
    </row>
    <row r="3" spans="1:17">
      <c r="A3" s="6"/>
      <c r="B3" s="6"/>
      <c r="C3" s="5">
        <f>IF(AND(Arm1Design!$D$8&lt;&gt;0,Arm1Design!$D$9&lt;&gt;0,Arm1Design!$D$6=5),Dimensions!Q4+Arm1Design!$D$7,IF(Arm1Design!$D$6=2,Dimensions!$G$4+Arm1Design!$D$7,IF(Arm1Design!$D$6=3,Dimensions!$G$13+Arm1Design!$D$7,IF(Arm1Design!$D$6=4,Dimensions!$G$22+Arm1Design!$D$7,0))))</f>
        <v>0</v>
      </c>
      <c r="D3" s="5">
        <f>IF(AND(Arm1Design!$E$8&lt;&gt;0,Arm1Design!$E$9&lt;&gt;0,Arm1Design!$E$6=5),Dimensions!Q11+Arm1Design!$E$7,IF(Arm1Design!$E$6=2,Dimensions!$G$4+Arm1Design!$E$7,IF(Arm1Design!$E$6=3,Dimensions!$G$13+Arm1Design!$E$7,IF(Arm1Design!$E$6=4,Dimensions!$G$22+Arm1Design!$E$7,0))))</f>
        <v>0</v>
      </c>
      <c r="E3" s="5">
        <f>IF(AND(Arm1Design!$F$8&lt;&gt;0,Arm1Design!$F$9&lt;&gt;0,Arm1Design!$F$6=5),Dimensions!Q18+Arm1Design!$F$7,IF(Arm1Design!$F$6=2,Dimensions!$G$4+Arm1Design!$F$7,IF(Arm1Design!$F$6=3,Dimensions!$G$13+Arm1Design!$F$7,IF(Arm1Design!$F$6=4,Dimensions!$G$22+Arm1Design!$F$7,0))))</f>
        <v>0</v>
      </c>
      <c r="F3" s="5">
        <f>IF(AND(Arm1Design!$G$8&lt;&gt;0,Arm1Design!$G$9&lt;&gt;0,Arm1Design!$G$6=5),Dimensions!Q25+Arm1Design!$G$7,IF(Arm1Design!$G$6=2,Dimensions!$G$4+Arm1Design!$G$7,IF(Arm1Design!$G$6=3,Dimensions!$G$13+Arm1Design!$G$7,IF(Arm1Design!$G$6=4,Dimensions!$G$22+Arm1Design!$G$7,0))))</f>
        <v>0</v>
      </c>
      <c r="G3" s="5">
        <f>IF(AND(Arm1Design!$H$8&lt;&gt;0,Arm1Design!$H$9&lt;&gt;0,Arm1Design!$H$6=5),Dimensions!Q32+Arm1Design!$H$7,IF(Arm1Design!$H$6=2,Dimensions!$G$4+Arm1Design!$H$7,IF(Arm1Design!$H$6=3,Dimensions!$G$13+Arm1Design!$H$7,IF(Arm1Design!$H$6=4,Dimensions!$G$22+Arm1Design!$H$7,0))))</f>
        <v>57.914999999999999</v>
      </c>
      <c r="H3" s="5">
        <f>IF(AND(Arm1Design!$I$8&lt;&gt;0,Arm1Design!$I$9&lt;&gt;0,Arm1Design!$I$6=5),Dimensions!Q39+Arm1Design!$I$7,IF(Arm1Design!$I$6=2,Dimensions!$G$4+Arm1Design!$I$7,IF(Arm1Design!$I$6=3,Dimensions!$G$13+Arm1Design!$I$7,IF(Arm1Design!$I$6=4,Dimensions!$G$22+Arm1Design!$I$7,0))))</f>
        <v>53.5</v>
      </c>
      <c r="I3" s="5">
        <f>IF(AND(Arm1Design!$J$8&lt;&gt;0,Arm1Design!$J$9&lt;&gt;0,Arm1Design!$J$6=5),Dimensions!Q46+Arm1Design!$J$7,IF(Arm1Design!$J$6=2,Dimensions!$G$4+Arm1Design!$J$7,IF(Arm1Design!$J$6=3,Dimensions!$G$13+Arm1Design!$J$7,IF(Arm1Design!$J$6=4,Dimensions!$G$22+Arm1Design!$J$7,0))))</f>
        <v>43.5</v>
      </c>
      <c r="J3" s="5">
        <f>IF(AND(Arm1Design!$K$8&lt;&gt;0,Arm1Design!$K$9&lt;&gt;0,Arm1Design!$K$6=5),Dimensions!Q53+Arm1Design!$K$7,IF(Arm1Design!$K$6=2,Dimensions!$G$4+Arm1Design!$K$7,IF(Arm1Design!$K$6=3,Dimensions!$G$13+Arm1Design!$K$7,IF(Arm1Design!$K$6=4,Dimensions!$G$22+Arm1Design!$K$7,0))))</f>
        <v>32.914999999999999</v>
      </c>
      <c r="K3" s="5">
        <f>IF(AND(Arm1Design!$L$8&lt;&gt;0,Arm1Design!$L$9&lt;&gt;0,Arm1Design!$L$6=5),Dimensions!Q60+Arm1Design!$L$7,IF(Arm1Design!$L$6=2,Dimensions!$G$4+Arm1Design!$L$7,IF(Arm1Design!$L$6=3,Dimensions!$G$13+Arm1Design!$L$7,IF(Arm1Design!$L$6=4,Dimensions!$G$22+Arm1Design!$L$7,0))))</f>
        <v>17</v>
      </c>
      <c r="L3" s="5">
        <f>IF(AND(Arm1Design!$M$8&lt;&gt;0,Arm1Design!$M$9&lt;&gt;0,Arm1Design!$M$6=5),Dimensions!Q67+Arm1Design!$M$7,IF(Arm1Design!$M$6=2,Dimensions!$G$4+Arm1Design!$M$7,IF(Arm1Design!$M$6=3,Dimensions!$G$13+Arm1Design!$M$7,IF(Arm1Design!$M$6=4,Dimensions!$G$22+Arm1Design!$M$7,0))))</f>
        <v>3</v>
      </c>
      <c r="M3" s="6"/>
      <c r="N3" s="4">
        <f>Dimensions!$E$42</f>
        <v>60</v>
      </c>
      <c r="O3" s="4">
        <f>-Dimensions!$F$42</f>
        <v>-0.25</v>
      </c>
    </row>
    <row r="4" spans="1:17">
      <c r="A4" s="6"/>
      <c r="B4" s="6"/>
      <c r="C4" s="5">
        <f>IF(AND(Arm1Design!$D$8&lt;&gt;0,Arm1Design!$D$9&lt;&gt;0,Arm1Design!$D$6=5),Dimensions!Q5+Arm1Design!$D$7,IF(Arm1Design!$D$6=2,Dimensions!$G$5+Arm1Design!$D$7,IF(Arm1Design!$D$6=3,Dimensions!$G$14+Arm1Design!$D$7,IF(Arm1Design!$D$6=4,Dimensions!$G$23+Arm1Design!$D$7,0))))</f>
        <v>0</v>
      </c>
      <c r="D4" s="5">
        <f>IF(AND(Arm1Design!$E$8&lt;&gt;0,Arm1Design!$E$9&lt;&gt;0,Arm1Design!$E$6=5),Dimensions!Q12+Arm1Design!$E$7,IF(Arm1Design!$E$6=2,Dimensions!$G$5+Arm1Design!$E$7,IF(Arm1Design!$E$6=3,Dimensions!$G$14+Arm1Design!$E$7,IF(Arm1Design!$E$6=4,Dimensions!$G$23+Arm1Design!$E$7,0))))</f>
        <v>0</v>
      </c>
      <c r="E4" s="5">
        <f>IF(AND(Arm1Design!$F$8&lt;&gt;0,Arm1Design!$F$9&lt;&gt;0,Arm1Design!$F$6=5),Dimensions!Q19+Arm1Design!$F$7,IF(Arm1Design!$F$6=2,Dimensions!$G$5+Arm1Design!$F$7,IF(Arm1Design!$F$6=3,Dimensions!$G$14+Arm1Design!$F$7,IF(Arm1Design!$F$6=4,Dimensions!$G$23+Arm1Design!$F$7,0))))</f>
        <v>0</v>
      </c>
      <c r="F4" s="5">
        <f>IF(AND(Arm1Design!$G$8&lt;&gt;0,Arm1Design!$G$9&lt;&gt;0,Arm1Design!$G$6=5),Dimensions!Q26+Arm1Design!$G$7,IF(Arm1Design!$G$6=2,Dimensions!$G$5+Arm1Design!$G$7,IF(Arm1Design!$G$6=3,Dimensions!$G$14+Arm1Design!$G$7,IF(Arm1Design!$G$6=4,Dimensions!$G$23+Arm1Design!$G$7,0))))</f>
        <v>0</v>
      </c>
      <c r="G4" s="5">
        <f>IF(AND(Arm1Design!$H$8&lt;&gt;0,Arm1Design!$H$9&lt;&gt;0,Arm1Design!$H$6=5),Dimensions!Q33+Arm1Design!$H$7,IF(Arm1Design!$H$6=2,Dimensions!$G$5+Arm1Design!$H$7,IF(Arm1Design!$H$6=3,Dimensions!$G$14+Arm1Design!$H$7,IF(Arm1Design!$H$6=4,Dimensions!$G$23+Arm1Design!$H$7,0))))</f>
        <v>60.085000000000001</v>
      </c>
      <c r="H4" s="5">
        <f>IF(AND(Arm1Design!$I$8&lt;&gt;0,Arm1Design!$I$9&lt;&gt;0,Arm1Design!$I$6=5),Dimensions!Q40+Arm1Design!$I$7,IF(Arm1Design!$I$6=2,Dimensions!$G$5+Arm1Design!$I$7,IF(Arm1Design!$I$6=3,Dimensions!$G$14+Arm1Design!$I$7,IF(Arm1Design!$I$6=4,Dimensions!$G$23+Arm1Design!$I$7,0))))</f>
        <v>56.5</v>
      </c>
      <c r="I4" s="5">
        <f>IF(AND(Arm1Design!$J$8&lt;&gt;0,Arm1Design!$J$9&lt;&gt;0,Arm1Design!$J$6=5),Dimensions!Q47+Arm1Design!$J$7,IF(Arm1Design!$J$6=2,Dimensions!$G$5+Arm1Design!$J$7,IF(Arm1Design!$J$6=3,Dimensions!$G$14+Arm1Design!$J$7,IF(Arm1Design!$J$6=4,Dimensions!$G$23+Arm1Design!$J$7,0))))</f>
        <v>48.5</v>
      </c>
      <c r="J4" s="5">
        <f>IF(AND(Arm1Design!$K$8&lt;&gt;0,Arm1Design!$K$9&lt;&gt;0,Arm1Design!$K$6=5),Dimensions!Q54+Arm1Design!$K$7,IF(Arm1Design!$K$6=2,Dimensions!$G$5+Arm1Design!$K$7,IF(Arm1Design!$K$6=3,Dimensions!$G$14+Arm1Design!$K$7,IF(Arm1Design!$K$6=4,Dimensions!$G$23+Arm1Design!$K$7,0))))</f>
        <v>35.085000000000001</v>
      </c>
      <c r="K4" s="5">
        <f>IF(AND(Arm1Design!$L$8&lt;&gt;0,Arm1Design!$L$9&lt;&gt;0,Arm1Design!$L$6=5),Dimensions!Q61+Arm1Design!$L$7,IF(Arm1Design!$L$6=2,Dimensions!$G$5+Arm1Design!$L$7,IF(Arm1Design!$L$6=3,Dimensions!$G$14+Arm1Design!$L$7,IF(Arm1Design!$L$6=4,Dimensions!$G$23+Arm1Design!$L$7,0))))</f>
        <v>27</v>
      </c>
      <c r="L4" s="5">
        <f>IF(AND(Arm1Design!$M$8&lt;&gt;0,Arm1Design!$M$9&lt;&gt;0,Arm1Design!$M$6=5),Dimensions!Q68+Arm1Design!$M$7,IF(Arm1Design!$M$6=2,Dimensions!$G$5+Arm1Design!$M$7,IF(Arm1Design!$M$6=3,Dimensions!$G$14+Arm1Design!$M$7,IF(Arm1Design!$M$6=4,Dimensions!$G$23+Arm1Design!$M$7,0))))</f>
        <v>13</v>
      </c>
      <c r="M4" s="6"/>
      <c r="N4" s="4">
        <v>0</v>
      </c>
      <c r="O4" s="4">
        <f>2*(-Dimensions!$E$42*Dimensions!$D$42)/12-Dimensions!$F$42</f>
        <v>-0.44999999999999996</v>
      </c>
      <c r="P4" s="2"/>
    </row>
    <row r="5" spans="1:17">
      <c r="A5" s="6"/>
      <c r="B5" s="6"/>
      <c r="C5" s="5">
        <f>C4</f>
        <v>0</v>
      </c>
      <c r="D5" s="5">
        <f>D4</f>
        <v>0</v>
      </c>
      <c r="E5" s="5">
        <f>E4</f>
        <v>0</v>
      </c>
      <c r="F5" s="5">
        <f>F4</f>
        <v>0</v>
      </c>
      <c r="G5" s="5">
        <f t="shared" ref="G5:L5" si="0">G4</f>
        <v>60.085000000000001</v>
      </c>
      <c r="H5" s="5">
        <f t="shared" si="0"/>
        <v>56.5</v>
      </c>
      <c r="I5" s="5">
        <f t="shared" si="0"/>
        <v>48.5</v>
      </c>
      <c r="J5" s="5">
        <f t="shared" si="0"/>
        <v>35.085000000000001</v>
      </c>
      <c r="K5" s="5">
        <f t="shared" si="0"/>
        <v>27</v>
      </c>
      <c r="L5" s="5">
        <f t="shared" si="0"/>
        <v>13</v>
      </c>
      <c r="M5" s="6"/>
      <c r="N5" s="4">
        <v>0</v>
      </c>
      <c r="O5" s="4">
        <f>-O4</f>
        <v>0.44999999999999996</v>
      </c>
      <c r="P5" s="1"/>
    </row>
    <row r="6" spans="1:17">
      <c r="A6" s="6"/>
      <c r="B6" s="6"/>
      <c r="C6" s="5">
        <f>C3</f>
        <v>0</v>
      </c>
      <c r="D6" s="5">
        <f>D3</f>
        <v>0</v>
      </c>
      <c r="E6" s="5">
        <f>E3</f>
        <v>0</v>
      </c>
      <c r="F6" s="5">
        <f>F3</f>
        <v>0</v>
      </c>
      <c r="G6" s="5">
        <f t="shared" ref="G6:L6" si="1">G3</f>
        <v>57.914999999999999</v>
      </c>
      <c r="H6" s="5">
        <f t="shared" si="1"/>
        <v>53.5</v>
      </c>
      <c r="I6" s="5">
        <f t="shared" si="1"/>
        <v>43.5</v>
      </c>
      <c r="J6" s="5">
        <f t="shared" si="1"/>
        <v>32.914999999999999</v>
      </c>
      <c r="K6" s="5">
        <f t="shared" si="1"/>
        <v>17</v>
      </c>
      <c r="L6" s="5">
        <f t="shared" si="1"/>
        <v>3</v>
      </c>
      <c r="M6" s="6"/>
      <c r="N6" s="4">
        <f>N3</f>
        <v>60</v>
      </c>
      <c r="O6" s="4">
        <f>-O3</f>
        <v>0.25</v>
      </c>
      <c r="P6" s="1"/>
    </row>
    <row r="7" spans="1:17">
      <c r="A7" s="6"/>
      <c r="B7" s="6"/>
      <c r="C7" s="5">
        <f>C3</f>
        <v>0</v>
      </c>
      <c r="D7" s="5">
        <f>D3</f>
        <v>0</v>
      </c>
      <c r="E7" s="5">
        <f>E3</f>
        <v>0</v>
      </c>
      <c r="F7" s="5">
        <f>F3</f>
        <v>0</v>
      </c>
      <c r="G7" s="5">
        <f t="shared" ref="G7:L7" si="2">G3</f>
        <v>57.914999999999999</v>
      </c>
      <c r="H7" s="5">
        <f t="shared" si="2"/>
        <v>53.5</v>
      </c>
      <c r="I7" s="5">
        <f t="shared" si="2"/>
        <v>43.5</v>
      </c>
      <c r="J7" s="5">
        <f t="shared" si="2"/>
        <v>32.914999999999999</v>
      </c>
      <c r="K7" s="5">
        <f t="shared" si="2"/>
        <v>17</v>
      </c>
      <c r="L7" s="5">
        <f t="shared" si="2"/>
        <v>3</v>
      </c>
      <c r="M7" s="6"/>
      <c r="N7" s="4">
        <f>N3</f>
        <v>60</v>
      </c>
      <c r="O7" s="4">
        <f>O3</f>
        <v>-0.25</v>
      </c>
      <c r="P7" s="1"/>
    </row>
    <row r="8" spans="1:17">
      <c r="A8" s="6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6"/>
      <c r="O8" s="6"/>
      <c r="P8" s="1"/>
    </row>
    <row r="9" spans="1:17" ht="28.8">
      <c r="A9" s="6"/>
      <c r="B9" s="6"/>
      <c r="C9" s="7" t="s">
        <v>239</v>
      </c>
      <c r="D9" s="7" t="s">
        <v>240</v>
      </c>
      <c r="E9" s="7" t="s">
        <v>241</v>
      </c>
      <c r="F9" s="7" t="s">
        <v>242</v>
      </c>
      <c r="G9" s="7" t="s">
        <v>243</v>
      </c>
      <c r="H9" s="7" t="s">
        <v>244</v>
      </c>
      <c r="I9" s="7" t="s">
        <v>245</v>
      </c>
      <c r="J9" s="7" t="s">
        <v>246</v>
      </c>
      <c r="K9" s="7" t="s">
        <v>247</v>
      </c>
      <c r="L9" s="7" t="s">
        <v>248</v>
      </c>
      <c r="M9" s="6"/>
      <c r="N9" s="8" t="s">
        <v>37</v>
      </c>
      <c r="O9" s="8" t="s">
        <v>38</v>
      </c>
    </row>
    <row r="10" spans="1:17">
      <c r="A10" s="6"/>
      <c r="B10" s="6"/>
      <c r="C10" s="5">
        <f>IF(AND(Arm1Design!$D$8&lt;&gt;0,Arm1Design!$D$9&lt;&gt;0,Arm1Design!$D$6=5),Dimensions!R4,IF(Arm1Design!$D$6=2,Dimensions!$H$4,IF(Arm1Design!$D$6=3,Dimensions!$H$13,IF(Arm1Design!$D$6=4,Dimensions!$H$22,0))))</f>
        <v>0</v>
      </c>
      <c r="D10" s="5">
        <f>IF(AND(Arm1Design!$E$8&lt;&gt;0,Arm1Design!$E$9&lt;&gt;0,Arm1Design!$E$6=5),Dimensions!R11,IF(Arm1Design!$E$6=2,Dimensions!$H$4,IF(Arm1Design!$E$6=3,Dimensions!$H$13,IF(Arm1Design!$E$6=4,Dimensions!$H$22,0))))</f>
        <v>0</v>
      </c>
      <c r="E10" s="5">
        <f>IF(AND(Arm1Design!$F$8&lt;&gt;0,Arm1Design!$F$9&lt;&gt;0,Arm1Design!$F$6=5),Dimensions!R18,IF(Arm1Design!$F$6=2,Dimensions!$H$4,IF(Arm1Design!$F$6=3,Dimensions!$H$13,IF(Arm1Design!$F$6=4,Dimensions!$H$22,0))))</f>
        <v>0</v>
      </c>
      <c r="F10" s="5">
        <f>IF(AND(Arm1Design!$G$8&lt;&gt;0,Arm1Design!$G$9&lt;&gt;0,Arm1Design!$G$6=5),Dimensions!R25,IF(Arm1Design!$G$6=2,Dimensions!$H$4,IF(Arm1Design!$G$6=3,Dimensions!$H$13,IF(Arm1Design!$G$6=4,Dimensions!$H$22,0))))</f>
        <v>0</v>
      </c>
      <c r="G10" s="5">
        <f>IF(AND(Arm1Design!$H$8&lt;&gt;0,Arm1Design!$H$9&lt;&gt;0,Arm1Design!$H$6=5),Dimensions!R32,IF(Arm1Design!$H$6=2,Dimensions!$H$4,IF(Arm1Design!$H$6=3,Dimensions!$H$13,IF(Arm1Design!$H$6=4,Dimensions!$H$22,0))))</f>
        <v>-3.4249999999999994</v>
      </c>
      <c r="H10" s="5">
        <f>IF(AND(Arm1Design!$I$8&lt;&gt;0,Arm1Design!$I$9&lt;&gt;0,Arm1Design!$I$6=5),Dimensions!R39,IF(Arm1Design!$I$6=2,Dimensions!$H$4,IF(Arm1Design!$I$6=3,Dimensions!$H$13,IF(Arm1Design!$I$6=4,Dimensions!$H$22,0))))</f>
        <v>-1.5</v>
      </c>
      <c r="I10" s="5">
        <f>IF(AND(Arm1Design!$J$8&lt;&gt;0,Arm1Design!$J$9&lt;&gt;0,Arm1Design!$J$6=5),Dimensions!R46,IF(Arm1Design!$J$6=2,Dimensions!$H$4,IF(Arm1Design!$J$6=3,Dimensions!$H$13,IF(Arm1Design!$J$6=4,Dimensions!$H$22,0))))</f>
        <v>-1.5</v>
      </c>
      <c r="J10" s="5">
        <f>IF(AND(Arm1Design!$K$8&lt;&gt;0,Arm1Design!$K$9&lt;&gt;0,Arm1Design!$K$6=5),Dimensions!R53,IF(Arm1Design!$K$6=2,Dimensions!$H$4,IF(Arm1Design!$K$6=3,Dimensions!$H$13,IF(Arm1Design!$K$6=4,Dimensions!$H$22,0))))</f>
        <v>-2.2549999999999999</v>
      </c>
      <c r="K10" s="5">
        <f>IF(AND(Arm1Design!$L$8&lt;&gt;0,Arm1Design!$L$9&lt;&gt;0,Arm1Design!$L$6=5),Dimensions!R60,IF(Arm1Design!$L$6=2,Dimensions!$H$4,IF(Arm1Design!$L$6=3,Dimensions!$H$13,IF(Arm1Design!$L$6=4,Dimensions!$H$22,0))))</f>
        <v>-1</v>
      </c>
      <c r="L10" s="5">
        <f>IF(AND(Arm1Design!$M$8&lt;&gt;0,Arm1Design!$M$9&lt;&gt;0,Arm1Design!$M$6=5),Dimensions!R67,IF(Arm1Design!$M$6=2,Dimensions!$H$4,IF(Arm1Design!$M$6=3,Dimensions!$H$13,IF(Arm1Design!$M$6=4,Dimensions!$H$22,0))))</f>
        <v>-1</v>
      </c>
      <c r="M10" s="6"/>
      <c r="N10" s="5">
        <v>0</v>
      </c>
      <c r="O10" s="6">
        <v>-10</v>
      </c>
    </row>
    <row r="11" spans="1:17">
      <c r="A11" s="6"/>
      <c r="B11" s="6"/>
      <c r="C11" s="5">
        <f>C10</f>
        <v>0</v>
      </c>
      <c r="D11" s="5">
        <f>D10</f>
        <v>0</v>
      </c>
      <c r="E11" s="5">
        <f>E10</f>
        <v>0</v>
      </c>
      <c r="F11" s="5">
        <f>F10</f>
        <v>0</v>
      </c>
      <c r="G11" s="5">
        <f t="shared" ref="G11:L11" si="3">G10</f>
        <v>-3.4249999999999994</v>
      </c>
      <c r="H11" s="5">
        <f t="shared" si="3"/>
        <v>-1.5</v>
      </c>
      <c r="I11" s="5">
        <f t="shared" si="3"/>
        <v>-1.5</v>
      </c>
      <c r="J11" s="5">
        <f t="shared" si="3"/>
        <v>-2.2549999999999999</v>
      </c>
      <c r="K11" s="5">
        <f t="shared" si="3"/>
        <v>-1</v>
      </c>
      <c r="L11" s="5">
        <f t="shared" si="3"/>
        <v>-1</v>
      </c>
      <c r="M11" s="6"/>
      <c r="N11" s="5">
        <f>O4*2.3</f>
        <v>-1.0349999999999999</v>
      </c>
      <c r="O11" s="6">
        <v>-10</v>
      </c>
    </row>
    <row r="12" spans="1:17">
      <c r="A12" s="6"/>
      <c r="B12" s="6"/>
      <c r="C12" s="5">
        <f>-C10</f>
        <v>0</v>
      </c>
      <c r="D12" s="5">
        <f>-D10</f>
        <v>0</v>
      </c>
      <c r="E12" s="5">
        <f>-E10</f>
        <v>0</v>
      </c>
      <c r="F12" s="5">
        <f>-F10</f>
        <v>0</v>
      </c>
      <c r="G12" s="5">
        <f t="shared" ref="G12:L12" si="4">-G10</f>
        <v>3.4249999999999994</v>
      </c>
      <c r="H12" s="5">
        <f t="shared" si="4"/>
        <v>1.5</v>
      </c>
      <c r="I12" s="5">
        <f t="shared" si="4"/>
        <v>1.5</v>
      </c>
      <c r="J12" s="5">
        <f t="shared" si="4"/>
        <v>2.2549999999999999</v>
      </c>
      <c r="K12" s="5">
        <f t="shared" si="4"/>
        <v>1</v>
      </c>
      <c r="L12" s="5">
        <f t="shared" si="4"/>
        <v>1</v>
      </c>
      <c r="M12" s="6"/>
      <c r="N12" s="5">
        <f>O4*1.8</f>
        <v>-0.80999999999999994</v>
      </c>
      <c r="O12" s="6">
        <f>IF(Dimensions!C50=1,3,7)</f>
        <v>3</v>
      </c>
    </row>
    <row r="13" spans="1:17">
      <c r="A13" s="6"/>
      <c r="B13" s="6"/>
      <c r="C13" s="5">
        <f>-C10</f>
        <v>0</v>
      </c>
      <c r="D13" s="5">
        <f>-D10</f>
        <v>0</v>
      </c>
      <c r="E13" s="5">
        <f>-E10</f>
        <v>0</v>
      </c>
      <c r="F13" s="5">
        <f>-F10</f>
        <v>0</v>
      </c>
      <c r="G13" s="5">
        <f t="shared" ref="G13:L13" si="5">-G10</f>
        <v>3.4249999999999994</v>
      </c>
      <c r="H13" s="5">
        <f t="shared" si="5"/>
        <v>1.5</v>
      </c>
      <c r="I13" s="5">
        <f t="shared" si="5"/>
        <v>1.5</v>
      </c>
      <c r="J13" s="5">
        <f t="shared" si="5"/>
        <v>2.2549999999999999</v>
      </c>
      <c r="K13" s="5">
        <f t="shared" si="5"/>
        <v>1</v>
      </c>
      <c r="L13" s="5">
        <f t="shared" si="5"/>
        <v>1</v>
      </c>
      <c r="M13" s="6"/>
      <c r="N13" s="5">
        <f>N11-N12</f>
        <v>-0.22499999999999998</v>
      </c>
      <c r="O13" s="6">
        <f>O12</f>
        <v>3</v>
      </c>
    </row>
    <row r="14" spans="1:17">
      <c r="A14" s="6"/>
      <c r="B14" s="6"/>
      <c r="C14" s="5">
        <f>C10</f>
        <v>0</v>
      </c>
      <c r="D14" s="5">
        <f>D10</f>
        <v>0</v>
      </c>
      <c r="E14" s="5">
        <f>E10</f>
        <v>0</v>
      </c>
      <c r="F14" s="5">
        <f>F10</f>
        <v>0</v>
      </c>
      <c r="G14" s="5">
        <f t="shared" ref="G14:L14" si="6">G10</f>
        <v>-3.4249999999999994</v>
      </c>
      <c r="H14" s="5">
        <f t="shared" si="6"/>
        <v>-1.5</v>
      </c>
      <c r="I14" s="5">
        <f t="shared" si="6"/>
        <v>-1.5</v>
      </c>
      <c r="J14" s="5">
        <f t="shared" si="6"/>
        <v>-2.2549999999999999</v>
      </c>
      <c r="K14" s="5">
        <f t="shared" si="6"/>
        <v>-1</v>
      </c>
      <c r="L14" s="5">
        <f t="shared" si="6"/>
        <v>-1</v>
      </c>
      <c r="M14" s="6"/>
      <c r="N14" s="5">
        <v>0</v>
      </c>
      <c r="O14" s="6">
        <v>-10</v>
      </c>
    </row>
    <row r="15" spans="1:17">
      <c r="A15" s="6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6"/>
      <c r="O15" s="6"/>
      <c r="Q15">
        <f>Dimensions!Z67+Arm2Design!$M$7</f>
        <v>7</v>
      </c>
    </row>
    <row r="16" spans="1:17">
      <c r="A16" s="6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6"/>
      <c r="O16" s="6"/>
    </row>
    <row r="17" spans="1:15">
      <c r="A17" s="6"/>
      <c r="B17" s="6"/>
      <c r="C17" s="473" t="s">
        <v>159</v>
      </c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</row>
    <row r="18" spans="1:15" ht="28.8">
      <c r="A18" s="6"/>
      <c r="B18" s="6"/>
      <c r="C18" s="7" t="s">
        <v>229</v>
      </c>
      <c r="D18" s="7" t="s">
        <v>230</v>
      </c>
      <c r="E18" s="7" t="s">
        <v>231</v>
      </c>
      <c r="F18" s="7" t="s">
        <v>232</v>
      </c>
      <c r="G18" s="7" t="s">
        <v>233</v>
      </c>
      <c r="H18" s="7" t="s">
        <v>234</v>
      </c>
      <c r="I18" s="7" t="s">
        <v>235</v>
      </c>
      <c r="J18" s="7" t="s">
        <v>236</v>
      </c>
      <c r="K18" s="7" t="s">
        <v>237</v>
      </c>
      <c r="L18" s="7" t="s">
        <v>238</v>
      </c>
      <c r="M18" s="5"/>
      <c r="N18" s="8" t="s">
        <v>6</v>
      </c>
      <c r="O18" s="8" t="s">
        <v>7</v>
      </c>
    </row>
    <row r="19" spans="1:15">
      <c r="A19" s="6"/>
      <c r="B19" s="6"/>
      <c r="C19" s="5">
        <f>IF(AND(Arm2Design!$D$8&lt;&gt;0,Arm2Design!$D$9&lt;&gt;0,Arm2Design!$D$6=5),Dimensions!Z4+Arm2Design!$D$7,IF(Arm2Design!$D$6=2,Dimensions!$G$4+Arm2Design!$D$7,IF(Arm2Design!$D$6=3,Dimensions!$G$13+Arm2Design!$D$7,IF(Arm2Design!$D$6=4,Dimensions!$G$22+Arm2Design!$D$7,0))))</f>
        <v>0</v>
      </c>
      <c r="D19" s="5">
        <f>IF(AND(Arm2Design!$E$8&lt;&gt;0,Arm2Design!$E$9&lt;&gt;0,Arm2Design!$E$6=5),Dimensions!Z11+Arm2Design!$E$7,IF(Arm2Design!$E$6=2,Dimensions!$G$4+Arm2Design!$E$7,IF(Arm2Design!$E$6=3,Dimensions!$G$13+Arm2Design!$E$7,IF(Arm2Design!$E$6=4,Dimensions!$G$22+Arm2Design!$E$7,0))))</f>
        <v>0</v>
      </c>
      <c r="E19" s="5">
        <f>IF(AND(Arm2Design!$F$8&lt;&gt;0,Arm2Design!$F$9&lt;&gt;0,Arm2Design!$F$6=5),Dimensions!Z18+Arm2Design!$F$7,IF(Arm2Design!$F$6=2,Dimensions!$G$4+Arm2Design!$F$7,IF(Arm2Design!$F$6=3,Dimensions!$G$13+Arm2Design!$F$7,IF(Arm2Design!$F$6=4,Dimensions!$G$22+Arm2Design!$F$7,0))))</f>
        <v>0</v>
      </c>
      <c r="F19" s="5">
        <f>IF(AND(Arm2Design!$G$8&lt;&gt;0,Arm2Design!$G$9&lt;&gt;0,Arm2Design!$G$6=5),Dimensions!Z25+Arm2Design!$G$7,IF(Arm2Design!$G$6=2,Dimensions!$G$4+Arm2Design!$G$7,IF(Arm2Design!$G$6=3,Dimensions!$G$13+Arm2Design!$G$7,IF(Arm2Design!$G$6=4,Dimensions!$G$22+Arm2Design!$G$7,0))))</f>
        <v>0</v>
      </c>
      <c r="G19" s="5">
        <f>IF(AND(Arm2Design!$H$8&lt;&gt;0,Arm2Design!$H$9&lt;&gt;0,Arm2Design!$H$6=5),Dimensions!Z32+Arm2Design!$H$7,IF(Arm2Design!$H$6=2,Dimensions!$G$4+Arm2Design!$H$7,IF(Arm2Design!$H$6=3,Dimensions!$G$13+Arm2Design!$H$7,IF(Arm2Design!$H$6=4,Dimensions!$G$22+Arm2Design!$H$7,0))))</f>
        <v>0</v>
      </c>
      <c r="H19" s="5">
        <f>IF(AND(Arm2Design!$I$8&lt;&gt;0,Arm2Design!$I$9&lt;&gt;0,Arm2Design!$I$6=5),Dimensions!Z39+Arm2Design!$I$7,IF(Arm2Design!$I$6=2,Dimensions!$G$4+Arm2Design!$I$7,IF(Arm2Design!$I$6=3,Dimensions!$G$13+Arm2Design!$I$7,IF(Arm2Design!$I$6=4,Dimensions!$G$22+Arm2Design!$I$7,0))))</f>
        <v>46.914999999999999</v>
      </c>
      <c r="I19" s="5">
        <f>IF(AND(Arm2Design!$J$8&lt;&gt;0,Arm2Design!$J$9&lt;&gt;0,Arm2Design!$J$6=5),Dimensions!Z46+Arm2Design!$J$7,IF(Arm2Design!$J$6=2,Dimensions!$G$4+Arm2Design!$J$7,IF(Arm2Design!$J$6=3,Dimensions!$G$13+Arm2Design!$J$7,IF(Arm2Design!$J$6=4,Dimensions!$G$22+Arm2Design!$J$7,0))))</f>
        <v>40.5</v>
      </c>
      <c r="J19" s="5">
        <f>IF(AND(Arm2Design!$K$8&lt;&gt;0,Arm2Design!$K$9&lt;&gt;0,Arm2Design!$K$6=5),Dimensions!Z53+Arm2Design!$K$7,IF(Arm2Design!$K$6=2,Dimensions!$G$4+Arm2Design!$K$7,IF(Arm2Design!$K$6=3,Dimensions!$G$13+Arm2Design!$K$7,IF(Arm2Design!$K$6=4,Dimensions!$G$22+Arm2Design!$K$7,0))))</f>
        <v>0</v>
      </c>
      <c r="K19" s="5">
        <f>IF(AND(Arm2Design!$L$8&lt;&gt;0,Arm2Design!$L$9&lt;&gt;0,Arm2Design!$L$6=5),Dimensions!Z60+Arm2Design!$L$7,IF(Arm2Design!$L$6=2,Dimensions!$G$4+Arm2Design!$L$7,IF(Arm2Design!$L$6=3,Dimensions!$G$13+Arm2Design!$L$7,IF(Arm2Design!$L$6=4,Dimensions!$G$22+Arm2Design!$L$7,0))))</f>
        <v>20.914999999999999</v>
      </c>
      <c r="L19" s="5">
        <f>IF(AND(Arm2Design!$M$8&lt;&gt;0,Arm2Design!$M$9&lt;&gt;0,Arm2Design!$M$6=5),Dimensions!Z67+Arm2Design!$M$7,IF(Arm2Design!$M$6=2,Dimensions!$G$4+Arm2Design!$M$7,IF(Arm2Design!$M$6=3,Dimensions!$G$13+Arm2Design!$M$7,IF(Arm2Design!$M$6=4,Dimensions!$G$22+Arm2Design!$M$7,0))))</f>
        <v>10.914999999999999</v>
      </c>
      <c r="M19" s="6"/>
      <c r="N19" s="4">
        <f>Dimensions!$D$47</f>
        <v>50</v>
      </c>
      <c r="O19" s="4">
        <f>-Dimensions!$F$42</f>
        <v>-0.25</v>
      </c>
    </row>
    <row r="20" spans="1:15">
      <c r="A20" s="6"/>
      <c r="B20" s="6"/>
      <c r="C20" s="5">
        <f>IF(AND(Arm2Design!$D$8&lt;&gt;0,Arm2Design!$D$9&lt;&gt;0,Arm2Design!$D$6=5),Dimensions!Z5+Arm2Design!$D$7,IF(Arm2Design!$D$6=2,Dimensions!$G$5+Arm2Design!$D$7,IF(Arm2Design!$D$6=3,Dimensions!$G$14+Arm2Design!$D$7,IF(Arm2Design!$D$6=4,Dimensions!$G$23+Arm2Design!$D$7,0))))</f>
        <v>0</v>
      </c>
      <c r="D20" s="5">
        <f>IF(AND(Arm2Design!$E$8&lt;&gt;0,Arm2Design!$E$9&lt;&gt;0,Arm2Design!$E$6=5),Dimensions!Z12+Arm2Design!$E$7,IF(Arm2Design!$E$6=2,Dimensions!$G$5+Arm2Design!$E$7,IF(Arm2Design!$E$6=3,Dimensions!$G$14+Arm2Design!$E$7,IF(Arm2Design!$E$6=4,Dimensions!$G$23+Arm2Design!$E$7,0))))</f>
        <v>0</v>
      </c>
      <c r="E20" s="5">
        <f>IF(AND(Arm2Design!$F$8&lt;&gt;0,Arm2Design!$F$9&lt;&gt;0,Arm2Design!$F$6=5),Dimensions!Z19+Arm2Design!$F$7,IF(Arm2Design!$F$6=2,Dimensions!$G$5+Arm2Design!$F$7,IF(Arm2Design!$F$6=3,Dimensions!$G$14+Arm2Design!$F$7,IF(Arm2Design!$F$6=4,Dimensions!$G$23+Arm2Design!$F$7,0))))</f>
        <v>0</v>
      </c>
      <c r="F20" s="5">
        <f>IF(AND(Arm2Design!$G$8&lt;&gt;0,Arm2Design!$G$9&lt;&gt;0,Arm2Design!$G$6=5),Dimensions!Z26+Arm2Design!$G$7,IF(Arm2Design!$G$6=2,Dimensions!$G$5+Arm2Design!$G$7,IF(Arm2Design!$G$6=3,Dimensions!$G$14+Arm2Design!$G$7,IF(Arm2Design!$G$6=4,Dimensions!$G$23+Arm2Design!$G$7,0))))</f>
        <v>0</v>
      </c>
      <c r="G20" s="5">
        <f>IF(AND(Arm2Design!$H$8&lt;&gt;0,Arm2Design!$H$9&lt;&gt;0,Arm2Design!$H$6=5),Dimensions!Z33+Arm2Design!$H$7,IF(Arm2Design!$H$6=2,Dimensions!$G$5+Arm2Design!$H$7,IF(Arm2Design!$H$6=3,Dimensions!$G$14+Arm2Design!$H$7,IF(Arm2Design!$H$6=4,Dimensions!$G$23+Arm2Design!$H$7,0))))</f>
        <v>0</v>
      </c>
      <c r="H20" s="5">
        <f>IF(AND(Arm2Design!$I$8&lt;&gt;0,Arm2Design!$I$9&lt;&gt;0,Arm2Design!$I$6=5),Dimensions!Z40+Arm2Design!$I$7,IF(Arm2Design!$I$6=2,Dimensions!$G$5+Arm2Design!$I$7,IF(Arm2Design!$I$6=3,Dimensions!$G$14+Arm2Design!$I$7,IF(Arm2Design!$I$6=4,Dimensions!$G$23+Arm2Design!$I$7,0))))</f>
        <v>49.085000000000001</v>
      </c>
      <c r="I20" s="5">
        <f>IF(AND(Arm2Design!$J$8&lt;&gt;0,Arm2Design!$J$9&lt;&gt;0,Arm2Design!$J$6=5),Dimensions!Z47+Arm2Design!$J$7,IF(Arm2Design!$J$6=2,Dimensions!$G$5+Arm2Design!$J$7,IF(Arm2Design!$J$6=3,Dimensions!$G$14+Arm2Design!$J$7,IF(Arm2Design!$J$6=4,Dimensions!$G$23+Arm2Design!$J$7,0))))</f>
        <v>43.5</v>
      </c>
      <c r="J20" s="5">
        <f>IF(AND(Arm2Design!$K$8&lt;&gt;0,Arm2Design!$K$9&lt;&gt;0,Arm2Design!$K$6=5),Dimensions!Z54+Arm2Design!$K$7,IF(Arm2Design!$K$6=2,Dimensions!$G$5+Arm2Design!$K$7,IF(Arm2Design!$K$6=3,Dimensions!$G$14+Arm2Design!$K$7,IF(Arm2Design!$K$6=4,Dimensions!$G$23+Arm2Design!$K$7,0))))</f>
        <v>0</v>
      </c>
      <c r="K20" s="5">
        <f>IF(AND(Arm2Design!$L$8&lt;&gt;0,Arm2Design!$L$9&lt;&gt;0,Arm2Design!$L$6=5),Dimensions!Z61+Arm2Design!$L$7,IF(Arm2Design!$L$6=2,Dimensions!$G$5+Arm2Design!$L$7,IF(Arm2Design!$L$6=3,Dimensions!$G$14+Arm2Design!$L$7,IF(Arm2Design!$L$6=4,Dimensions!$G$23+Arm2Design!$L$7,0))))</f>
        <v>23.085000000000001</v>
      </c>
      <c r="L20" s="5">
        <f>IF(AND(Arm2Design!$M$8&lt;&gt;0,Arm2Design!$M$9&lt;&gt;0,Arm2Design!$M$6=5),Dimensions!Z68+Arm2Design!$M$7,IF(Arm2Design!$M$6=2,Dimensions!$G$5+Arm2Design!$M$7,IF(Arm2Design!$M$6=3,Dimensions!$G$14+Arm2Design!$M$7,IF(Arm2Design!$M$6=4,Dimensions!$G$23+Arm2Design!$M$7,0))))</f>
        <v>13.085000000000001</v>
      </c>
      <c r="M20" s="6"/>
      <c r="N20" s="4">
        <v>0</v>
      </c>
      <c r="O20" s="4">
        <f>2*(-Dimensions!$D$47*Dimensions!$D$42)/12-Dimensions!$F$42</f>
        <v>-0.41666666666666663</v>
      </c>
    </row>
    <row r="21" spans="1:15">
      <c r="A21" s="6"/>
      <c r="C21" s="5">
        <f t="shared" ref="C21:K21" si="7">C20</f>
        <v>0</v>
      </c>
      <c r="D21" s="5">
        <f t="shared" si="7"/>
        <v>0</v>
      </c>
      <c r="E21" s="5">
        <f t="shared" si="7"/>
        <v>0</v>
      </c>
      <c r="F21" s="5">
        <f t="shared" si="7"/>
        <v>0</v>
      </c>
      <c r="G21" s="5">
        <f t="shared" si="7"/>
        <v>0</v>
      </c>
      <c r="H21" s="5">
        <f t="shared" si="7"/>
        <v>49.085000000000001</v>
      </c>
      <c r="I21" s="5">
        <f t="shared" si="7"/>
        <v>43.5</v>
      </c>
      <c r="J21" s="5">
        <f t="shared" si="7"/>
        <v>0</v>
      </c>
      <c r="K21" s="5">
        <f t="shared" si="7"/>
        <v>23.085000000000001</v>
      </c>
      <c r="L21" s="5">
        <f>L20</f>
        <v>13.085000000000001</v>
      </c>
      <c r="M21" s="6"/>
      <c r="N21" s="4">
        <v>0</v>
      </c>
      <c r="O21" s="4">
        <f>-O20</f>
        <v>0.41666666666666663</v>
      </c>
    </row>
    <row r="22" spans="1:15">
      <c r="A22" s="6"/>
      <c r="C22" s="5">
        <f t="shared" ref="C22:K22" si="8">C19</f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46.914999999999999</v>
      </c>
      <c r="I22" s="5">
        <f t="shared" si="8"/>
        <v>40.5</v>
      </c>
      <c r="J22" s="5">
        <f t="shared" si="8"/>
        <v>0</v>
      </c>
      <c r="K22" s="5">
        <f t="shared" si="8"/>
        <v>20.914999999999999</v>
      </c>
      <c r="L22" s="5">
        <f>L19</f>
        <v>10.914999999999999</v>
      </c>
      <c r="M22" s="6"/>
      <c r="N22" s="4">
        <f>N19</f>
        <v>50</v>
      </c>
      <c r="O22" s="4">
        <f>-O19</f>
        <v>0.25</v>
      </c>
    </row>
    <row r="23" spans="1:15">
      <c r="A23" s="6"/>
      <c r="C23" s="5">
        <f t="shared" ref="C23:K23" si="9">C19</f>
        <v>0</v>
      </c>
      <c r="D23" s="5">
        <f t="shared" si="9"/>
        <v>0</v>
      </c>
      <c r="E23" s="5">
        <f t="shared" si="9"/>
        <v>0</v>
      </c>
      <c r="F23" s="5">
        <f t="shared" si="9"/>
        <v>0</v>
      </c>
      <c r="G23" s="5">
        <f t="shared" si="9"/>
        <v>0</v>
      </c>
      <c r="H23" s="5">
        <f t="shared" si="9"/>
        <v>46.914999999999999</v>
      </c>
      <c r="I23" s="5">
        <f t="shared" si="9"/>
        <v>40.5</v>
      </c>
      <c r="J23" s="5">
        <f t="shared" si="9"/>
        <v>0</v>
      </c>
      <c r="K23" s="5">
        <f t="shared" si="9"/>
        <v>20.914999999999999</v>
      </c>
      <c r="L23" s="5">
        <f>L19</f>
        <v>10.914999999999999</v>
      </c>
      <c r="M23" s="6"/>
      <c r="N23" s="4">
        <f>N19</f>
        <v>50</v>
      </c>
      <c r="O23" s="4">
        <f>O19</f>
        <v>-0.25</v>
      </c>
    </row>
    <row r="24" spans="1:15">
      <c r="A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6"/>
      <c r="O24" s="6"/>
    </row>
    <row r="25" spans="1:15" ht="28.8">
      <c r="A25" s="6"/>
      <c r="C25" s="7" t="s">
        <v>239</v>
      </c>
      <c r="D25" s="7" t="s">
        <v>240</v>
      </c>
      <c r="E25" s="7" t="s">
        <v>241</v>
      </c>
      <c r="F25" s="7" t="s">
        <v>242</v>
      </c>
      <c r="G25" s="7" t="s">
        <v>243</v>
      </c>
      <c r="H25" s="7" t="s">
        <v>244</v>
      </c>
      <c r="I25" s="7" t="s">
        <v>245</v>
      </c>
      <c r="J25" s="7" t="s">
        <v>246</v>
      </c>
      <c r="K25" s="7" t="s">
        <v>247</v>
      </c>
      <c r="L25" s="7" t="s">
        <v>248</v>
      </c>
      <c r="M25" s="5"/>
      <c r="N25" s="5"/>
      <c r="O25" s="5"/>
    </row>
    <row r="26" spans="1:15">
      <c r="A26" s="6"/>
      <c r="C26" s="5">
        <f>IF(AND(Arm2Design!$D$8&lt;&gt;0,Arm2Design!$D$9&lt;&gt;0,Arm2Design!$D$6=5),Dimensions!AA4,IF(Arm2Design!$D$6=2,Dimensions!$H$4,IF(Arm2Design!$D$6=3,Dimensions!$H$13,IF(Arm2Design!$D$6=4,Dimensions!$H$22,0))))</f>
        <v>0</v>
      </c>
      <c r="D26" s="5">
        <f>IF(AND(Arm2Design!$E$8&lt;&gt;0,Arm2Design!$E$9&lt;&gt;0,Arm2Design!$E$6=5),Dimensions!AA11,IF(Arm2Design!$E$6=2,Dimensions!$H$4,IF(Arm2Design!$E$6=3,Dimensions!$H$13,IF(Arm2Design!$E$6=4,Dimensions!$H$22,0))))</f>
        <v>0</v>
      </c>
      <c r="E26" s="5">
        <f>IF(AND(Arm2Design!$F$8&lt;&gt;0,Arm2Design!$F$9&lt;&gt;0,Arm2Design!$F$6=5),Dimensions!AA18,IF(Arm2Design!$F$6=2,Dimensions!$H$4,IF(Arm2Design!$F$6=3,Dimensions!$H$13,IF(Arm2Design!$F$6=4,Dimensions!$H$22,0))))</f>
        <v>0</v>
      </c>
      <c r="F26" s="5">
        <f>IF(AND(Arm2Design!$G$8&lt;&gt;0,Arm2Design!$G$9&lt;&gt;0,Arm2Design!$G$6=5),Dimensions!AA25,IF(Arm2Design!$G$6=2,Dimensions!$H$4,IF(Arm2Design!$G$6=3,Dimensions!$H$13,IF(Arm2Design!$G$6=4,Dimensions!$H$22,0))))</f>
        <v>0</v>
      </c>
      <c r="G26" s="5">
        <f>IF(AND(Arm2Design!$H$8&lt;&gt;0,Arm2Design!$H$9&lt;&gt;0,Arm2Design!$H$6=5),Dimensions!AA32,IF(Arm2Design!$H$6=2,Dimensions!$H$4,IF(Arm2Design!$H$6=3,Dimensions!$H$13,IF(Arm2Design!$H$6=4,Dimensions!$H$22,0))))</f>
        <v>0</v>
      </c>
      <c r="H26" s="5">
        <f>IF(AND(Arm2Design!$I$8&lt;&gt;0,Arm2Design!$I$9&lt;&gt;0,Arm2Design!$I$6=5),Dimensions!AA39,IF(Arm2Design!$I$6=2,Dimensions!$H$4,IF(Arm2Design!$I$6=3,Dimensions!$H$13,IF(Arm2Design!$I$6=4,Dimensions!$H$22,0))))</f>
        <v>-3.4249999999999994</v>
      </c>
      <c r="I26" s="5">
        <f>IF(AND(Arm2Design!$J$8&lt;&gt;0,Arm2Design!$J$9&lt;&gt;0,Arm2Design!$J$6=5),Dimensions!AA46,IF(Arm2Design!$J$6=2,Dimensions!$H$4,IF(Arm2Design!$J$6=3,Dimensions!$H$13,IF(Arm2Design!$J$6=4,Dimensions!$H$22,0))))</f>
        <v>-1.5</v>
      </c>
      <c r="J26" s="5">
        <f>IF(AND(Arm2Design!$K$8&lt;&gt;0,Arm2Design!$K$9&lt;&gt;0,Arm2Design!$K$6=5),Dimensions!AA53,IF(Arm2Design!$K$6=2,Dimensions!$H$4,IF(Arm2Design!$K$6=3,Dimensions!$H$13,IF(Arm2Design!$K$6=4,Dimensions!$H$22,0))))</f>
        <v>0</v>
      </c>
      <c r="K26" s="5">
        <f>IF(AND(Arm2Design!$L$8&lt;&gt;0,Arm2Design!$L$9&lt;&gt;0,Arm2Design!$L$6=5),Dimensions!AA60,IF(Arm2Design!$L$6=2,Dimensions!$H$4,IF(Arm2Design!$L$6=3,Dimensions!$H$13,IF(Arm2Design!$L$6=4,Dimensions!$H$22,0))))</f>
        <v>-2.2549999999999999</v>
      </c>
      <c r="L26" s="5">
        <f>IF(AND(Arm2Design!$M$8&lt;&gt;0,Arm2Design!$M$9&lt;&gt;0,Arm2Design!$M$6=5),Dimensions!AA67,IF(Arm2Design!$M$6=2,Dimensions!$H$4,IF(Arm2Design!$M$6=3,Dimensions!$H$13,IF(Arm2Design!$M$6=4,Dimensions!$H$22,0))))</f>
        <v>-2.2549999999999999</v>
      </c>
      <c r="M26" s="6"/>
      <c r="N26" s="5"/>
      <c r="O26" s="6"/>
    </row>
    <row r="27" spans="1:15">
      <c r="C27" s="5">
        <f t="shared" ref="C27:K27" si="10">C26</f>
        <v>0</v>
      </c>
      <c r="D27" s="5">
        <f t="shared" si="10"/>
        <v>0</v>
      </c>
      <c r="E27" s="5">
        <f t="shared" si="10"/>
        <v>0</v>
      </c>
      <c r="F27" s="5">
        <f t="shared" si="10"/>
        <v>0</v>
      </c>
      <c r="G27" s="5">
        <f t="shared" si="10"/>
        <v>0</v>
      </c>
      <c r="H27" s="5">
        <f t="shared" si="10"/>
        <v>-3.4249999999999994</v>
      </c>
      <c r="I27" s="5">
        <f t="shared" si="10"/>
        <v>-1.5</v>
      </c>
      <c r="J27" s="5">
        <f t="shared" si="10"/>
        <v>0</v>
      </c>
      <c r="K27" s="5">
        <f t="shared" si="10"/>
        <v>-2.2549999999999999</v>
      </c>
      <c r="L27" s="5">
        <f>L26</f>
        <v>-2.2549999999999999</v>
      </c>
      <c r="M27" s="6"/>
      <c r="N27" s="5"/>
      <c r="O27" s="6"/>
    </row>
    <row r="28" spans="1:15">
      <c r="C28" s="5">
        <f t="shared" ref="C28:K28" si="11">-C26</f>
        <v>0</v>
      </c>
      <c r="D28" s="5">
        <f t="shared" si="11"/>
        <v>0</v>
      </c>
      <c r="E28" s="5">
        <f t="shared" si="11"/>
        <v>0</v>
      </c>
      <c r="F28" s="5">
        <f t="shared" si="11"/>
        <v>0</v>
      </c>
      <c r="G28" s="5">
        <f t="shared" si="11"/>
        <v>0</v>
      </c>
      <c r="H28" s="5">
        <f t="shared" si="11"/>
        <v>3.4249999999999994</v>
      </c>
      <c r="I28" s="5">
        <f t="shared" si="11"/>
        <v>1.5</v>
      </c>
      <c r="J28" s="5">
        <f t="shared" si="11"/>
        <v>0</v>
      </c>
      <c r="K28" s="5">
        <f t="shared" si="11"/>
        <v>2.2549999999999999</v>
      </c>
      <c r="L28" s="5">
        <f>-L26</f>
        <v>2.2549999999999999</v>
      </c>
      <c r="M28" s="6"/>
      <c r="N28" s="5"/>
      <c r="O28" s="6"/>
    </row>
    <row r="29" spans="1:15">
      <c r="C29" s="5">
        <f t="shared" ref="C29:K29" si="12">-C26</f>
        <v>0</v>
      </c>
      <c r="D29" s="5">
        <f t="shared" si="12"/>
        <v>0</v>
      </c>
      <c r="E29" s="5">
        <f t="shared" si="12"/>
        <v>0</v>
      </c>
      <c r="F29" s="5">
        <f t="shared" si="12"/>
        <v>0</v>
      </c>
      <c r="G29" s="5">
        <f t="shared" si="12"/>
        <v>0</v>
      </c>
      <c r="H29" s="5">
        <f t="shared" si="12"/>
        <v>3.4249999999999994</v>
      </c>
      <c r="I29" s="5">
        <f t="shared" si="12"/>
        <v>1.5</v>
      </c>
      <c r="J29" s="5">
        <f t="shared" si="12"/>
        <v>0</v>
      </c>
      <c r="K29" s="5">
        <f t="shared" si="12"/>
        <v>2.2549999999999999</v>
      </c>
      <c r="L29" s="5">
        <f>-L26</f>
        <v>2.2549999999999999</v>
      </c>
      <c r="M29" s="6"/>
      <c r="N29" s="5"/>
      <c r="O29" s="6"/>
    </row>
    <row r="30" spans="1:15">
      <c r="C30" s="5">
        <f t="shared" ref="C30:K30" si="13">C26</f>
        <v>0</v>
      </c>
      <c r="D30" s="5">
        <f t="shared" si="13"/>
        <v>0</v>
      </c>
      <c r="E30" s="5">
        <f t="shared" si="13"/>
        <v>0</v>
      </c>
      <c r="F30" s="5">
        <f t="shared" si="13"/>
        <v>0</v>
      </c>
      <c r="G30" s="5">
        <f t="shared" si="13"/>
        <v>0</v>
      </c>
      <c r="H30" s="5">
        <f t="shared" si="13"/>
        <v>-3.4249999999999994</v>
      </c>
      <c r="I30" s="5">
        <f t="shared" si="13"/>
        <v>-1.5</v>
      </c>
      <c r="J30" s="5">
        <f t="shared" si="13"/>
        <v>0</v>
      </c>
      <c r="K30" s="5">
        <f t="shared" si="13"/>
        <v>-2.2549999999999999</v>
      </c>
      <c r="L30" s="5">
        <f>L26</f>
        <v>-2.2549999999999999</v>
      </c>
      <c r="M30" s="6"/>
      <c r="N30" s="5"/>
      <c r="O30" s="6"/>
    </row>
    <row r="33" spans="3:12" ht="15" thickBot="1"/>
    <row r="34" spans="3:12" ht="15" thickBot="1">
      <c r="C34" s="474" t="s">
        <v>325</v>
      </c>
      <c r="D34" s="475"/>
      <c r="E34" s="475"/>
      <c r="F34" s="475"/>
      <c r="G34" s="475"/>
      <c r="H34" s="475"/>
      <c r="I34" s="475"/>
      <c r="J34" s="475"/>
      <c r="K34" s="475"/>
      <c r="L34" s="476"/>
    </row>
    <row r="35" spans="3:12">
      <c r="C35" s="68">
        <f t="shared" ref="C35:K35" si="14">(C3+C4)/2</f>
        <v>0</v>
      </c>
      <c r="D35" s="339">
        <f t="shared" si="14"/>
        <v>0</v>
      </c>
      <c r="E35" s="339">
        <f t="shared" si="14"/>
        <v>0</v>
      </c>
      <c r="F35" s="339">
        <f t="shared" si="14"/>
        <v>0</v>
      </c>
      <c r="G35" s="339">
        <f t="shared" si="14"/>
        <v>59</v>
      </c>
      <c r="H35" s="339">
        <f t="shared" si="14"/>
        <v>55</v>
      </c>
      <c r="I35" s="339">
        <f t="shared" si="14"/>
        <v>46</v>
      </c>
      <c r="J35" s="339">
        <f t="shared" si="14"/>
        <v>34</v>
      </c>
      <c r="K35" s="339">
        <f t="shared" si="14"/>
        <v>22</v>
      </c>
      <c r="L35" s="340">
        <f>(L3+L4)/2</f>
        <v>8</v>
      </c>
    </row>
    <row r="36" spans="3:12" ht="15" thickBot="1">
      <c r="C36" s="69">
        <f>0</f>
        <v>0</v>
      </c>
      <c r="D36" s="209">
        <f>0</f>
        <v>0</v>
      </c>
      <c r="E36" s="209">
        <f>0</f>
        <v>0</v>
      </c>
      <c r="F36" s="209">
        <f>0</f>
        <v>0</v>
      </c>
      <c r="G36" s="209">
        <f>0</f>
        <v>0</v>
      </c>
      <c r="H36" s="209">
        <f>0</f>
        <v>0</v>
      </c>
      <c r="I36" s="209">
        <f>0</f>
        <v>0</v>
      </c>
      <c r="J36" s="209">
        <f>0</f>
        <v>0</v>
      </c>
      <c r="K36" s="209">
        <f>0</f>
        <v>0</v>
      </c>
      <c r="L36" s="338">
        <f>0</f>
        <v>0</v>
      </c>
    </row>
    <row r="37" spans="3:12" ht="15" thickBot="1"/>
    <row r="38" spans="3:12" ht="15" thickBot="1">
      <c r="C38" s="474" t="s">
        <v>326</v>
      </c>
      <c r="D38" s="475"/>
      <c r="E38" s="475"/>
      <c r="F38" s="475"/>
      <c r="G38" s="475"/>
      <c r="H38" s="475"/>
      <c r="I38" s="475"/>
      <c r="J38" s="475"/>
      <c r="K38" s="475"/>
      <c r="L38" s="476"/>
    </row>
    <row r="39" spans="3:12">
      <c r="C39" s="68">
        <f t="shared" ref="C39:K39" si="15">(C19+C20)/2</f>
        <v>0</v>
      </c>
      <c r="D39" s="339">
        <f t="shared" si="15"/>
        <v>0</v>
      </c>
      <c r="E39" s="339">
        <f t="shared" si="15"/>
        <v>0</v>
      </c>
      <c r="F39" s="339">
        <f t="shared" si="15"/>
        <v>0</v>
      </c>
      <c r="G39" s="339">
        <f t="shared" si="15"/>
        <v>0</v>
      </c>
      <c r="H39" s="339">
        <f t="shared" si="15"/>
        <v>48</v>
      </c>
      <c r="I39" s="339">
        <f t="shared" si="15"/>
        <v>42</v>
      </c>
      <c r="J39" s="339">
        <f t="shared" si="15"/>
        <v>0</v>
      </c>
      <c r="K39" s="339">
        <f t="shared" si="15"/>
        <v>22</v>
      </c>
      <c r="L39" s="340">
        <f>(L19+L20)/2</f>
        <v>12</v>
      </c>
    </row>
    <row r="40" spans="3:12" ht="15" thickBot="1">
      <c r="C40" s="69">
        <f>0</f>
        <v>0</v>
      </c>
      <c r="D40" s="209">
        <f>0</f>
        <v>0</v>
      </c>
      <c r="E40" s="209">
        <f>0</f>
        <v>0</v>
      </c>
      <c r="F40" s="209">
        <f>0</f>
        <v>0</v>
      </c>
      <c r="G40" s="209">
        <f>0</f>
        <v>0</v>
      </c>
      <c r="H40" s="209">
        <f>0</f>
        <v>0</v>
      </c>
      <c r="I40" s="209">
        <f>0</f>
        <v>0</v>
      </c>
      <c r="J40" s="209">
        <f>0</f>
        <v>0</v>
      </c>
      <c r="K40" s="209">
        <f>0</f>
        <v>0</v>
      </c>
      <c r="L40" s="338">
        <f>0</f>
        <v>0</v>
      </c>
    </row>
  </sheetData>
  <sheetProtection sheet="1" objects="1" scenarios="1"/>
  <mergeCells count="4">
    <mergeCell ref="C1:O1"/>
    <mergeCell ref="C17:O17"/>
    <mergeCell ref="C34:L34"/>
    <mergeCell ref="C38:L38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theme="7" tint="0.79998168889431442"/>
    <pageSetUpPr fitToPage="1"/>
  </sheetPr>
  <dimension ref="A1:AF67"/>
  <sheetViews>
    <sheetView topLeftCell="J18" zoomScaleNormal="100" workbookViewId="0">
      <selection activeCell="V25" sqref="V25"/>
    </sheetView>
  </sheetViews>
  <sheetFormatPr defaultColWidth="9.109375" defaultRowHeight="14.4"/>
  <cols>
    <col min="1" max="1" width="10.109375" customWidth="1"/>
    <col min="16" max="16" width="4.33203125" customWidth="1"/>
    <col min="18" max="18" width="9.109375" customWidth="1"/>
    <col min="30" max="30" width="9.109375" customWidth="1"/>
  </cols>
  <sheetData>
    <row r="1" spans="1:32" ht="58.2" thickBot="1">
      <c r="A1" s="167" t="s">
        <v>55</v>
      </c>
      <c r="B1" s="168">
        <f>0.00256*0.94*0.85*1.14*Dimensions!$D$48^2*0.79</f>
        <v>53.237362329599996</v>
      </c>
      <c r="D1" s="169" t="s">
        <v>56</v>
      </c>
      <c r="E1" s="170">
        <v>50</v>
      </c>
      <c r="G1" s="167" t="s">
        <v>50</v>
      </c>
      <c r="H1" s="168">
        <f>0.00256*0.94*0.85*1.14*Dimensions!$D$48^2*1.2</f>
        <v>80.866879487999981</v>
      </c>
    </row>
    <row r="2" spans="1:32" ht="15" thickBot="1"/>
    <row r="3" spans="1:32" ht="18.600000000000001" thickBot="1">
      <c r="A3" s="502" t="s">
        <v>151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4"/>
      <c r="Q3" s="502" t="s">
        <v>81</v>
      </c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4"/>
    </row>
    <row r="4" spans="1:32" ht="15" customHeight="1" thickBot="1">
      <c r="A4" s="581" t="s">
        <v>24</v>
      </c>
      <c r="B4" s="583" t="s">
        <v>25</v>
      </c>
      <c r="C4" s="584"/>
      <c r="D4" s="584"/>
      <c r="E4" s="584"/>
      <c r="F4" s="584"/>
      <c r="G4" s="584"/>
      <c r="H4" s="585"/>
      <c r="I4" s="502" t="s">
        <v>41</v>
      </c>
      <c r="J4" s="503"/>
      <c r="K4" s="503"/>
      <c r="L4" s="503"/>
      <c r="M4" s="503"/>
      <c r="N4" s="503"/>
      <c r="O4" s="504"/>
      <c r="Q4" s="516" t="s">
        <v>64</v>
      </c>
      <c r="R4" s="517"/>
      <c r="S4" s="517"/>
      <c r="T4" s="517"/>
      <c r="U4" s="517"/>
      <c r="V4" s="518"/>
      <c r="W4" s="478" t="s">
        <v>205</v>
      </c>
      <c r="X4" s="479"/>
      <c r="Y4" s="479"/>
      <c r="Z4" s="479"/>
      <c r="AA4" s="479"/>
      <c r="AB4" s="478" t="s">
        <v>204</v>
      </c>
      <c r="AC4" s="479"/>
      <c r="AD4" s="479"/>
      <c r="AE4" s="479"/>
      <c r="AF4" s="480"/>
    </row>
    <row r="5" spans="1:32" ht="46.2" thickBot="1">
      <c r="A5" s="582"/>
      <c r="B5" s="171" t="s">
        <v>122</v>
      </c>
      <c r="C5" s="172" t="s">
        <v>123</v>
      </c>
      <c r="D5" s="172" t="s">
        <v>43</v>
      </c>
      <c r="E5" s="172" t="s">
        <v>44</v>
      </c>
      <c r="F5" s="172" t="s">
        <v>57</v>
      </c>
      <c r="G5" s="172" t="s">
        <v>86</v>
      </c>
      <c r="H5" s="173" t="s">
        <v>49</v>
      </c>
      <c r="I5" s="171" t="s">
        <v>122</v>
      </c>
      <c r="J5" s="172" t="s">
        <v>123</v>
      </c>
      <c r="K5" s="172" t="s">
        <v>43</v>
      </c>
      <c r="L5" s="172" t="s">
        <v>44</v>
      </c>
      <c r="M5" s="172" t="s">
        <v>57</v>
      </c>
      <c r="N5" s="172" t="s">
        <v>85</v>
      </c>
      <c r="O5" s="174" t="s">
        <v>45</v>
      </c>
      <c r="Q5" s="169" t="s">
        <v>164</v>
      </c>
      <c r="R5" s="175" t="s">
        <v>76</v>
      </c>
      <c r="S5" s="175" t="s">
        <v>18</v>
      </c>
      <c r="T5" s="175" t="s">
        <v>63</v>
      </c>
      <c r="U5" s="175" t="s">
        <v>190</v>
      </c>
      <c r="V5" s="176" t="s">
        <v>191</v>
      </c>
      <c r="W5" s="177" t="s">
        <v>192</v>
      </c>
      <c r="X5" s="178" t="s">
        <v>193</v>
      </c>
      <c r="Y5" s="179" t="s">
        <v>100</v>
      </c>
      <c r="Z5" s="179" t="s">
        <v>96</v>
      </c>
      <c r="AA5" s="180" t="s">
        <v>97</v>
      </c>
      <c r="AB5" s="177" t="s">
        <v>192</v>
      </c>
      <c r="AC5" s="181" t="s">
        <v>193</v>
      </c>
      <c r="AD5" s="179" t="s">
        <v>100</v>
      </c>
      <c r="AE5" s="179" t="s">
        <v>96</v>
      </c>
      <c r="AF5" s="179" t="s">
        <v>97</v>
      </c>
    </row>
    <row r="6" spans="1:32">
      <c r="A6" s="182">
        <v>30</v>
      </c>
      <c r="B6" s="183">
        <v>0.25</v>
      </c>
      <c r="C6" s="52">
        <v>11</v>
      </c>
      <c r="D6" s="184">
        <f>3.14*(C6/2-B6/2)^2*B6</f>
        <v>22.679140625000002</v>
      </c>
      <c r="E6" s="184">
        <f>1.26*D6</f>
        <v>28.575717187500004</v>
      </c>
      <c r="F6" s="185">
        <v>10</v>
      </c>
      <c r="G6" s="185">
        <v>10</v>
      </c>
      <c r="H6" s="186">
        <v>107</v>
      </c>
      <c r="I6" s="183">
        <v>0.25</v>
      </c>
      <c r="J6" s="52">
        <v>12</v>
      </c>
      <c r="K6" s="184">
        <f>3.14*(J6/2-I6/2)^2*I6</f>
        <v>27.094765625000001</v>
      </c>
      <c r="L6" s="184">
        <f>1.26*K6</f>
        <v>34.139404687500004</v>
      </c>
      <c r="M6" s="187">
        <v>11</v>
      </c>
      <c r="N6" s="185">
        <v>11</v>
      </c>
      <c r="O6" s="188">
        <v>125</v>
      </c>
      <c r="Q6" s="18">
        <v>1</v>
      </c>
      <c r="R6" s="189" t="s">
        <v>68</v>
      </c>
      <c r="S6" s="19">
        <v>20</v>
      </c>
      <c r="T6" s="19">
        <v>5</v>
      </c>
      <c r="U6" s="19">
        <v>1800</v>
      </c>
      <c r="V6" s="190">
        <v>589</v>
      </c>
      <c r="W6" s="191">
        <f t="shared" ref="W6:W13" si="0">$T$25+$T$27*S6</f>
        <v>619.88723041105618</v>
      </c>
      <c r="X6" s="513">
        <f>T26</f>
        <v>322.9133871902589</v>
      </c>
      <c r="Y6" s="183" t="str">
        <f>IF((U6&gt;W6)*(T6&gt;=$O$17), "Okay", "NoGood")</f>
        <v>Okay</v>
      </c>
      <c r="Z6" s="52" t="str">
        <f>IF((V6&gt;$X$6), "Okay", "NoGood")</f>
        <v>Okay</v>
      </c>
      <c r="AA6" s="53" t="str">
        <f>IF((Y6="Okay")*(Z6="Okay"),"Okay","NoGood")</f>
        <v>Okay</v>
      </c>
      <c r="AB6" s="192">
        <f>IF(Dimensions!C47=1,0,W6*U28)</f>
        <v>805.85339953437301</v>
      </c>
      <c r="AC6" s="510">
        <f>IF(Dimensions!C47=1,0,U26)</f>
        <v>419.78740334733658</v>
      </c>
      <c r="AD6" s="52" t="str">
        <f>IF(Dimensions!C47=1,0,IF((U6&gt;AB6)*(T6&gt;=$O$17), "Okay", "NoGood"))</f>
        <v>Okay</v>
      </c>
      <c r="AE6" s="52" t="str">
        <f>IF(Dimensions!C47=1,0,IF((V6&gt;$AC$6), "Okay", "NoGood"))</f>
        <v>Okay</v>
      </c>
      <c r="AF6" s="53" t="str">
        <f>IF(Dimensions!C47=1,0,IF((AD6="Okay")*(AE6="Okay"),"Okay","NoGood"))</f>
        <v>Okay</v>
      </c>
    </row>
    <row r="7" spans="1:32">
      <c r="A7" s="193">
        <f>A6+10</f>
        <v>40</v>
      </c>
      <c r="B7" s="15">
        <v>0.25</v>
      </c>
      <c r="C7" s="14">
        <v>13</v>
      </c>
      <c r="D7" s="194">
        <f t="shared" ref="D7:D11" si="1">3.14*(C7/2-B7/2)^2*B7</f>
        <v>31.902890625000001</v>
      </c>
      <c r="E7" s="194">
        <f t="shared" ref="E7:E11" si="2">1.26*D7</f>
        <v>40.197642187500001</v>
      </c>
      <c r="F7" s="195">
        <v>20</v>
      </c>
      <c r="G7" s="195">
        <v>20</v>
      </c>
      <c r="H7" s="196">
        <v>145</v>
      </c>
      <c r="I7" s="15">
        <v>0.25</v>
      </c>
      <c r="J7" s="14">
        <v>14</v>
      </c>
      <c r="K7" s="194">
        <f t="shared" ref="K7:K11" si="3">3.14*(J7/2-I7/2)^2*I7</f>
        <v>37.103515625</v>
      </c>
      <c r="L7" s="194">
        <f t="shared" ref="L7:L11" si="4">1.26*K7</f>
        <v>46.750429687500002</v>
      </c>
      <c r="M7" s="197">
        <v>22</v>
      </c>
      <c r="N7" s="197">
        <v>22</v>
      </c>
      <c r="O7" s="198">
        <v>166</v>
      </c>
      <c r="Q7" s="15">
        <v>2</v>
      </c>
      <c r="R7" s="199" t="s">
        <v>69</v>
      </c>
      <c r="S7" s="14">
        <v>18</v>
      </c>
      <c r="T7" s="14">
        <v>5</v>
      </c>
      <c r="U7" s="14">
        <v>1312</v>
      </c>
      <c r="V7" s="200">
        <v>477</v>
      </c>
      <c r="W7" s="201">
        <f t="shared" si="0"/>
        <v>591.17525076833101</v>
      </c>
      <c r="X7" s="514"/>
      <c r="Y7" s="15" t="str">
        <f t="shared" ref="Y7:Y13" si="5">IF((U7&gt;W7)*(T7&gt;=$O$17), "Okay", "NoGood")</f>
        <v>Okay</v>
      </c>
      <c r="Z7" s="14" t="str">
        <f t="shared" ref="Z7:Z13" si="6">IF((V7&gt;$X$6), "Okay", "NoGood")</f>
        <v>Okay</v>
      </c>
      <c r="AA7" s="21" t="str">
        <f t="shared" ref="AA7:AA13" si="7">IF((Y7="Okay")*(Z7="Okay"),"Okay","NoGood")</f>
        <v>Okay</v>
      </c>
      <c r="AB7" s="202">
        <f>IF(Dimensions!C47=1,0,W7*U28)</f>
        <v>768.52782599883039</v>
      </c>
      <c r="AC7" s="511"/>
      <c r="AD7" s="14" t="str">
        <f>IF(Dimensions!C47=1,0,IF((U7&gt;AB7)*(T7&gt;=$O$17), "Okay", "NoGood"))</f>
        <v>Okay</v>
      </c>
      <c r="AE7" s="14" t="str">
        <f>IF(Dimensions!C47=1,0,IF((V7&gt;$AC$6), "Okay", "NoGood"))</f>
        <v>Okay</v>
      </c>
      <c r="AF7" s="21" t="str">
        <f>IF(Dimensions!C47=1,0,IF((AD7="Okay")*(AE7="Okay"),"Okay","NoGood"))</f>
        <v>Okay</v>
      </c>
    </row>
    <row r="8" spans="1:32">
      <c r="A8" s="193">
        <f>A7+10</f>
        <v>50</v>
      </c>
      <c r="B8" s="15">
        <v>0.3125</v>
      </c>
      <c r="C8" s="14">
        <v>14</v>
      </c>
      <c r="D8" s="194">
        <f t="shared" si="1"/>
        <v>45.958721923828129</v>
      </c>
      <c r="E8" s="194">
        <f t="shared" si="2"/>
        <v>57.907989624023443</v>
      </c>
      <c r="F8" s="195">
        <v>36</v>
      </c>
      <c r="G8" s="195">
        <v>33</v>
      </c>
      <c r="H8" s="196">
        <v>216</v>
      </c>
      <c r="I8" s="15">
        <v>0.3125</v>
      </c>
      <c r="J8" s="14">
        <v>15</v>
      </c>
      <c r="K8" s="194">
        <f t="shared" si="3"/>
        <v>52.919464111328125</v>
      </c>
      <c r="L8" s="194">
        <f t="shared" si="4"/>
        <v>66.678524780273435</v>
      </c>
      <c r="M8" s="197">
        <v>40</v>
      </c>
      <c r="N8" s="197">
        <v>37</v>
      </c>
      <c r="O8" s="198">
        <v>245</v>
      </c>
      <c r="Q8" s="15">
        <v>3</v>
      </c>
      <c r="R8" s="199" t="s">
        <v>70</v>
      </c>
      <c r="S8" s="14">
        <v>16</v>
      </c>
      <c r="T8" s="14">
        <v>5</v>
      </c>
      <c r="U8" s="14">
        <v>922</v>
      </c>
      <c r="V8" s="200">
        <v>377</v>
      </c>
      <c r="W8" s="201">
        <f t="shared" si="0"/>
        <v>562.46327112560584</v>
      </c>
      <c r="X8" s="514"/>
      <c r="Y8" s="15" t="str">
        <f t="shared" si="5"/>
        <v>Okay</v>
      </c>
      <c r="Z8" s="14" t="str">
        <f t="shared" si="6"/>
        <v>Okay</v>
      </c>
      <c r="AA8" s="21" t="str">
        <f t="shared" si="7"/>
        <v>Okay</v>
      </c>
      <c r="AB8" s="202">
        <f>IF(Dimensions!C47=1,0,W8*U28)</f>
        <v>731.20225246328766</v>
      </c>
      <c r="AC8" s="511"/>
      <c r="AD8" s="14" t="str">
        <f>IF(Dimensions!C47=1,0,IF((U8&gt;AB8)*(T8&gt;=$O$17), "Okay", "NoGood"))</f>
        <v>Okay</v>
      </c>
      <c r="AE8" s="14" t="str">
        <f>IF(Dimensions!C47=1,0,IF((V8&gt;$AC$6), "Okay", "NoGood"))</f>
        <v>NoGood</v>
      </c>
      <c r="AF8" s="21" t="str">
        <f>IF(Dimensions!C47=1,0,IF((AD8="Okay")*(AE8="Okay"),"Okay","NoGood"))</f>
        <v>NoGood</v>
      </c>
    </row>
    <row r="9" spans="1:32">
      <c r="A9" s="193">
        <f>A8+10</f>
        <v>60</v>
      </c>
      <c r="B9" s="15">
        <v>0.375</v>
      </c>
      <c r="C9" s="14">
        <v>15</v>
      </c>
      <c r="D9" s="194">
        <f t="shared" si="1"/>
        <v>62.964052734375002</v>
      </c>
      <c r="E9" s="194">
        <f t="shared" si="2"/>
        <v>79.334706445312506</v>
      </c>
      <c r="F9" s="195">
        <v>56</v>
      </c>
      <c r="G9" s="195">
        <v>48</v>
      </c>
      <c r="H9" s="196">
        <v>300</v>
      </c>
      <c r="I9" s="15">
        <v>0.375</v>
      </c>
      <c r="J9" s="14">
        <v>16</v>
      </c>
      <c r="K9" s="194">
        <f t="shared" si="3"/>
        <v>71.868896484375</v>
      </c>
      <c r="L9" s="194">
        <f t="shared" si="4"/>
        <v>90.5548095703125</v>
      </c>
      <c r="M9" s="197">
        <v>62</v>
      </c>
      <c r="N9" s="197">
        <v>53</v>
      </c>
      <c r="O9" s="198">
        <v>342</v>
      </c>
      <c r="Q9" s="15">
        <v>4</v>
      </c>
      <c r="R9" s="199" t="s">
        <v>71</v>
      </c>
      <c r="S9" s="14">
        <v>16</v>
      </c>
      <c r="T9" s="14">
        <v>4.5</v>
      </c>
      <c r="U9" s="14">
        <v>829</v>
      </c>
      <c r="V9" s="200">
        <v>305</v>
      </c>
      <c r="W9" s="201">
        <f t="shared" si="0"/>
        <v>562.46327112560584</v>
      </c>
      <c r="X9" s="514"/>
      <c r="Y9" s="15" t="str">
        <f t="shared" si="5"/>
        <v>Okay</v>
      </c>
      <c r="Z9" s="14" t="str">
        <f t="shared" si="6"/>
        <v>NoGood</v>
      </c>
      <c r="AA9" s="21" t="str">
        <f t="shared" si="7"/>
        <v>NoGood</v>
      </c>
      <c r="AB9" s="202">
        <f>IF(Dimensions!C47=1,0,W9*U28)</f>
        <v>731.20225246328766</v>
      </c>
      <c r="AC9" s="511"/>
      <c r="AD9" s="14" t="str">
        <f>IF(Dimensions!C47=1,0,IF((U9&gt;AB9)*(T9&gt;=$O$17), "Okay", "NoGood"))</f>
        <v>Okay</v>
      </c>
      <c r="AE9" s="14" t="str">
        <f>IF(Dimensions!C47=1,0,IF((V9&gt;$AC$6), "Okay", "NoGood"))</f>
        <v>NoGood</v>
      </c>
      <c r="AF9" s="21" t="str">
        <f>IF(Dimensions!C47=1,0,IF((AD9="Okay")*(AE9="Okay"),"Okay","NoGood"))</f>
        <v>NoGood</v>
      </c>
    </row>
    <row r="10" spans="1:32">
      <c r="A10" s="193">
        <f>A9+10</f>
        <v>70</v>
      </c>
      <c r="B10" s="15">
        <v>0.375</v>
      </c>
      <c r="C10" s="14">
        <v>17</v>
      </c>
      <c r="D10" s="194">
        <f t="shared" si="1"/>
        <v>81.362490234375002</v>
      </c>
      <c r="E10" s="194">
        <f t="shared" si="2"/>
        <v>102.5167376953125</v>
      </c>
      <c r="F10" s="195">
        <v>85</v>
      </c>
      <c r="G10" s="195">
        <v>71</v>
      </c>
      <c r="H10" s="196">
        <v>381</v>
      </c>
      <c r="I10" s="15">
        <v>0.375</v>
      </c>
      <c r="J10" s="14">
        <v>18</v>
      </c>
      <c r="K10" s="194">
        <f t="shared" si="3"/>
        <v>91.444833984375009</v>
      </c>
      <c r="L10" s="194">
        <f t="shared" si="4"/>
        <v>115.22049082031251</v>
      </c>
      <c r="M10" s="197">
        <v>100</v>
      </c>
      <c r="N10" s="197">
        <v>78</v>
      </c>
      <c r="O10" s="198">
        <v>423</v>
      </c>
      <c r="Q10" s="15">
        <v>5</v>
      </c>
      <c r="R10" s="199" t="s">
        <v>72</v>
      </c>
      <c r="S10" s="14">
        <v>14</v>
      </c>
      <c r="T10" s="14">
        <v>5</v>
      </c>
      <c r="U10" s="14">
        <v>617</v>
      </c>
      <c r="V10" s="200">
        <v>289</v>
      </c>
      <c r="W10" s="201">
        <f t="shared" si="0"/>
        <v>533.75129148288067</v>
      </c>
      <c r="X10" s="514"/>
      <c r="Y10" s="15" t="str">
        <f t="shared" si="5"/>
        <v>Okay</v>
      </c>
      <c r="Z10" s="14" t="str">
        <f t="shared" si="6"/>
        <v>NoGood</v>
      </c>
      <c r="AA10" s="21" t="str">
        <f t="shared" si="7"/>
        <v>NoGood</v>
      </c>
      <c r="AB10" s="202">
        <f>IF(Dimensions!C47=1,0,W10*U28)</f>
        <v>693.87667892774493</v>
      </c>
      <c r="AC10" s="511"/>
      <c r="AD10" s="14" t="str">
        <f>IF(Dimensions!C47=1,0,IF((U10&gt;AB10)*(T10&gt;=$O$17), "Okay", "NoGood"))</f>
        <v>NoGood</v>
      </c>
      <c r="AE10" s="14" t="str">
        <f>IF(Dimensions!C47=1,0,IF((V10&gt;$AC$6), "Okay", "NoGood"))</f>
        <v>NoGood</v>
      </c>
      <c r="AF10" s="21" t="str">
        <f>IF(Dimensions!C47=1,0,IF((AD10="Okay")*(AE10="Okay"),"Okay","NoGood"))</f>
        <v>NoGood</v>
      </c>
    </row>
    <row r="11" spans="1:32" ht="15" thickBot="1">
      <c r="A11" s="203">
        <f>A10+8</f>
        <v>78</v>
      </c>
      <c r="B11" s="16">
        <v>0.375</v>
      </c>
      <c r="C11" s="17">
        <v>18</v>
      </c>
      <c r="D11" s="204">
        <f t="shared" si="1"/>
        <v>91.444833984375009</v>
      </c>
      <c r="E11" s="204">
        <f t="shared" si="2"/>
        <v>115.22049082031251</v>
      </c>
      <c r="F11" s="205">
        <v>110</v>
      </c>
      <c r="G11" s="205">
        <v>90</v>
      </c>
      <c r="H11" s="206">
        <v>423</v>
      </c>
      <c r="I11" s="16">
        <v>0.375</v>
      </c>
      <c r="J11" s="17">
        <v>20</v>
      </c>
      <c r="K11" s="204">
        <f t="shared" si="3"/>
        <v>113.37577148437501</v>
      </c>
      <c r="L11" s="204">
        <f t="shared" si="4"/>
        <v>142.85347207031251</v>
      </c>
      <c r="M11" s="207">
        <v>130</v>
      </c>
      <c r="N11" s="207">
        <v>106</v>
      </c>
      <c r="O11" s="208">
        <v>513</v>
      </c>
      <c r="Q11" s="15">
        <v>6</v>
      </c>
      <c r="R11" s="199" t="s">
        <v>73</v>
      </c>
      <c r="S11" s="14">
        <v>14</v>
      </c>
      <c r="T11" s="14">
        <v>4.5</v>
      </c>
      <c r="U11" s="14">
        <v>556</v>
      </c>
      <c r="V11" s="200">
        <v>234</v>
      </c>
      <c r="W11" s="201">
        <f t="shared" si="0"/>
        <v>533.75129148288067</v>
      </c>
      <c r="X11" s="514"/>
      <c r="Y11" s="15" t="str">
        <f t="shared" si="5"/>
        <v>Okay</v>
      </c>
      <c r="Z11" s="14" t="str">
        <f t="shared" si="6"/>
        <v>NoGood</v>
      </c>
      <c r="AA11" s="21" t="str">
        <f t="shared" si="7"/>
        <v>NoGood</v>
      </c>
      <c r="AB11" s="202">
        <f>IF(Dimensions!C47=1,0,W11*U28)</f>
        <v>693.87667892774493</v>
      </c>
      <c r="AC11" s="511"/>
      <c r="AD11" s="14" t="str">
        <f>IF(Dimensions!C47=1,0,IF((U11&gt;AB11)*(T11&gt;=$O$17), "Okay", "NoGood"))</f>
        <v>NoGood</v>
      </c>
      <c r="AE11" s="14" t="str">
        <f>IF(Dimensions!C47=1,0,IF((V11&gt;$AC$6), "Okay", "NoGood"))</f>
        <v>NoGood</v>
      </c>
      <c r="AF11" s="21" t="str">
        <f>IF(Dimensions!C47=1,0,IF((AD11="Okay")*(AE11="Okay"),"Okay","NoGood"))</f>
        <v>NoGood</v>
      </c>
    </row>
    <row r="12" spans="1:32">
      <c r="K12" s="3"/>
      <c r="L12" s="3"/>
      <c r="M12" s="3"/>
      <c r="Q12" s="15">
        <v>7</v>
      </c>
      <c r="R12" s="199" t="s">
        <v>74</v>
      </c>
      <c r="S12" s="14">
        <v>12</v>
      </c>
      <c r="T12" s="14">
        <v>4.5</v>
      </c>
      <c r="U12" s="14">
        <v>350</v>
      </c>
      <c r="V12" s="200">
        <v>172</v>
      </c>
      <c r="W12" s="201">
        <f t="shared" si="0"/>
        <v>505.03931184015551</v>
      </c>
      <c r="X12" s="514"/>
      <c r="Y12" s="15" t="str">
        <f t="shared" si="5"/>
        <v>NoGood</v>
      </c>
      <c r="Z12" s="14" t="str">
        <f t="shared" si="6"/>
        <v>NoGood</v>
      </c>
      <c r="AA12" s="21" t="str">
        <f t="shared" si="7"/>
        <v>NoGood</v>
      </c>
      <c r="AB12" s="202">
        <f>IF(Dimensions!C47=1,0,W12*U28)</f>
        <v>656.5511053922022</v>
      </c>
      <c r="AC12" s="511"/>
      <c r="AD12" s="14" t="str">
        <f>IF(Dimensions!C47=1,0,IF((U12&gt;AB12)*(T12&gt;=$O$17), "Okay", "NoGood"))</f>
        <v>NoGood</v>
      </c>
      <c r="AE12" s="14" t="str">
        <f>IF(Dimensions!C47=1,0,IF((V12&gt;$AC$6), "Okay", "NoGood"))</f>
        <v>NoGood</v>
      </c>
      <c r="AF12" s="21" t="str">
        <f>IF(Dimensions!C47=1,0,IF((AD12="Okay")*(AE12="Okay"),"Okay","NoGood"))</f>
        <v>NoGood</v>
      </c>
    </row>
    <row r="13" spans="1:32" ht="15" thickBot="1">
      <c r="D13" s="5"/>
      <c r="E13" s="5"/>
      <c r="F13" s="5"/>
      <c r="G13" s="5"/>
      <c r="M13" s="3"/>
      <c r="Q13" s="16">
        <v>8</v>
      </c>
      <c r="R13" s="209" t="s">
        <v>75</v>
      </c>
      <c r="S13" s="17">
        <v>12</v>
      </c>
      <c r="T13" s="17">
        <v>4</v>
      </c>
      <c r="U13" s="17">
        <v>311</v>
      </c>
      <c r="V13" s="210">
        <v>136</v>
      </c>
      <c r="W13" s="211">
        <f t="shared" si="0"/>
        <v>505.03931184015551</v>
      </c>
      <c r="X13" s="515"/>
      <c r="Y13" s="16" t="str">
        <f t="shared" si="5"/>
        <v>NoGood</v>
      </c>
      <c r="Z13" s="17" t="str">
        <f t="shared" si="6"/>
        <v>NoGood</v>
      </c>
      <c r="AA13" s="22" t="str">
        <f t="shared" si="7"/>
        <v>NoGood</v>
      </c>
      <c r="AB13" s="212">
        <f>IF(Dimensions!C47=1,0,W13*U28)</f>
        <v>656.5511053922022</v>
      </c>
      <c r="AC13" s="512"/>
      <c r="AD13" s="17" t="str">
        <f>IF(Dimensions!C47=1,0,IF((U13&gt;AB13)*(T13&gt;=$O$17), "Okay", "NoGood"))</f>
        <v>NoGood</v>
      </c>
      <c r="AE13" s="17" t="str">
        <f>IF(Dimensions!C47=1,0,IF((V13&gt;$AC$6), "Okay", "NoGood"))</f>
        <v>NoGood</v>
      </c>
      <c r="AF13" s="22" t="str">
        <f>IF(Dimensions!C47=1,0,IF((AD13="Okay")*(AE13="Okay"),"Okay","NoGood"))</f>
        <v>NoGood</v>
      </c>
    </row>
    <row r="14" spans="1:32" ht="15" thickBot="1">
      <c r="A14" s="213"/>
      <c r="B14" s="213"/>
      <c r="C14" s="213"/>
      <c r="D14" s="5"/>
      <c r="E14" s="5"/>
      <c r="F14" s="5"/>
      <c r="G14" s="5"/>
      <c r="K14" s="214"/>
      <c r="L14" s="9"/>
    </row>
    <row r="15" spans="1:32" ht="19.5" customHeight="1" thickBot="1">
      <c r="A15" s="507" t="s">
        <v>152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9"/>
      <c r="N15" s="498" t="s">
        <v>206</v>
      </c>
      <c r="O15" s="505" t="s">
        <v>99</v>
      </c>
      <c r="Q15" s="478" t="s">
        <v>168</v>
      </c>
      <c r="R15" s="479"/>
      <c r="S15" s="479"/>
      <c r="T15" s="479"/>
      <c r="U15" s="479"/>
      <c r="V15" s="479"/>
      <c r="W15" s="480"/>
      <c r="Y15" s="478" t="s">
        <v>98</v>
      </c>
      <c r="Z15" s="479"/>
      <c r="AA15" s="479"/>
      <c r="AB15" s="479"/>
      <c r="AC15" s="480"/>
    </row>
    <row r="16" spans="1:32" ht="29.4" thickBot="1">
      <c r="A16" s="215"/>
      <c r="B16" s="216" t="s">
        <v>194</v>
      </c>
      <c r="C16" s="216" t="s">
        <v>195</v>
      </c>
      <c r="D16" s="216" t="s">
        <v>196</v>
      </c>
      <c r="E16" s="216" t="s">
        <v>197</v>
      </c>
      <c r="F16" s="216" t="s">
        <v>198</v>
      </c>
      <c r="G16" s="216" t="s">
        <v>199</v>
      </c>
      <c r="H16" s="216" t="s">
        <v>200</v>
      </c>
      <c r="I16" s="216" t="s">
        <v>201</v>
      </c>
      <c r="J16" s="216" t="s">
        <v>202</v>
      </c>
      <c r="K16" s="217" t="s">
        <v>203</v>
      </c>
      <c r="L16" s="218" t="s">
        <v>58</v>
      </c>
      <c r="N16" s="498"/>
      <c r="O16" s="506"/>
      <c r="Q16" s="521" t="s">
        <v>77</v>
      </c>
      <c r="R16" s="522"/>
      <c r="S16" s="522"/>
      <c r="T16" s="522"/>
      <c r="U16" s="523"/>
      <c r="V16" s="219" t="s">
        <v>165</v>
      </c>
      <c r="W16" s="219" t="s">
        <v>166</v>
      </c>
      <c r="Y16" s="220"/>
      <c r="Z16" s="221" t="s">
        <v>172</v>
      </c>
      <c r="AA16" s="177" t="s">
        <v>173</v>
      </c>
      <c r="AB16" s="222" t="s">
        <v>174</v>
      </c>
      <c r="AC16" s="223" t="s">
        <v>175</v>
      </c>
    </row>
    <row r="17" spans="1:32" ht="43.8" thickBot="1">
      <c r="A17" s="224" t="s">
        <v>46</v>
      </c>
      <c r="B17" s="225">
        <f>IF(Arm1Design!D6&lt;&gt;1,Arm1Design!D10*Arm1Design!D7*$H$1/1000,0)</f>
        <v>0</v>
      </c>
      <c r="C17" s="225">
        <f>IF(Arm1Design!E6&lt;&gt;1,Arm1Design!E10*Arm1Design!E7*$H$1/1000,0)</f>
        <v>0</v>
      </c>
      <c r="D17" s="225">
        <f>IF(Arm1Design!F6&lt;&gt;1,Arm1Design!F10*Arm1Design!F7*$H$1/1000,0)</f>
        <v>0</v>
      </c>
      <c r="E17" s="225">
        <f>IF(Arm1Design!G6&lt;&gt;1,Arm1Design!G10*Arm1Design!G7*$H$1/1000,0)</f>
        <v>0</v>
      </c>
      <c r="F17" s="225">
        <f>IF(Arm1Design!H6&lt;&gt;1,Arm1Design!H10*Arm1Design!H7*$H$1/1000,0)</f>
        <v>70.92069807881316</v>
      </c>
      <c r="G17" s="225">
        <f>IF(Arm1Design!I6&lt;&gt;1,Arm1Design!I10*Arm1Design!I7*$H$1/1000,0)</f>
        <v>40.029105346559987</v>
      </c>
      <c r="H17" s="225">
        <f>IF(Arm1Design!J6&lt;&gt;1,Arm1Design!J10*Arm1Design!J7*$H$1/1000,0)</f>
        <v>55.798146846719987</v>
      </c>
      <c r="I17" s="225">
        <f>IF(Arm1Design!K6&lt;&gt;1,Arm1Design!K10*Arm1Design!K7*$H$1/1000,0)</f>
        <v>26.90827624249712</v>
      </c>
      <c r="J17" s="225">
        <f>IF(Arm1Design!L6&lt;&gt;1,Arm1Design!L10*Arm1Design!L7*$H$1/1000,0)</f>
        <v>35.581426974719996</v>
      </c>
      <c r="K17" s="226">
        <f>IF(Arm1Design!M6&lt;&gt;1,Arm1Design!M10*Arm1Design!M7*$H$1/1000,0)</f>
        <v>12.938700718079998</v>
      </c>
      <c r="L17" s="227">
        <f>SUM(B17:K17)</f>
        <v>242.17635420739023</v>
      </c>
      <c r="N17" s="498"/>
      <c r="O17" s="228">
        <f>IF((Dimensions!D46&gt;61)+((Dimensions!D46&gt;51)*(Dimensions!D47&gt;51)),5,IF(((Dimensions!D46=30)*(Dimensions!D47=0)),4,4.5))</f>
        <v>4.5</v>
      </c>
      <c r="Q17" s="524" t="str">
        <f>"Drilled Shaft Index req'd for Overturning including Min. Diamter"</f>
        <v>Drilled Shaft Index req'd for Overturning including Min. Diamter</v>
      </c>
      <c r="R17" s="525"/>
      <c r="S17" s="525"/>
      <c r="T17" s="525"/>
      <c r="U17" s="526"/>
      <c r="V17" s="229">
        <f>IF((Y10="Okay")*(Y9="NoGood"),5,IF(Y13="Okay",Q13,INDEX(Q6:Q13,MATCH("NoGood",Y6:Y13,0)-1)))</f>
        <v>6</v>
      </c>
      <c r="W17" s="230">
        <f>IF(Dimensions!C47=1,0,IF((AD10="Okay")*(AD9="NoGood"),5,INDEX(Q6:Q13,MATCH("NoGood",AD6:AD13,0)-1)))</f>
        <v>4</v>
      </c>
      <c r="Y17" s="231" t="s">
        <v>107</v>
      </c>
      <c r="Z17" s="232" t="s">
        <v>91</v>
      </c>
      <c r="AA17" s="226">
        <f>L18</f>
        <v>14.916</v>
      </c>
      <c r="AB17" s="233" t="s">
        <v>91</v>
      </c>
      <c r="AC17" s="234">
        <f>IF(Dimensions!C47=1,0,L26)</f>
        <v>8.8660000000000014</v>
      </c>
    </row>
    <row r="18" spans="1:32" ht="43.8" thickBot="1">
      <c r="A18" s="235" t="s">
        <v>62</v>
      </c>
      <c r="B18" s="236">
        <f>1.1*Arm1Design!D7/1000*IF(Arm1Design!D6=2,Dimensions!$J$4,IF(Arm1Design!D6=3,Dimensions!$J$13,IF(Arm1Design!D6=4,Dimensions!$J$22,IF(Arm1Design!D6=5,Dimensions!T4,0))))</f>
        <v>0</v>
      </c>
      <c r="C18" s="236">
        <f>1.1*Arm1Design!E7/1000*IF(Arm1Design!E6=2,Dimensions!$J$4,IF(Arm1Design!E6=3,Dimensions!$J$13,IF(Arm1Design!E6=4,Dimensions!$J$22,IF(Arm1Design!E6=5,Dimensions!T11,0))))</f>
        <v>0</v>
      </c>
      <c r="D18" s="236">
        <f>1.1*Arm1Design!F7/1000*IF(Arm1Design!F6=2,Dimensions!$J$4,IF(Arm1Design!F6=3,Dimensions!$J$13,IF(Arm1Design!F6=4,Dimensions!$J$22,IF(Arm1Design!F6=5,Dimensions!T18,0))))</f>
        <v>0</v>
      </c>
      <c r="E18" s="236">
        <f>1.1*Arm1Design!G7/1000*IF(Arm1Design!G6=2,Dimensions!$J$4,IF(Arm1Design!G6=3,Dimensions!$J$13,IF(Arm1Design!G6=4,Dimensions!$J$22,IF(Arm1Design!G6=5,Dimensions!T25,0))))</f>
        <v>0</v>
      </c>
      <c r="F18" s="236">
        <f>1.1*Arm1Design!H7/1000*IF(Arm1Design!H6=2,Dimensions!$J$4,IF(Arm1Design!H6=3,Dimensions!$J$13,IF(Arm1Design!H6=4,Dimensions!$J$22,IF(Arm1Design!H6=5,Dimensions!T32,0))))</f>
        <v>5.1920000000000002</v>
      </c>
      <c r="G18" s="236">
        <f>1.1*Arm1Design!I7/1000*IF(Arm1Design!I6=2,Dimensions!$J$4,IF(Arm1Design!I6=3,Dimensions!$J$13,IF(Arm1Design!I6=4,Dimensions!$J$22,IF(Arm1Design!I6=5,Dimensions!T39,0))))</f>
        <v>2.1780000000000004</v>
      </c>
      <c r="H18" s="236">
        <f>1.1*Arm1Design!J7/1000*IF(Arm1Design!J6=2,Dimensions!$J$4,IF(Arm1Design!J6=3,Dimensions!$J$13,IF(Arm1Design!J6=4,Dimensions!$J$22,IF(Arm1Design!J6=5,Dimensions!T46,0))))</f>
        <v>3.036</v>
      </c>
      <c r="I18" s="236">
        <f>1.1*Arm1Design!K7/1000*IF(Arm1Design!K6=2,Dimensions!$J$4,IF(Arm1Design!K6=3,Dimensions!$J$13,IF(Arm1Design!K6=4,Dimensions!$J$22,IF(Arm1Design!K6=5,Dimensions!T53,0))))</f>
        <v>1.87</v>
      </c>
      <c r="J18" s="236">
        <f>1.1*Arm1Design!L7/1000*IF(Arm1Design!L6=2,Dimensions!$J$4,IF(Arm1Design!L6=3,Dimensions!$J$13,IF(Arm1Design!L6=4,Dimensions!$J$22,IF(Arm1Design!L6=5,Dimensions!T60,0))))</f>
        <v>1.9360000000000002</v>
      </c>
      <c r="K18" s="237">
        <f>1.1*Arm1Design!M7/1000*IF(Arm1Design!M6=2,Dimensions!$J$4,IF(Arm1Design!M6=3,Dimensions!$J$13,IF(Arm1Design!M6=4,Dimensions!$J$22,IF(Arm1Design!M6=5,Dimensions!T67,0))))</f>
        <v>0.70400000000000007</v>
      </c>
      <c r="L18" s="227">
        <f>SUM(B18:K18)</f>
        <v>14.916</v>
      </c>
      <c r="Q18" s="531" t="s">
        <v>167</v>
      </c>
      <c r="R18" s="532"/>
      <c r="S18" s="532"/>
      <c r="T18" s="532"/>
      <c r="U18" s="515"/>
      <c r="V18" s="238">
        <f>IF(Z13="Okay",Q13,INDEX(Q6:Q13,MATCH("NoGood",Z6:Z13,0)-1))</f>
        <v>3</v>
      </c>
      <c r="W18" s="239">
        <f>IF(Dimensions!C47=1,0,IF(AE13="Okay",Q13,INDEX(Q6:Q13,MATCH("NoGood",AE6:AE13,0)-1)))</f>
        <v>2</v>
      </c>
      <c r="X18" s="240"/>
      <c r="Y18" s="241" t="s">
        <v>108</v>
      </c>
      <c r="Z18" s="242" t="s">
        <v>91</v>
      </c>
      <c r="AA18" s="243">
        <f>IF(C31="Use Regular Arm",L20,M20)</f>
        <v>68.2</v>
      </c>
      <c r="AB18" s="244" t="s">
        <v>91</v>
      </c>
      <c r="AC18" s="245">
        <f>IF(Dimensions!C47=1,0,IF(C37="Use Regular Arm",L28,M28))</f>
        <v>39.6</v>
      </c>
    </row>
    <row r="19" spans="1:32" ht="45.75" customHeight="1" thickBot="1">
      <c r="A19" s="246" t="s">
        <v>154</v>
      </c>
      <c r="B19" s="484" t="s">
        <v>101</v>
      </c>
      <c r="C19" s="484"/>
      <c r="D19" s="484"/>
      <c r="E19" s="484"/>
      <c r="F19" s="484"/>
      <c r="G19" s="484"/>
      <c r="H19" s="484"/>
      <c r="I19" s="484"/>
      <c r="J19" s="484"/>
      <c r="K19" s="485"/>
      <c r="L19" s="227">
        <f>VLOOKUP(Dimensions!D46,A56:E67,5)</f>
        <v>80.737032982868683</v>
      </c>
      <c r="M19" s="227">
        <f>VLOOKUP(Dimensions!D46+0.01,A56:E67,5)</f>
        <v>90.991199689902501</v>
      </c>
      <c r="N19" s="240"/>
      <c r="O19" s="3"/>
      <c r="Q19" s="533" t="str">
        <f xml:space="preserve"> "Drilled Shaft Controlling Load Case"</f>
        <v>Drilled Shaft Controlling Load Case</v>
      </c>
      <c r="R19" s="534"/>
      <c r="S19" s="534"/>
      <c r="T19" s="534"/>
      <c r="U19" s="535"/>
      <c r="V19" s="247">
        <f>IF((AA10="Okay")*(AA9="NoGood"),5,IF(AA13="Okay",Q13,INDEX(Q6:Q13,MATCH("NoGood",AA6:AA13,0)-1)))</f>
        <v>3</v>
      </c>
      <c r="W19" s="247">
        <f>IF((AF10="Okay")*(AF9="NoGood"),5,IF(AF13="Okay",Q13,INDEX(Q6:Q13,MATCH("NoGood",AF6:AF13,0)-1)))</f>
        <v>2</v>
      </c>
      <c r="Y19" s="248" t="s">
        <v>109</v>
      </c>
      <c r="Z19" s="249">
        <f>40*(18/12)*B1/1000</f>
        <v>3.1942417397759995</v>
      </c>
      <c r="AA19" s="250">
        <f>IF(C31="Use Regular Arm",Z19,Z19*1.2)*40/2</f>
        <v>76.66180175462398</v>
      </c>
      <c r="AB19" s="191">
        <f>IF(Dimensions!C47=1,0,Z19)</f>
        <v>3.1942417397759995</v>
      </c>
      <c r="AC19" s="251">
        <f>IF(Dimensions!C47=1,0,AA19)</f>
        <v>76.66180175462398</v>
      </c>
      <c r="AD19" s="477" t="s">
        <v>207</v>
      </c>
      <c r="AE19" s="477"/>
    </row>
    <row r="20" spans="1:32" ht="43.8" thickBot="1">
      <c r="A20" s="252" t="s">
        <v>155</v>
      </c>
      <c r="B20" s="484" t="s">
        <v>101</v>
      </c>
      <c r="C20" s="484"/>
      <c r="D20" s="484"/>
      <c r="E20" s="484"/>
      <c r="F20" s="484"/>
      <c r="G20" s="484"/>
      <c r="H20" s="484"/>
      <c r="I20" s="484"/>
      <c r="J20" s="484"/>
      <c r="K20" s="485"/>
      <c r="L20" s="227">
        <f>1.1*VLOOKUP(Dimensions!D46,A6:O11,6)</f>
        <v>61.600000000000009</v>
      </c>
      <c r="M20" s="227">
        <f>1.1*VLOOKUP(Dimensions!D46,A6:O11,13)</f>
        <v>68.2</v>
      </c>
      <c r="N20" s="240"/>
      <c r="Y20" s="253" t="s">
        <v>110</v>
      </c>
      <c r="Z20" s="236">
        <f>SUM(Arm1Design!D10:M10)*H1/1000</f>
        <v>7.1689459068665835</v>
      </c>
      <c r="AA20" s="237">
        <f>Z20*22</f>
        <v>157.71680995106485</v>
      </c>
      <c r="AB20" s="201">
        <f>IF(Dimensions!C47=1,0,SUM(Arm2Design!D10:M10)*H1/1000)</f>
        <v>3.5126874245117943</v>
      </c>
      <c r="AC20" s="254">
        <f>IF(Dimensions!C47=1,0,AB20*22)</f>
        <v>77.279123339259471</v>
      </c>
      <c r="AF20" s="3"/>
    </row>
    <row r="21" spans="1:32" ht="18" customHeight="1" thickBot="1">
      <c r="H21" s="501" t="s">
        <v>65</v>
      </c>
      <c r="I21" s="501"/>
      <c r="J21" s="501"/>
      <c r="K21" s="501"/>
      <c r="L21" s="227">
        <f>((L17+L19)^2+(L18+L20)^2)^0.5</f>
        <v>331.85501937244533</v>
      </c>
      <c r="M21" s="227">
        <f>((L17+M19)^2+(L18+M20)^2)^0.5+0.5</f>
        <v>343.87863711347194</v>
      </c>
      <c r="R21" s="577" t="s">
        <v>117</v>
      </c>
      <c r="S21" s="578"/>
      <c r="T21" s="578"/>
      <c r="U21" s="579"/>
      <c r="Y21" s="253" t="s">
        <v>111</v>
      </c>
      <c r="Z21" s="236">
        <f>Dimensions!D46*B1/1000*IF(C33="/H",Arm1Design!E26/12,Arm1Design!D26/12)</f>
        <v>3.9928021747199995</v>
      </c>
      <c r="AA21" s="237">
        <f>Z21*22</f>
        <v>87.841647843839993</v>
      </c>
      <c r="AB21" s="201">
        <f>IF(Dimensions!C47=1,0,Dimensions!D47*B1/1000*IF(C39="/H",Arm2Design!E26/12,Arm2Design!D26/12))</f>
        <v>3.1055128025600003</v>
      </c>
      <c r="AC21" s="254">
        <f>IF(Dimensions!C47=1,0,AB21*22)</f>
        <v>68.321281656320011</v>
      </c>
    </row>
    <row r="22" spans="1:32" ht="15" thickBot="1">
      <c r="H22" s="255"/>
      <c r="I22" s="255"/>
      <c r="J22" s="255"/>
      <c r="K22" s="255"/>
      <c r="L22" s="213"/>
      <c r="M22" s="213"/>
      <c r="N22" s="256"/>
      <c r="R22" s="577"/>
      <c r="S22" s="580"/>
      <c r="T22" s="257" t="s">
        <v>118</v>
      </c>
      <c r="U22" s="258" t="s">
        <v>119</v>
      </c>
      <c r="Y22" s="259" t="s">
        <v>268</v>
      </c>
      <c r="Z22" s="260" t="s">
        <v>91</v>
      </c>
      <c r="AA22" s="261">
        <f>L17</f>
        <v>242.17635420739023</v>
      </c>
      <c r="AB22" s="262" t="s">
        <v>91</v>
      </c>
      <c r="AC22" s="254">
        <f>IF(Dimensions!C47=1,0,L25)</f>
        <v>115.17415173613115</v>
      </c>
    </row>
    <row r="23" spans="1:32" ht="18.600000000000001" thickBot="1">
      <c r="A23" s="507" t="s">
        <v>153</v>
      </c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9"/>
      <c r="M23" s="213"/>
      <c r="R23" s="536" t="s">
        <v>93</v>
      </c>
      <c r="S23" s="537"/>
      <c r="T23" s="249">
        <f>AA17+AA18</f>
        <v>83.116</v>
      </c>
      <c r="U23" s="499" t="s">
        <v>91</v>
      </c>
      <c r="Y23" s="241" t="s">
        <v>269</v>
      </c>
      <c r="Z23" s="242" t="s">
        <v>91</v>
      </c>
      <c r="AA23" s="243">
        <f>L19</f>
        <v>80.737032982868683</v>
      </c>
      <c r="AB23" s="244" t="s">
        <v>91</v>
      </c>
      <c r="AC23" s="245">
        <f>IF(Dimensions!C47=1,0,L27)</f>
        <v>56.133183947377844</v>
      </c>
    </row>
    <row r="24" spans="1:32" ht="29.4" thickBot="1">
      <c r="A24" s="215"/>
      <c r="B24" s="216" t="s">
        <v>194</v>
      </c>
      <c r="C24" s="216" t="s">
        <v>195</v>
      </c>
      <c r="D24" s="216" t="s">
        <v>196</v>
      </c>
      <c r="E24" s="216" t="s">
        <v>197</v>
      </c>
      <c r="F24" s="216" t="s">
        <v>198</v>
      </c>
      <c r="G24" s="216" t="s">
        <v>199</v>
      </c>
      <c r="H24" s="216" t="s">
        <v>200</v>
      </c>
      <c r="I24" s="216" t="s">
        <v>201</v>
      </c>
      <c r="J24" s="216" t="s">
        <v>202</v>
      </c>
      <c r="K24" s="217" t="s">
        <v>203</v>
      </c>
      <c r="L24" s="218" t="s">
        <v>58</v>
      </c>
      <c r="M24" s="213"/>
      <c r="R24" s="529" t="s">
        <v>94</v>
      </c>
      <c r="S24" s="530"/>
      <c r="T24" s="236">
        <f>AA19+AA20+AA21</f>
        <v>322.22025954952881</v>
      </c>
      <c r="U24" s="500"/>
    </row>
    <row r="25" spans="1:32" ht="43.8" thickBot="1">
      <c r="A25" s="224" t="s">
        <v>46</v>
      </c>
      <c r="B25" s="225">
        <f>IF(Arm2Design!D6&lt;&gt;1,Arm2Design!D10*Arm2Design!D7*$H$1/1000,0)</f>
        <v>0</v>
      </c>
      <c r="C25" s="225">
        <f>IF(Arm2Design!E6&lt;&gt;1,Arm2Design!E10*Arm2Design!E7*$H$1/1000,0)</f>
        <v>0</v>
      </c>
      <c r="D25" s="225">
        <f>IF(Arm2Design!F6&lt;&gt;1,Arm2Design!F10*Arm2Design!F7*$H$1/1000,0)</f>
        <v>0</v>
      </c>
      <c r="E25" s="225">
        <f>IF(Arm2Design!G6&lt;&gt;1,Arm2Design!G10*Arm2Design!G7*$H$1/1000,0)</f>
        <v>0</v>
      </c>
      <c r="F25" s="225">
        <f>IF(Arm2Design!H6&lt;&gt;1,Arm2Design!H10*Arm2Design!H7*$H$1/1000,0)</f>
        <v>0</v>
      </c>
      <c r="G25" s="225">
        <f>IF(Arm2Design!I6&lt;&gt;1,Arm2Design!I10*Arm2Design!I7*$H$1/1000,0)</f>
        <v>57.698195047170032</v>
      </c>
      <c r="H25" s="263">
        <f>IF(Arm2Design!J6&lt;&gt;1,Arm2Design!J10*Arm2Design!J7*$H$1/1000,0)</f>
        <v>30.567680446463992</v>
      </c>
      <c r="I25" s="263">
        <f>IF(Arm2Design!K6&lt;&gt;1,Arm2Design!K10*Arm2Design!K7*$H$1/1000,0)</f>
        <v>0</v>
      </c>
      <c r="J25" s="263">
        <f>IF(Arm2Design!L6&lt;&gt;1,Arm2Design!L10*Arm2Design!L7*$H$1/1000,0)</f>
        <v>17.411237568674604</v>
      </c>
      <c r="K25" s="264">
        <f>IF(Arm2Design!M6&lt;&gt;1,Arm2Design!M10*Arm2Design!M7*$H$1/1000,0)</f>
        <v>9.4970386738225141</v>
      </c>
      <c r="L25" s="227">
        <f>IF(Dimensions!C47=1,0,SUM(B25:K25))</f>
        <v>115.17415173613115</v>
      </c>
      <c r="M25" s="213"/>
      <c r="R25" s="529" t="s">
        <v>95</v>
      </c>
      <c r="S25" s="530"/>
      <c r="T25" s="236">
        <f>(T23^2+T24^2)^0.5</f>
        <v>332.76743398380455</v>
      </c>
      <c r="U25" s="254">
        <f>IF(Dimensions!C47=1,0,U28*MAX(T25,((AC17+AC18)^2+(AC19+AC20+AC21)^2)^0.5))</f>
        <v>432.59766417894593</v>
      </c>
      <c r="Y25" s="563" t="s">
        <v>136</v>
      </c>
      <c r="Z25" s="564"/>
      <c r="AA25" s="564"/>
      <c r="AB25" s="565"/>
    </row>
    <row r="26" spans="1:32" ht="43.8" thickBot="1">
      <c r="A26" s="235" t="s">
        <v>62</v>
      </c>
      <c r="B26" s="236">
        <f>1.1*Arm2Design!D7/1000*IF(Arm2Design!D6=2,Dimensions!$J$4,IF(Arm2Design!D6=3,Dimensions!$J$13,IF(Arm2Design!D6=4,Dimensions!$J$22,IF(Arm2Design!D6=5,Dimensions!T4,0))))</f>
        <v>0</v>
      </c>
      <c r="C26" s="236">
        <f>1.1*Arm2Design!E7/1000*IF(Arm2Design!E6=2,Dimensions!$J$4,IF(Arm2Design!E6=3,Dimensions!$J$13,IF(Arm2Design!E6=4,Dimensions!$J$22,IF(Arm2Design!E6=5,Dimensions!T11,0))))</f>
        <v>0</v>
      </c>
      <c r="D26" s="236">
        <f>1.1*Arm2Design!F7/1000*IF(Arm2Design!F6=2,Dimensions!$J$4,IF(Arm2Design!F6=3,Dimensions!$J$13,IF(Arm2Design!F6=4,Dimensions!$J$22,IF(Arm2Design!F6=5,Dimensions!T18,0))))</f>
        <v>0</v>
      </c>
      <c r="E26" s="236">
        <f>1.1*Arm2Design!G7/1000*IF(Arm2Design!G6=2,Dimensions!$J$4,IF(Arm2Design!G6=3,Dimensions!$J$13,IF(Arm2Design!G6=4,Dimensions!$J$22,IF(Arm2Design!G6=5,Dimensions!T25,0))))</f>
        <v>0</v>
      </c>
      <c r="F26" s="236">
        <f>1.1*Arm2Design!H7/1000*IF(Arm2Design!H6=2,Dimensions!$J$4,IF(Arm2Design!H6=3,Dimensions!$J$13,IF(Arm2Design!H6=4,Dimensions!$J$22,IF(Arm2Design!H6=5,Dimensions!T32,0))))</f>
        <v>0</v>
      </c>
      <c r="G26" s="236">
        <f>1.1*Arm2Design!I7/1000*IF(Arm2Design!I6=2,Dimensions!$J$4,IF(Arm2Design!I6=3,Dimensions!$J$13,IF(Arm2Design!I6=4,Dimensions!$J$22,IF(Arm2Design!I6=5,Dimensions!T39,0))))</f>
        <v>4.2240000000000002</v>
      </c>
      <c r="H26" s="265">
        <f>1.1*Arm2Design!J7/1000*IF(Arm2Design!J6=2,Dimensions!$J$4,IF(Arm2Design!J6=3,Dimensions!$J$13,IF(Arm2Design!J6=4,Dimensions!$J$22,IF(Arm2Design!J6=5,Dimensions!T46,0))))</f>
        <v>2.7720000000000002</v>
      </c>
      <c r="I26" s="265">
        <f>1.1*Arm2Design!K7/1000*IF(Arm2Design!K6=2,Dimensions!$J$4,IF(Arm2Design!K6=3,Dimensions!$J$13,IF(Arm2Design!K6=4,Dimensions!$J$22,IF(Arm2Design!K6=5,Dimensions!T53,0))))</f>
        <v>0</v>
      </c>
      <c r="J26" s="265">
        <f>1.1*Arm2Design!L7/1000*IF(Arm2Design!L6=2,Dimensions!$J$4,IF(Arm2Design!L6=3,Dimensions!$J$13,IF(Arm2Design!L6=4,Dimensions!$J$22,IF(Arm2Design!L6=5,Dimensions!T60,0))))</f>
        <v>1.2100000000000002</v>
      </c>
      <c r="K26" s="266">
        <f>1.1*Arm2Design!M7/1000*IF(Arm2Design!M6=2,Dimensions!$J$4,IF(Arm2Design!M6=3,Dimensions!$J$13,IF(Arm2Design!M6=4,Dimensions!$J$22,IF(Arm2Design!M6=5,Dimensions!T67,0))))</f>
        <v>0.66</v>
      </c>
      <c r="L26" s="227">
        <f>IF(Dimensions!C47=1,0,SUM(B26:K26))</f>
        <v>8.8660000000000014</v>
      </c>
      <c r="M26" s="213"/>
      <c r="R26" s="529" t="s">
        <v>92</v>
      </c>
      <c r="S26" s="530"/>
      <c r="T26" s="236">
        <f>AA22+AA23</f>
        <v>322.9133871902589</v>
      </c>
      <c r="U26" s="254">
        <f>IF(Dimensions!C47=1,0,U28*MAX(T26,AC22+AC23))</f>
        <v>419.78740334733658</v>
      </c>
      <c r="Y26" s="267" t="s">
        <v>147</v>
      </c>
      <c r="Z26" s="170">
        <f>Dimensions!D46</f>
        <v>60</v>
      </c>
      <c r="AA26" s="267" t="s">
        <v>148</v>
      </c>
      <c r="AB26" s="170">
        <f>Dimensions!D47</f>
        <v>50</v>
      </c>
    </row>
    <row r="27" spans="1:32" ht="43.8" thickBot="1">
      <c r="A27" s="246" t="s">
        <v>156</v>
      </c>
      <c r="B27" s="484" t="s">
        <v>101</v>
      </c>
      <c r="C27" s="484"/>
      <c r="D27" s="484"/>
      <c r="E27" s="484"/>
      <c r="F27" s="484"/>
      <c r="G27" s="484"/>
      <c r="H27" s="484"/>
      <c r="I27" s="484"/>
      <c r="J27" s="484"/>
      <c r="K27" s="485"/>
      <c r="L27" s="227">
        <f>IF(Dimensions!C47=1,"",VLOOKUP(Dimensions!D47,A56:E67,5))</f>
        <v>56.133183947377844</v>
      </c>
      <c r="M27" s="227">
        <f>IF(Dimensions!C47=1,"",VLOOKUP(Dimensions!D47+0.01,A56:E67,5))</f>
        <v>62.959328092442888</v>
      </c>
      <c r="R27" s="527" t="s">
        <v>90</v>
      </c>
      <c r="S27" s="528"/>
      <c r="T27" s="268">
        <f>Z19+Z20+Z21</f>
        <v>14.355989821362583</v>
      </c>
      <c r="U27" s="269">
        <f>IF(Dimensions!C47=1,0,U28*MAX(T27,AB19+AB20+AB21))</f>
        <v>18.662786767771358</v>
      </c>
      <c r="Z27" s="270" t="s">
        <v>136</v>
      </c>
      <c r="AA27" s="271" t="str">
        <f>IF(((Dimensions!D46=30)*(Dimensions!D47=30)),"P2",IF(((Dimensions!D46=50)*(Dimensions!D47=50)),"P4",IF(((Dimensions!D46=60)*(Dimensions!D47=60)),"P5",IF(((Dimensions!D46&gt;70)*(Dimensions!D47&gt;60)),"P7",IF(((Dimensions!D46&gt;60)*(Dimensions!D47&gt;50)),"P6","P"&amp;ROUNDUP(Z26/10-2,0))))))</f>
        <v>P4</v>
      </c>
    </row>
    <row r="28" spans="1:32" ht="43.8" thickBot="1">
      <c r="A28" s="252" t="s">
        <v>157</v>
      </c>
      <c r="B28" s="484" t="s">
        <v>101</v>
      </c>
      <c r="C28" s="484"/>
      <c r="D28" s="484"/>
      <c r="E28" s="484"/>
      <c r="F28" s="484"/>
      <c r="G28" s="484"/>
      <c r="H28" s="484"/>
      <c r="I28" s="484"/>
      <c r="J28" s="484"/>
      <c r="K28" s="485"/>
      <c r="L28" s="227">
        <f>IF(Dimensions!C47=1,"",1.1*VLOOKUP(Dimensions!D47,A6:O11,6))</f>
        <v>39.6</v>
      </c>
      <c r="M28" s="227">
        <f>IF(Dimensions!C47=1,"",1.1*VLOOKUP(Dimensions!D47,A6:O11,13))</f>
        <v>44</v>
      </c>
      <c r="T28" s="272" t="s">
        <v>89</v>
      </c>
      <c r="U28" s="273">
        <f>IF(Dimensions!D46-Dimensions!D47&lt;7,1.4,IF(Dimensions!D46-Dimensions!D47&lt;17,1.3,IF(Dimensions!D46-Dimensions!D47&lt;27,1.2,IF(Dimensions!D46-Dimensions!D47&lt;37,1.1,1.1))))</f>
        <v>1.3</v>
      </c>
      <c r="V28" s="274" t="s">
        <v>252</v>
      </c>
    </row>
    <row r="29" spans="1:32" ht="15" thickBot="1">
      <c r="H29" s="501" t="s">
        <v>65</v>
      </c>
      <c r="I29" s="501"/>
      <c r="J29" s="501"/>
      <c r="K29" s="501"/>
      <c r="L29" s="227">
        <f>IF(Dimensions!C47=1,0,((L25+L27)^2+(L26+L28)^2)^0.5)</f>
        <v>178.03133548615097</v>
      </c>
      <c r="M29" s="227">
        <f>IF(Dimensions!C47=1,0,((L25+M27)^2+(L26+M28)^2)^0.5+0.5)</f>
        <v>186.31267607953174</v>
      </c>
    </row>
    <row r="30" spans="1:32" ht="15" thickBot="1">
      <c r="H30" s="275"/>
      <c r="I30" s="255"/>
      <c r="J30" s="255"/>
      <c r="K30" s="255"/>
      <c r="L30" s="213"/>
      <c r="M30" s="213"/>
    </row>
    <row r="31" spans="1:32" ht="15" thickBot="1">
      <c r="A31" s="489" t="s">
        <v>161</v>
      </c>
      <c r="B31" s="490"/>
      <c r="C31" s="486" t="str">
        <f>IF(C47&lt;C46,"Use Regular Arm",IF(C48&lt;C46,"Use Heavy Duty Arm","Loads &gt; Standard Arms"))</f>
        <v>Loads &gt; Standard Arms</v>
      </c>
      <c r="D31" s="487"/>
      <c r="E31" s="488"/>
      <c r="I31" s="255"/>
      <c r="J31" s="255"/>
      <c r="K31" s="255"/>
      <c r="L31" s="213"/>
      <c r="M31" s="213"/>
    </row>
    <row r="32" spans="1:32">
      <c r="A32" s="491" t="s">
        <v>113</v>
      </c>
      <c r="B32" s="492"/>
      <c r="C32" s="492"/>
      <c r="D32" s="493" t="s">
        <v>80</v>
      </c>
      <c r="E32" s="494"/>
      <c r="F32" s="495"/>
      <c r="G32" s="496" t="s">
        <v>81</v>
      </c>
      <c r="H32" s="497"/>
      <c r="I32" s="255"/>
      <c r="J32" s="255"/>
      <c r="K32" s="255"/>
      <c r="L32" s="213"/>
      <c r="M32" s="213"/>
    </row>
    <row r="33" spans="1:13">
      <c r="A33" s="276" t="str">
        <f>"A"&amp;Arm1Design!D24</f>
        <v>A60</v>
      </c>
      <c r="B33" s="199" t="str">
        <f>"/S"</f>
        <v>/S</v>
      </c>
      <c r="C33" s="199" t="str">
        <f>IF(C31="Use Heavy Duty Arm","/H","")</f>
        <v/>
      </c>
      <c r="D33" s="199" t="str">
        <f>AA27</f>
        <v>P4</v>
      </c>
      <c r="E33" s="199" t="str">
        <f>B33</f>
        <v>/S</v>
      </c>
      <c r="F33" s="199" t="str">
        <f>IF(Dimensions!C50=2,"/L","")</f>
        <v/>
      </c>
      <c r="G33" s="199" t="s">
        <v>82</v>
      </c>
      <c r="H33" s="277"/>
    </row>
    <row r="34" spans="1:13" ht="15" thickBot="1">
      <c r="A34" s="538" t="str">
        <f>IF(C31="Loads &gt; Standard Arms","Loads &gt; Standard. Arm Capacity",A33&amp;B33&amp;C33&amp;"-")</f>
        <v>Loads &gt; Standard. Arm Capacity</v>
      </c>
      <c r="B34" s="539"/>
      <c r="C34" s="540"/>
      <c r="D34" s="278" t="str">
        <f>IF(C31="Loads &gt; Standard Arms","No Standard Solution",D33&amp;E33&amp;F33&amp;"-")</f>
        <v>No Standard Solution</v>
      </c>
      <c r="E34" s="278"/>
      <c r="F34" s="278"/>
      <c r="G34" s="279" t="str">
        <f>IF(V19="Custom Shaft",V19,VLOOKUP(V19,Q6:R13,2))</f>
        <v>DS/16/5</v>
      </c>
      <c r="H34" s="280"/>
    </row>
    <row r="35" spans="1:13" ht="15" thickBot="1">
      <c r="A35" s="481" t="str">
        <f>IF(C31="Loads &gt; Standard Arms","Loads &gt; Standard Arm Capacity",A34&amp;D34&amp;G34)</f>
        <v>Loads &gt; Standard Arm Capacity</v>
      </c>
      <c r="B35" s="482"/>
      <c r="C35" s="482"/>
      <c r="D35" s="482"/>
      <c r="E35" s="483"/>
      <c r="F35" s="281"/>
      <c r="G35" s="282"/>
      <c r="H35" s="281"/>
      <c r="I35" s="275"/>
      <c r="J35" s="275"/>
      <c r="K35" s="275"/>
      <c r="L35" s="213"/>
      <c r="M35" s="256"/>
    </row>
    <row r="36" spans="1:13" ht="15" thickBot="1"/>
    <row r="37" spans="1:13" ht="15" thickBot="1">
      <c r="A37" s="489" t="s">
        <v>162</v>
      </c>
      <c r="B37" s="490"/>
      <c r="C37" s="574" t="str">
        <f>IF(E47&lt;C46,"Use Regular Arm",IF(E48&lt;C46,"Use Heavy Duty Arm","Loads &gt; Standard Arms"))</f>
        <v>Use Regular Arm</v>
      </c>
      <c r="D37" s="575"/>
      <c r="E37" s="576"/>
    </row>
    <row r="38" spans="1:13" ht="15" thickBot="1">
      <c r="A38" s="569" t="s">
        <v>113</v>
      </c>
      <c r="B38" s="570"/>
      <c r="C38" s="570"/>
      <c r="D38" s="571" t="s">
        <v>80</v>
      </c>
      <c r="E38" s="572"/>
      <c r="F38" s="573"/>
      <c r="G38" s="475" t="s">
        <v>81</v>
      </c>
      <c r="H38" s="476"/>
    </row>
    <row r="39" spans="1:13">
      <c r="A39" s="283" t="str">
        <f>IF(Dimensions!C47=1,"","A"&amp;Arm2Design!D24)</f>
        <v>A50</v>
      </c>
      <c r="B39" s="284" t="str">
        <f>IF(Dimensions!C47=1,"","/D")</f>
        <v>/D</v>
      </c>
      <c r="C39" s="284" t="str">
        <f>IF(C37="Use Heavy Duty Arm","/H","")</f>
        <v/>
      </c>
      <c r="D39" s="199" t="str">
        <f>IF(Dimensions!C47=1,"",AA27)</f>
        <v>P4</v>
      </c>
      <c r="E39" s="285" t="str">
        <f>B39</f>
        <v>/D</v>
      </c>
      <c r="F39" s="285" t="str">
        <f>IF(Dimensions!C47=1,"",IF(Dimensions!C50=2,"/L",""))</f>
        <v/>
      </c>
      <c r="G39" s="286" t="str">
        <f>G33</f>
        <v>DS</v>
      </c>
      <c r="H39" s="287"/>
    </row>
    <row r="40" spans="1:13" ht="15" thickBot="1">
      <c r="A40" s="538" t="str">
        <f>IF(C37="Loads &gt; Standard Arms","Loads &gt; Standard Arm Capacity",A39&amp;B39&amp;C39&amp;"-")</f>
        <v>A50/D-</v>
      </c>
      <c r="B40" s="539"/>
      <c r="C40" s="540"/>
      <c r="D40" s="278" t="str">
        <f>IF(C37="Loads &gt; Standard Arms","No Standard Solution",D39&amp;E39&amp;F39&amp;"-")</f>
        <v>P4/D-</v>
      </c>
      <c r="E40" s="288"/>
      <c r="F40" s="288"/>
      <c r="G40" s="279" t="str">
        <f>IF(Dimensions!C47=1,"",IF(W19="Custom Shaft",W19,VLOOKUP(W19,Q6:R13,2)))</f>
        <v>DS/18/5</v>
      </c>
      <c r="H40" s="289"/>
    </row>
    <row r="41" spans="1:13" ht="15" thickBot="1">
      <c r="A41" s="481" t="str">
        <f>IF(Dimensions!C47=1,"",IF(Dimensions!D47&gt;Dimensions!D46,"Arm2 Length &gt; Arm 1 Length",IF(OR(C37="Loads &gt; Standard Arms",C31="Loads &gt; Standard Arms"),"Loads &gt; Standard Arm Capacity",A33&amp;"/D"&amp;C33&amp;"-"&amp;A40&amp;D40&amp;G40)))</f>
        <v>Loads &gt; Standard Arm Capacity</v>
      </c>
      <c r="B41" s="482"/>
      <c r="C41" s="482"/>
      <c r="D41" s="482"/>
      <c r="E41" s="483"/>
      <c r="F41" s="290"/>
      <c r="G41" s="291"/>
      <c r="H41" s="291"/>
    </row>
    <row r="42" spans="1:13" ht="15" thickBot="1">
      <c r="A42" s="282"/>
      <c r="B42" s="282"/>
      <c r="C42" s="282"/>
      <c r="D42" s="282"/>
      <c r="E42" s="282"/>
      <c r="F42" s="290"/>
      <c r="G42" s="291"/>
      <c r="H42" s="291"/>
    </row>
    <row r="43" spans="1:13" ht="15.75" customHeight="1" thickBot="1">
      <c r="A43" s="519" t="s">
        <v>160</v>
      </c>
      <c r="B43" s="520"/>
      <c r="C43" s="566" t="str">
        <f>IF(Dimensions!C47&gt;1,A41,A35)</f>
        <v>Loads &gt; Standard Arm Capacity</v>
      </c>
      <c r="D43" s="567"/>
      <c r="E43" s="567"/>
      <c r="F43" s="568"/>
    </row>
    <row r="44" spans="1:13" ht="15" thickBot="1">
      <c r="A44" s="547"/>
      <c r="B44" s="548"/>
      <c r="C44" s="478" t="str">
        <f>"Arm 1"</f>
        <v>Arm 1</v>
      </c>
      <c r="D44" s="480"/>
      <c r="E44" s="479" t="str">
        <f>"Arm 2"</f>
        <v>Arm 2</v>
      </c>
      <c r="F44" s="480"/>
    </row>
    <row r="45" spans="1:13" ht="15" thickBot="1">
      <c r="A45" s="545" t="s">
        <v>163</v>
      </c>
      <c r="B45" s="546"/>
      <c r="C45" s="549">
        <f>Dimensions!D46</f>
        <v>60</v>
      </c>
      <c r="D45" s="550"/>
      <c r="E45" s="549">
        <f>Dimensions!D47</f>
        <v>50</v>
      </c>
      <c r="F45" s="551"/>
    </row>
    <row r="46" spans="1:13" ht="15" thickBot="1">
      <c r="A46" s="541" t="s">
        <v>137</v>
      </c>
      <c r="B46" s="542"/>
      <c r="C46" s="552">
        <v>0.95</v>
      </c>
      <c r="D46" s="553"/>
      <c r="E46" s="553"/>
      <c r="F46" s="554"/>
    </row>
    <row r="47" spans="1:13">
      <c r="A47" s="541" t="s">
        <v>87</v>
      </c>
      <c r="B47" s="542"/>
      <c r="C47" s="561">
        <f>L21/(VLOOKUP(Dimensions!D46,A6:O11,8))</f>
        <v>1.106183397908151</v>
      </c>
      <c r="D47" s="562"/>
      <c r="E47" s="555">
        <f>IF(Dimensions!C47=1,0,L29/(VLOOKUP(Dimensions!D47,A6:O11,8)))</f>
        <v>0.8242191457692174</v>
      </c>
      <c r="F47" s="556"/>
    </row>
    <row r="48" spans="1:13" ht="15" thickBot="1">
      <c r="A48" s="543" t="s">
        <v>88</v>
      </c>
      <c r="B48" s="544"/>
      <c r="C48" s="559">
        <f>M21/(VLOOKUP(Dimensions!D46,A6:O11,15))</f>
        <v>1.0054930909750641</v>
      </c>
      <c r="D48" s="560"/>
      <c r="E48" s="557">
        <f>IF(Dimensions!C47=1,0,M29/(VLOOKUP(Dimensions!D47,A6:O11,15)))</f>
        <v>0.7604599023654357</v>
      </c>
      <c r="F48" s="558"/>
    </row>
    <row r="50" spans="1:5">
      <c r="A50" s="292" t="s">
        <v>189</v>
      </c>
    </row>
    <row r="52" spans="1:5" ht="15" thickBot="1"/>
    <row r="53" spans="1:5" ht="15" thickBot="1">
      <c r="A53" s="393" t="s">
        <v>349</v>
      </c>
      <c r="B53" s="394">
        <f>Dimensions!D46</f>
        <v>60</v>
      </c>
      <c r="C53" s="228">
        <f>Dimensions!D47</f>
        <v>50</v>
      </c>
    </row>
    <row r="54" spans="1:5" ht="16.2" thickBot="1">
      <c r="A54" s="388" t="s">
        <v>26</v>
      </c>
      <c r="B54" s="389">
        <f>Dimensions!$D$48</f>
        <v>170</v>
      </c>
      <c r="C54" s="3"/>
      <c r="E54" s="390" t="s">
        <v>348</v>
      </c>
    </row>
    <row r="55" spans="1:5" ht="15" thickBot="1">
      <c r="A55" s="382"/>
      <c r="B55" s="383" t="s">
        <v>350</v>
      </c>
      <c r="C55" s="257" t="s">
        <v>351</v>
      </c>
      <c r="D55" s="384" t="s">
        <v>347</v>
      </c>
      <c r="E55" s="391" t="s">
        <v>352</v>
      </c>
    </row>
    <row r="56" spans="1:5">
      <c r="A56" s="376">
        <v>30</v>
      </c>
      <c r="B56" s="379">
        <v>1.5E-5</v>
      </c>
      <c r="C56" s="189">
        <v>2.632409</v>
      </c>
      <c r="D56" s="380">
        <v>4.1040409999999996</v>
      </c>
      <c r="E56" s="385">
        <f>B56*($B$54^C56)+D56</f>
        <v>15.260980388690356</v>
      </c>
    </row>
    <row r="57" spans="1:5">
      <c r="A57" s="377">
        <v>30.01</v>
      </c>
      <c r="B57" s="374">
        <v>2.0999999999999999E-5</v>
      </c>
      <c r="C57" s="199">
        <v>2.6209959999999999</v>
      </c>
      <c r="D57" s="381">
        <v>3.6968350000000001</v>
      </c>
      <c r="E57" s="386">
        <f t="shared" ref="E57:E67" si="8">B57*($B$54^C57)+D57</f>
        <v>18.427318293330373</v>
      </c>
    </row>
    <row r="58" spans="1:5">
      <c r="A58" s="377">
        <v>40</v>
      </c>
      <c r="B58" s="374">
        <v>5.5999999999999999E-5</v>
      </c>
      <c r="C58" s="199">
        <v>2.5424169999999999</v>
      </c>
      <c r="D58" s="381">
        <v>6.2214390000000002</v>
      </c>
      <c r="E58" s="386">
        <f t="shared" si="8"/>
        <v>32.458747533962843</v>
      </c>
    </row>
    <row r="59" spans="1:5">
      <c r="A59" s="377">
        <v>40.01</v>
      </c>
      <c r="B59" s="374">
        <v>1.9699999999999999E-4</v>
      </c>
      <c r="C59" s="199">
        <v>2.3364829999999999</v>
      </c>
      <c r="D59" s="381">
        <v>4.2446729999999997</v>
      </c>
      <c r="E59" s="386">
        <f t="shared" si="8"/>
        <v>36.29793351623789</v>
      </c>
    </row>
    <row r="60" spans="1:5">
      <c r="A60" s="377">
        <v>50</v>
      </c>
      <c r="B60" s="374">
        <v>1.8799999999999999E-4</v>
      </c>
      <c r="C60" s="199">
        <v>2.422031</v>
      </c>
      <c r="D60" s="381">
        <v>8.6680969999999995</v>
      </c>
      <c r="E60" s="386">
        <f t="shared" si="8"/>
        <v>56.133183947377844</v>
      </c>
    </row>
    <row r="61" spans="1:5">
      <c r="A61" s="377">
        <v>50.01</v>
      </c>
      <c r="B61" s="374">
        <v>5.5000000000000003E-4</v>
      </c>
      <c r="C61" s="199">
        <v>2.2497889999999998</v>
      </c>
      <c r="D61" s="381">
        <v>5.6266619999999996</v>
      </c>
      <c r="E61" s="386">
        <f t="shared" si="8"/>
        <v>62.959328092442888</v>
      </c>
    </row>
    <row r="62" spans="1:5">
      <c r="A62" s="377">
        <v>60</v>
      </c>
      <c r="B62" s="374">
        <v>3.6900000000000002E-4</v>
      </c>
      <c r="C62" s="199">
        <v>2.3632810000000002</v>
      </c>
      <c r="D62" s="381">
        <v>11.839460000000001</v>
      </c>
      <c r="E62" s="386">
        <f t="shared" si="8"/>
        <v>80.737032982868683</v>
      </c>
    </row>
    <row r="63" spans="1:5">
      <c r="A63" s="377">
        <v>60.01</v>
      </c>
      <c r="B63" s="374">
        <v>7.4700000000000005E-4</v>
      </c>
      <c r="C63" s="199">
        <v>2.2605240000000002</v>
      </c>
      <c r="D63" s="381">
        <v>8.7093740000000004</v>
      </c>
      <c r="E63" s="386">
        <f t="shared" si="8"/>
        <v>90.991199689902501</v>
      </c>
    </row>
    <row r="64" spans="1:5">
      <c r="A64" s="377">
        <v>70</v>
      </c>
      <c r="B64" s="374">
        <v>9.5200000000000005E-4</v>
      </c>
      <c r="C64" s="199">
        <v>2.2692990000000002</v>
      </c>
      <c r="D64" s="381">
        <v>12.465327</v>
      </c>
      <c r="E64" s="386">
        <f t="shared" si="8"/>
        <v>122.16174721234559</v>
      </c>
    </row>
    <row r="65" spans="1:5">
      <c r="A65" s="377">
        <v>70.010000000000005</v>
      </c>
      <c r="B65" s="374">
        <v>2.0839999999999999E-3</v>
      </c>
      <c r="C65" s="199">
        <v>2.1446429999999999</v>
      </c>
      <c r="D65" s="381">
        <v>7.1658309999999998</v>
      </c>
      <c r="E65" s="386">
        <f t="shared" si="8"/>
        <v>133.76019775825219</v>
      </c>
    </row>
    <row r="66" spans="1:5">
      <c r="A66" s="377">
        <v>78</v>
      </c>
      <c r="B66" s="374">
        <v>1.34E-3</v>
      </c>
      <c r="C66" s="199">
        <v>2.249317</v>
      </c>
      <c r="D66" s="381">
        <v>14.843999999999999</v>
      </c>
      <c r="E66" s="386">
        <f t="shared" si="8"/>
        <v>154.18902725623835</v>
      </c>
    </row>
    <row r="67" spans="1:5" ht="15" thickBot="1">
      <c r="A67" s="378">
        <v>78.010000000000005</v>
      </c>
      <c r="B67" s="375">
        <v>5.117E-3</v>
      </c>
      <c r="C67" s="209">
        <v>2.0380479999999999</v>
      </c>
      <c r="D67" s="392">
        <v>2.6895099999999998</v>
      </c>
      <c r="E67" s="387">
        <f t="shared" si="8"/>
        <v>182.48441487043402</v>
      </c>
    </row>
  </sheetData>
  <sheetProtection sheet="1" objects="1" scenarios="1"/>
  <mergeCells count="66">
    <mergeCell ref="Q3:AF3"/>
    <mergeCell ref="Y25:AB25"/>
    <mergeCell ref="C43:F43"/>
    <mergeCell ref="C44:D44"/>
    <mergeCell ref="E44:F44"/>
    <mergeCell ref="A40:C40"/>
    <mergeCell ref="A38:C38"/>
    <mergeCell ref="D38:F38"/>
    <mergeCell ref="G38:H38"/>
    <mergeCell ref="C37:E37"/>
    <mergeCell ref="R26:S26"/>
    <mergeCell ref="R21:U21"/>
    <mergeCell ref="R22:S22"/>
    <mergeCell ref="A3:O3"/>
    <mergeCell ref="A4:A5"/>
    <mergeCell ref="B4:H4"/>
    <mergeCell ref="C45:D45"/>
    <mergeCell ref="E45:F45"/>
    <mergeCell ref="C46:F46"/>
    <mergeCell ref="E47:F47"/>
    <mergeCell ref="E48:F48"/>
    <mergeCell ref="C48:D48"/>
    <mergeCell ref="C47:D47"/>
    <mergeCell ref="A46:B46"/>
    <mergeCell ref="A47:B47"/>
    <mergeCell ref="A48:B48"/>
    <mergeCell ref="A45:B45"/>
    <mergeCell ref="A44:B44"/>
    <mergeCell ref="A43:B43"/>
    <mergeCell ref="Q15:W15"/>
    <mergeCell ref="Q16:U16"/>
    <mergeCell ref="Q17:U17"/>
    <mergeCell ref="A23:L23"/>
    <mergeCell ref="B27:K27"/>
    <mergeCell ref="H21:K21"/>
    <mergeCell ref="A37:B37"/>
    <mergeCell ref="A41:E41"/>
    <mergeCell ref="R27:S27"/>
    <mergeCell ref="R25:S25"/>
    <mergeCell ref="Q18:U18"/>
    <mergeCell ref="Q19:U19"/>
    <mergeCell ref="R23:S23"/>
    <mergeCell ref="R24:S24"/>
    <mergeCell ref="A34:C34"/>
    <mergeCell ref="I4:O4"/>
    <mergeCell ref="O15:O16"/>
    <mergeCell ref="A15:L15"/>
    <mergeCell ref="AC6:AC13"/>
    <mergeCell ref="X6:X13"/>
    <mergeCell ref="Q4:V4"/>
    <mergeCell ref="W4:AA4"/>
    <mergeCell ref="AB4:AF4"/>
    <mergeCell ref="AD19:AE19"/>
    <mergeCell ref="Y15:AC15"/>
    <mergeCell ref="A35:E35"/>
    <mergeCell ref="B19:K19"/>
    <mergeCell ref="B20:K20"/>
    <mergeCell ref="C31:E31"/>
    <mergeCell ref="B28:K28"/>
    <mergeCell ref="A31:B31"/>
    <mergeCell ref="A32:C32"/>
    <mergeCell ref="D32:F32"/>
    <mergeCell ref="G32:H32"/>
    <mergeCell ref="N15:N17"/>
    <mergeCell ref="U23:U24"/>
    <mergeCell ref="H29:K29"/>
  </mergeCells>
  <pageMargins left="0.7" right="0.7" top="0.75" bottom="0.75" header="0.3" footer="0.3"/>
  <pageSetup paperSize="3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N32"/>
  <sheetViews>
    <sheetView zoomScaleNormal="100" workbookViewId="0"/>
  </sheetViews>
  <sheetFormatPr defaultColWidth="9.109375" defaultRowHeight="14.4"/>
  <cols>
    <col min="1" max="1" width="5.109375" style="11" customWidth="1"/>
    <col min="2" max="16384" width="9.109375" style="11"/>
  </cols>
  <sheetData>
    <row r="1" spans="1:14" ht="24.6">
      <c r="A1" s="139" t="s">
        <v>272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7.399999999999999">
      <c r="A3" s="145" t="s">
        <v>273</v>
      </c>
      <c r="B3" s="143"/>
      <c r="C3" s="146" t="s">
        <v>274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ht="15.6">
      <c r="A4" s="147" t="s">
        <v>275</v>
      </c>
      <c r="B4" s="148"/>
      <c r="C4" s="149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4" ht="15.6">
      <c r="A5" s="147" t="s">
        <v>276</v>
      </c>
      <c r="B5" s="150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1:14" ht="15.6">
      <c r="A6" s="147" t="s">
        <v>277</v>
      </c>
      <c r="B6" s="150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</row>
    <row r="7" spans="1:14" ht="15.6">
      <c r="A7" s="151"/>
      <c r="B7" s="150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ht="17.399999999999999">
      <c r="A8" s="145" t="s">
        <v>279</v>
      </c>
      <c r="B8" s="143"/>
      <c r="C8" s="146" t="s">
        <v>281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/>
    </row>
    <row r="9" spans="1:14" ht="15.6">
      <c r="A9" s="147" t="s">
        <v>280</v>
      </c>
      <c r="B9" s="150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4"/>
    </row>
    <row r="10" spans="1:14" ht="15.6">
      <c r="A10" s="153"/>
      <c r="B10" s="15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4"/>
    </row>
    <row r="11" spans="1:14" ht="17.399999999999999">
      <c r="A11" s="145" t="s">
        <v>282</v>
      </c>
      <c r="B11" s="143"/>
      <c r="C11" s="146" t="s">
        <v>283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</row>
    <row r="12" spans="1:14" ht="15.6">
      <c r="A12" s="147" t="s">
        <v>284</v>
      </c>
      <c r="B12" s="150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/>
    </row>
    <row r="13" spans="1:14" ht="15.6">
      <c r="A13" s="147"/>
      <c r="B13" s="146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</row>
    <row r="14" spans="1:14" ht="17.399999999999999">
      <c r="A14" s="145" t="s">
        <v>316</v>
      </c>
      <c r="B14" s="143"/>
      <c r="C14" s="146" t="s">
        <v>317</v>
      </c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4"/>
    </row>
    <row r="15" spans="1:14" ht="15.6">
      <c r="A15" s="147" t="s">
        <v>318</v>
      </c>
      <c r="B15" s="150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4"/>
    </row>
    <row r="16" spans="1:14" ht="15.6">
      <c r="A16" s="154"/>
      <c r="B16" s="148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4"/>
    </row>
    <row r="17" spans="1:14" ht="17.399999999999999">
      <c r="A17" s="145" t="s">
        <v>322</v>
      </c>
      <c r="B17" s="143"/>
      <c r="C17" s="146" t="s">
        <v>341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4"/>
    </row>
    <row r="18" spans="1:14" ht="15.6">
      <c r="A18" s="147" t="s">
        <v>342</v>
      </c>
      <c r="B18" s="150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</row>
    <row r="19" spans="1:14" ht="15.6">
      <c r="A19" s="154" t="s">
        <v>346</v>
      </c>
      <c r="B19" s="150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</row>
    <row r="20" spans="1:14" ht="15.6">
      <c r="A20" s="154" t="s">
        <v>344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</row>
    <row r="21" spans="1:14" ht="15.6">
      <c r="A21" s="154" t="s">
        <v>345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</row>
    <row r="22" spans="1:14" ht="18">
      <c r="A22" s="154" t="s">
        <v>353</v>
      </c>
      <c r="B22" s="149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/>
    </row>
    <row r="23" spans="1:14" ht="17.399999999999999">
      <c r="A23" s="145"/>
      <c r="B23" s="155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4"/>
    </row>
    <row r="24" spans="1:14" ht="17.399999999999999">
      <c r="A24" s="145"/>
      <c r="B24" s="143"/>
      <c r="C24" s="143"/>
      <c r="D24" s="143"/>
      <c r="E24" s="143"/>
      <c r="F24" s="143"/>
      <c r="G24" s="143"/>
      <c r="H24" s="143"/>
      <c r="I24" s="143"/>
      <c r="J24" s="149"/>
      <c r="K24" s="143"/>
      <c r="L24" s="143"/>
      <c r="M24" s="143"/>
      <c r="N24" s="144"/>
    </row>
    <row r="25" spans="1:14" ht="15.6">
      <c r="A25" s="147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/>
    </row>
    <row r="26" spans="1:14" ht="15.6">
      <c r="A26" s="147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/>
    </row>
    <row r="27" spans="1:14" ht="15.6">
      <c r="A27" s="147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4"/>
    </row>
    <row r="28" spans="1:14" ht="15.6">
      <c r="A28" s="147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</row>
    <row r="29" spans="1:14" ht="15.6">
      <c r="A29" s="147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</row>
    <row r="30" spans="1:14" ht="15.6">
      <c r="A30" s="147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4"/>
    </row>
    <row r="31" spans="1:14" ht="15.6">
      <c r="A31" s="147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4"/>
    </row>
    <row r="32" spans="1:14" ht="15" thickBo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8"/>
    </row>
  </sheetData>
  <sheetProtection sheet="1" objects="1" scenarios="1"/>
  <pageMargins left="0.7" right="0.7" top="0.75" bottom="0.75" header="0.3" footer="0.3"/>
  <pageSetup scale="98" orientation="landscape" r:id="rId1"/>
  <headerFooter>
    <oddFooter>&amp;L&amp;D&amp;C&amp;F&amp;R&amp;A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205565-B1B7-40BC-8DE5-8BE9C7D7B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48C8E-1A1F-48FF-B605-4A08037E52D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FC120E-9A08-483F-BF38-587A5EE4A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Directions</vt:lpstr>
      <vt:lpstr>Arm1Design</vt:lpstr>
      <vt:lpstr>Arm2Design</vt:lpstr>
      <vt:lpstr>TabulationSheet</vt:lpstr>
      <vt:lpstr>Dimensions</vt:lpstr>
      <vt:lpstr>GraphValues</vt:lpstr>
      <vt:lpstr>CFI&amp;Designation</vt:lpstr>
      <vt:lpstr>Changes</vt:lpstr>
      <vt:lpstr>Choices</vt:lpstr>
      <vt:lpstr>Arm1Design!Print_Area</vt:lpstr>
      <vt:lpstr>Arm2Design!Print_Area</vt:lpstr>
      <vt:lpstr>Changes!Print_Area</vt:lpstr>
      <vt:lpstr>Directions!Print_Area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</dc:creator>
  <cp:lastModifiedBy>Wan, Ge</cp:lastModifiedBy>
  <cp:lastPrinted>2018-11-13T19:33:44Z</cp:lastPrinted>
  <dcterms:created xsi:type="dcterms:W3CDTF">2016-04-13T19:48:35Z</dcterms:created>
  <dcterms:modified xsi:type="dcterms:W3CDTF">2025-03-26T20:37:39Z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