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codata\Shares\CO\SDO\Software\ComputerEngineering\2022-11-01 Release\"/>
    </mc:Choice>
  </mc:AlternateContent>
  <xr:revisionPtr revIDLastSave="0" documentId="13_ncr:1_{C3175600-E6AD-4115-97B3-936EE8BFC1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gn Suppport Design" sheetId="1" r:id="rId1"/>
    <sheet name="Calculations" sheetId="2" r:id="rId2"/>
  </sheets>
  <definedNames>
    <definedName name="_xlnm.Print_Area" localSheetId="0">'Sign Suppport Design'!$A$1:$R$18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F17" i="1"/>
  <c r="B94" i="2"/>
  <c r="B73" i="2"/>
  <c r="N44" i="2" l="1"/>
  <c r="N45" i="2" s="1"/>
  <c r="N43" i="2"/>
  <c r="Q43" i="2"/>
  <c r="B3" i="2" l="1"/>
  <c r="C3" i="2" s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C42" i="2" l="1"/>
  <c r="D42" i="2" s="1"/>
  <c r="E42" i="2" s="1"/>
  <c r="F42" i="2" s="1"/>
  <c r="G42" i="2" s="1"/>
  <c r="H42" i="2" s="1"/>
  <c r="I42" i="2" s="1"/>
  <c r="K42" i="2"/>
  <c r="L42" i="2" s="1"/>
  <c r="M42" i="2" s="1"/>
  <c r="N42" i="2" s="1"/>
  <c r="O42" i="2" s="1"/>
  <c r="P42" i="2" s="1"/>
  <c r="Q42" i="2" s="1"/>
  <c r="R42" i="2" s="1"/>
  <c r="C43" i="2"/>
  <c r="C44" i="2" s="1"/>
  <c r="L46" i="2" s="1"/>
  <c r="D43" i="2"/>
  <c r="E43" i="2"/>
  <c r="E46" i="2" s="1"/>
  <c r="F43" i="2"/>
  <c r="F44" i="2" s="1"/>
  <c r="G43" i="2"/>
  <c r="G44" i="2" s="1"/>
  <c r="G45" i="2" s="1"/>
  <c r="H43" i="2"/>
  <c r="Q44" i="2" s="1"/>
  <c r="I43" i="2"/>
  <c r="K43" i="2"/>
  <c r="K44" i="2" s="1"/>
  <c r="L43" i="2"/>
  <c r="M43" i="2"/>
  <c r="O43" i="2"/>
  <c r="O44" i="2" s="1"/>
  <c r="O46" i="2" s="1"/>
  <c r="P43" i="2"/>
  <c r="H44" i="2"/>
  <c r="Q45" i="2" s="1"/>
  <c r="T43" i="2"/>
  <c r="B44" i="2"/>
  <c r="B45" i="2" s="1"/>
  <c r="D44" i="2"/>
  <c r="M46" i="2" s="1"/>
  <c r="E44" i="2"/>
  <c r="E45" i="2" s="1"/>
  <c r="I44" i="2"/>
  <c r="M44" i="2"/>
  <c r="D46" i="2" s="1"/>
  <c r="P44" i="2"/>
  <c r="P46" i="2" s="1"/>
  <c r="R44" i="2"/>
  <c r="T44" i="2"/>
  <c r="D45" i="2"/>
  <c r="M45" i="2" s="1"/>
  <c r="F45" i="2"/>
  <c r="I45" i="2"/>
  <c r="R45" i="2" s="1"/>
  <c r="O45" i="2"/>
  <c r="P45" i="2"/>
  <c r="T45" i="2"/>
  <c r="B46" i="2"/>
  <c r="F46" i="2"/>
  <c r="G46" i="2"/>
  <c r="I46" i="2"/>
  <c r="R46" i="2"/>
  <c r="T46" i="2"/>
  <c r="N46" i="2" l="1"/>
  <c r="N60" i="2" s="1"/>
  <c r="H46" i="2"/>
  <c r="Q46" i="2"/>
  <c r="K45" i="2"/>
  <c r="K46" i="2"/>
  <c r="L45" i="2"/>
  <c r="L50" i="2" s="1"/>
  <c r="H45" i="2"/>
  <c r="F136" i="2"/>
  <c r="A136" i="2"/>
  <c r="G135" i="2"/>
  <c r="B135" i="2"/>
  <c r="F115" i="2"/>
  <c r="A115" i="2"/>
  <c r="G114" i="2"/>
  <c r="G115" i="2" s="1"/>
  <c r="B114" i="2"/>
  <c r="B115" i="2" s="1"/>
  <c r="F94" i="2"/>
  <c r="A94" i="2"/>
  <c r="G93" i="2"/>
  <c r="B93" i="2"/>
  <c r="F73" i="2"/>
  <c r="A73" i="2"/>
  <c r="G72" i="2"/>
  <c r="G73" i="2" s="1"/>
  <c r="B72" i="2"/>
  <c r="L60" i="2"/>
  <c r="C60" i="2"/>
  <c r="R59" i="2"/>
  <c r="R60" i="2" s="1"/>
  <c r="N59" i="2"/>
  <c r="M59" i="2"/>
  <c r="I59" i="2"/>
  <c r="H59" i="2"/>
  <c r="D59" i="2"/>
  <c r="R58" i="2"/>
  <c r="N58" i="2"/>
  <c r="I58" i="2"/>
  <c r="H58" i="2"/>
  <c r="N57" i="2"/>
  <c r="I57" i="2"/>
  <c r="H57" i="2"/>
  <c r="R56" i="2"/>
  <c r="N56" i="2"/>
  <c r="I56" i="2"/>
  <c r="H56" i="2"/>
  <c r="N55" i="2"/>
  <c r="H55" i="2"/>
  <c r="N54" i="2"/>
  <c r="H54" i="2"/>
  <c r="R53" i="2"/>
  <c r="N53" i="2"/>
  <c r="H53" i="2"/>
  <c r="N52" i="2"/>
  <c r="H52" i="2"/>
  <c r="N51" i="2"/>
  <c r="I51" i="2"/>
  <c r="H51" i="2"/>
  <c r="C51" i="2"/>
  <c r="C59" i="2" s="1"/>
  <c r="T50" i="2"/>
  <c r="R50" i="2"/>
  <c r="R52" i="2" s="1"/>
  <c r="N50" i="2"/>
  <c r="T49" i="2"/>
  <c r="N49" i="2"/>
  <c r="D49" i="2"/>
  <c r="D53" i="2" s="1"/>
  <c r="D57" i="2" s="1"/>
  <c r="T48" i="2"/>
  <c r="R48" i="2"/>
  <c r="R51" i="2" s="1"/>
  <c r="N48" i="2"/>
  <c r="M48" i="2"/>
  <c r="D50" i="2" s="1"/>
  <c r="D52" i="2" s="1"/>
  <c r="I48" i="2"/>
  <c r="I50" i="2" s="1"/>
  <c r="I52" i="2" s="1"/>
  <c r="D48" i="2"/>
  <c r="D54" i="2" s="1"/>
  <c r="D56" i="2" s="1"/>
  <c r="M58" i="2" s="1"/>
  <c r="C48" i="2"/>
  <c r="T47" i="2"/>
  <c r="N47" i="2"/>
  <c r="M47" i="2"/>
  <c r="D47" i="2"/>
  <c r="D60" i="2" s="1"/>
  <c r="B47" i="2"/>
  <c r="K47" i="2" s="1"/>
  <c r="K50" i="2" s="1"/>
  <c r="P47" i="2"/>
  <c r="O47" i="2"/>
  <c r="I47" i="2"/>
  <c r="M49" i="2"/>
  <c r="M53" i="2" s="1"/>
  <c r="M57" i="2" s="1"/>
  <c r="Q59" i="2"/>
  <c r="H50" i="2"/>
  <c r="F59" i="2"/>
  <c r="H154" i="2" l="1"/>
  <c r="B136" i="2"/>
  <c r="C154" i="2" s="1"/>
  <c r="G136" i="2"/>
  <c r="G94" i="2"/>
  <c r="H91" i="2"/>
  <c r="P7" i="1" s="1"/>
  <c r="C91" i="2"/>
  <c r="D7" i="1" s="1"/>
  <c r="H112" i="2"/>
  <c r="P9" i="1" s="1"/>
  <c r="H133" i="2"/>
  <c r="C112" i="2"/>
  <c r="D9" i="1" s="1"/>
  <c r="B156" i="2"/>
  <c r="R54" i="2"/>
  <c r="B50" i="2"/>
  <c r="B55" i="2"/>
  <c r="B57" i="2"/>
  <c r="B59" i="2"/>
  <c r="B53" i="2"/>
  <c r="B48" i="2"/>
  <c r="B52" i="2"/>
  <c r="B54" i="2"/>
  <c r="B56" i="2"/>
  <c r="B49" i="2"/>
  <c r="B58" i="2"/>
  <c r="B51" i="2"/>
  <c r="I54" i="2"/>
  <c r="K60" i="2"/>
  <c r="B60" i="2"/>
  <c r="E47" i="2"/>
  <c r="E59" i="2"/>
  <c r="E58" i="2"/>
  <c r="E57" i="2"/>
  <c r="E56" i="2"/>
  <c r="E55" i="2"/>
  <c r="E54" i="2"/>
  <c r="E53" i="2"/>
  <c r="E52" i="2"/>
  <c r="E51" i="2"/>
  <c r="E50" i="2"/>
  <c r="E49" i="2"/>
  <c r="E48" i="2"/>
  <c r="K57" i="2"/>
  <c r="K59" i="2"/>
  <c r="K58" i="2"/>
  <c r="K56" i="2"/>
  <c r="K55" i="2"/>
  <c r="K54" i="2"/>
  <c r="K53" i="2"/>
  <c r="K52" i="2"/>
  <c r="K51" i="2"/>
  <c r="F60" i="2"/>
  <c r="F47" i="2"/>
  <c r="I60" i="2"/>
  <c r="I55" i="2"/>
  <c r="K48" i="2"/>
  <c r="K49" i="2"/>
  <c r="D51" i="2"/>
  <c r="M55" i="2"/>
  <c r="G60" i="2"/>
  <c r="G47" i="2"/>
  <c r="P59" i="2"/>
  <c r="P58" i="2"/>
  <c r="P57" i="2"/>
  <c r="P56" i="2"/>
  <c r="P55" i="2"/>
  <c r="P54" i="2"/>
  <c r="P53" i="2"/>
  <c r="P52" i="2"/>
  <c r="P51" i="2"/>
  <c r="P50" i="2"/>
  <c r="P49" i="2"/>
  <c r="P48" i="2"/>
  <c r="P60" i="2" s="1"/>
  <c r="M50" i="2"/>
  <c r="M52" i="2" s="1"/>
  <c r="M51" i="2"/>
  <c r="M60" i="2" s="1"/>
  <c r="M54" i="2"/>
  <c r="M56" i="2" s="1"/>
  <c r="D58" i="2" s="1"/>
  <c r="C57" i="2"/>
  <c r="C58" i="2"/>
  <c r="Q47" i="2"/>
  <c r="F49" i="2"/>
  <c r="F50" i="2"/>
  <c r="D55" i="2"/>
  <c r="H47" i="2"/>
  <c r="Q48" i="2"/>
  <c r="O51" i="2"/>
  <c r="O52" i="2"/>
  <c r="O53" i="2"/>
  <c r="O54" i="2"/>
  <c r="O55" i="2"/>
  <c r="O56" i="2"/>
  <c r="O57" i="2"/>
  <c r="O58" i="2"/>
  <c r="O59" i="2"/>
  <c r="E60" i="2"/>
  <c r="O48" i="2"/>
  <c r="O60" i="2" s="1"/>
  <c r="C52" i="2"/>
  <c r="C53" i="2"/>
  <c r="C54" i="2"/>
  <c r="C55" i="2"/>
  <c r="C56" i="2"/>
  <c r="F48" i="2"/>
  <c r="O49" i="2"/>
  <c r="O50" i="2"/>
  <c r="H48" i="2"/>
  <c r="H49" i="2"/>
  <c r="Q49" i="2"/>
  <c r="Q50" i="2"/>
  <c r="F51" i="2"/>
  <c r="F52" i="2"/>
  <c r="F53" i="2"/>
  <c r="F54" i="2"/>
  <c r="F55" i="2"/>
  <c r="F56" i="2"/>
  <c r="F57" i="2"/>
  <c r="F58" i="2"/>
  <c r="I49" i="2"/>
  <c r="I53" i="2" s="1"/>
  <c r="Q51" i="2"/>
  <c r="Q52" i="2"/>
  <c r="Q53" i="2"/>
  <c r="Q54" i="2"/>
  <c r="Q55" i="2"/>
  <c r="Q56" i="2"/>
  <c r="Q57" i="2"/>
  <c r="Q58" i="2"/>
  <c r="G156" i="2"/>
  <c r="A157" i="2"/>
  <c r="F157" i="2"/>
  <c r="C133" i="2"/>
  <c r="D13" i="1" l="1"/>
  <c r="B137" i="2"/>
  <c r="B150" i="2" s="1"/>
  <c r="P11" i="1"/>
  <c r="P13" i="1"/>
  <c r="F70" i="2"/>
  <c r="F116" i="2" s="1"/>
  <c r="L49" i="2"/>
  <c r="C47" i="2"/>
  <c r="G59" i="2"/>
  <c r="G58" i="2"/>
  <c r="G57" i="2"/>
  <c r="G56" i="2"/>
  <c r="G55" i="2"/>
  <c r="G54" i="2"/>
  <c r="G53" i="2"/>
  <c r="G52" i="2"/>
  <c r="G51" i="2"/>
  <c r="G50" i="2"/>
  <c r="G49" i="2"/>
  <c r="G48" i="2"/>
  <c r="R47" i="2"/>
  <c r="R55" i="2" s="1"/>
  <c r="R57" i="2"/>
  <c r="A70" i="2"/>
  <c r="A95" i="2" s="1"/>
  <c r="D11" i="1"/>
  <c r="F15" i="1" l="1"/>
  <c r="B116" i="2"/>
  <c r="B95" i="2" s="1"/>
  <c r="B74" i="2" s="1"/>
  <c r="F137" i="2"/>
  <c r="F145" i="2" s="1"/>
  <c r="G137" i="2"/>
  <c r="G150" i="2" s="1"/>
  <c r="F74" i="2"/>
  <c r="F91" i="2" s="1"/>
  <c r="F95" i="2"/>
  <c r="F107" i="2" s="1"/>
  <c r="A74" i="2"/>
  <c r="A75" i="2" s="1"/>
  <c r="A102" i="2"/>
  <c r="A96" i="2"/>
  <c r="A107" i="2"/>
  <c r="A110" i="2"/>
  <c r="A100" i="2"/>
  <c r="A111" i="2"/>
  <c r="A98" i="2"/>
  <c r="A137" i="2"/>
  <c r="A153" i="2" s="1"/>
  <c r="A116" i="2"/>
  <c r="A123" i="2" s="1"/>
  <c r="A108" i="2"/>
  <c r="A101" i="2"/>
  <c r="A105" i="2"/>
  <c r="A109" i="2"/>
  <c r="A112" i="2"/>
  <c r="A99" i="2"/>
  <c r="A103" i="2"/>
  <c r="A97" i="2"/>
  <c r="A104" i="2"/>
  <c r="A106" i="2"/>
  <c r="B152" i="2"/>
  <c r="B151" i="2"/>
  <c r="B153" i="2"/>
  <c r="F130" i="2"/>
  <c r="F124" i="2"/>
  <c r="F118" i="2"/>
  <c r="F128" i="2"/>
  <c r="F122" i="2"/>
  <c r="F132" i="2"/>
  <c r="F126" i="2"/>
  <c r="F120" i="2"/>
  <c r="F133" i="2"/>
  <c r="F123" i="2"/>
  <c r="F119" i="2"/>
  <c r="F125" i="2"/>
  <c r="F127" i="2"/>
  <c r="F131" i="2"/>
  <c r="F117" i="2"/>
  <c r="F129" i="2"/>
  <c r="F121" i="2"/>
  <c r="B149" i="2"/>
  <c r="B144" i="2"/>
  <c r="B138" i="2"/>
  <c r="B143" i="2"/>
  <c r="B140" i="2"/>
  <c r="B141" i="2"/>
  <c r="B142" i="2"/>
  <c r="B145" i="2"/>
  <c r="B146" i="2"/>
  <c r="B147" i="2"/>
  <c r="B148" i="2"/>
  <c r="B139" i="2"/>
  <c r="C13" i="1"/>
  <c r="B154" i="2"/>
  <c r="H34" i="2" l="1"/>
  <c r="F34" i="2"/>
  <c r="F139" i="2"/>
  <c r="F150" i="2"/>
  <c r="F147" i="2"/>
  <c r="F149" i="2"/>
  <c r="F87" i="2"/>
  <c r="F78" i="2"/>
  <c r="A77" i="2"/>
  <c r="F143" i="2"/>
  <c r="F142" i="2"/>
  <c r="F153" i="2"/>
  <c r="F148" i="2"/>
  <c r="F144" i="2"/>
  <c r="F146" i="2"/>
  <c r="F86" i="2"/>
  <c r="G152" i="2"/>
  <c r="F140" i="2"/>
  <c r="F154" i="2"/>
  <c r="F151" i="2"/>
  <c r="A84" i="2"/>
  <c r="G149" i="2"/>
  <c r="F103" i="2"/>
  <c r="F152" i="2"/>
  <c r="F141" i="2"/>
  <c r="A119" i="2"/>
  <c r="G139" i="2"/>
  <c r="F80" i="2"/>
  <c r="F111" i="2"/>
  <c r="F138" i="2"/>
  <c r="G147" i="2"/>
  <c r="F96" i="2"/>
  <c r="A88" i="2"/>
  <c r="F104" i="2"/>
  <c r="A76" i="2"/>
  <c r="A78" i="2"/>
  <c r="G138" i="2"/>
  <c r="G116" i="2"/>
  <c r="G153" i="2"/>
  <c r="G143" i="2"/>
  <c r="G151" i="2"/>
  <c r="Q13" i="1"/>
  <c r="G154" i="2"/>
  <c r="G148" i="2"/>
  <c r="G141" i="2"/>
  <c r="F106" i="2"/>
  <c r="A83" i="2"/>
  <c r="A80" i="2"/>
  <c r="A118" i="2"/>
  <c r="G142" i="2"/>
  <c r="A82" i="2"/>
  <c r="A90" i="2"/>
  <c r="F100" i="2"/>
  <c r="A85" i="2"/>
  <c r="F110" i="2"/>
  <c r="F83" i="2"/>
  <c r="G144" i="2"/>
  <c r="G146" i="2"/>
  <c r="F109" i="2"/>
  <c r="F77" i="2"/>
  <c r="A86" i="2"/>
  <c r="G140" i="2"/>
  <c r="G145" i="2"/>
  <c r="F99" i="2"/>
  <c r="F81" i="2"/>
  <c r="F82" i="2"/>
  <c r="F105" i="2"/>
  <c r="F76" i="2"/>
  <c r="F84" i="2"/>
  <c r="A127" i="2"/>
  <c r="A126" i="2"/>
  <c r="A89" i="2"/>
  <c r="A79" i="2"/>
  <c r="F112" i="2"/>
  <c r="A87" i="2"/>
  <c r="A140" i="2"/>
  <c r="A143" i="2"/>
  <c r="F108" i="2"/>
  <c r="F97" i="2"/>
  <c r="A81" i="2"/>
  <c r="A91" i="2"/>
  <c r="F79" i="2"/>
  <c r="F88" i="2"/>
  <c r="F102" i="2"/>
  <c r="F101" i="2"/>
  <c r="F89" i="2"/>
  <c r="F75" i="2"/>
  <c r="F90" i="2"/>
  <c r="A122" i="2"/>
  <c r="A130" i="2"/>
  <c r="F98" i="2"/>
  <c r="F85" i="2"/>
  <c r="A139" i="2"/>
  <c r="A148" i="2"/>
  <c r="A145" i="2"/>
  <c r="A152" i="2"/>
  <c r="A133" i="2"/>
  <c r="A146" i="2"/>
  <c r="A131" i="2"/>
  <c r="A142" i="2"/>
  <c r="A150" i="2"/>
  <c r="A138" i="2"/>
  <c r="A125" i="2"/>
  <c r="A132" i="2"/>
  <c r="A129" i="2"/>
  <c r="A120" i="2"/>
  <c r="A128" i="2"/>
  <c r="A124" i="2"/>
  <c r="A149" i="2"/>
  <c r="A154" i="2"/>
  <c r="A141" i="2"/>
  <c r="A147" i="2"/>
  <c r="A144" i="2"/>
  <c r="A121" i="2"/>
  <c r="A117" i="2"/>
  <c r="A151" i="2"/>
  <c r="C11" i="1"/>
  <c r="B121" i="2"/>
  <c r="B120" i="2"/>
  <c r="B119" i="2"/>
  <c r="B118" i="2"/>
  <c r="B133" i="2"/>
  <c r="B117" i="2"/>
  <c r="B128" i="2"/>
  <c r="B131" i="2"/>
  <c r="B130" i="2"/>
  <c r="B126" i="2"/>
  <c r="B125" i="2"/>
  <c r="B123" i="2"/>
  <c r="B129" i="2"/>
  <c r="B124" i="2"/>
  <c r="B127" i="2"/>
  <c r="B122" i="2"/>
  <c r="B132" i="2"/>
  <c r="G95" i="2" l="1"/>
  <c r="G74" i="2" s="1"/>
  <c r="Q11" i="1"/>
  <c r="G120" i="2"/>
  <c r="G123" i="2"/>
  <c r="G131" i="2"/>
  <c r="G130" i="2"/>
  <c r="G129" i="2"/>
  <c r="G133" i="2"/>
  <c r="G118" i="2"/>
  <c r="G117" i="2"/>
  <c r="G122" i="2"/>
  <c r="G124" i="2"/>
  <c r="G132" i="2"/>
  <c r="G127" i="2"/>
  <c r="G121" i="2"/>
  <c r="G128" i="2"/>
  <c r="G126" i="2"/>
  <c r="G125" i="2"/>
  <c r="G119" i="2"/>
  <c r="C7" i="1"/>
  <c r="C9" i="1"/>
  <c r="B105" i="2"/>
  <c r="B97" i="2"/>
  <c r="B107" i="2"/>
  <c r="B101" i="2"/>
  <c r="B99" i="2"/>
  <c r="B103" i="2"/>
  <c r="B111" i="2"/>
  <c r="B109" i="2"/>
  <c r="B112" i="2"/>
  <c r="B98" i="2"/>
  <c r="B110" i="2"/>
  <c r="B100" i="2"/>
  <c r="B106" i="2"/>
  <c r="B102" i="2"/>
  <c r="B104" i="2"/>
  <c r="B108" i="2"/>
  <c r="B96" i="2"/>
  <c r="Q7" i="1" l="1"/>
  <c r="G101" i="2"/>
  <c r="G100" i="2"/>
  <c r="G110" i="2"/>
  <c r="G108" i="2"/>
  <c r="G103" i="2"/>
  <c r="G112" i="2"/>
  <c r="G109" i="2"/>
  <c r="G96" i="2"/>
  <c r="G98" i="2"/>
  <c r="G105" i="2"/>
  <c r="G111" i="2"/>
  <c r="G97" i="2"/>
  <c r="G107" i="2"/>
  <c r="G104" i="2"/>
  <c r="G99" i="2"/>
  <c r="G106" i="2"/>
  <c r="Q9" i="1"/>
  <c r="G102" i="2"/>
  <c r="B86" i="2"/>
  <c r="B75" i="2"/>
  <c r="B88" i="2"/>
  <c r="B78" i="2"/>
  <c r="B82" i="2"/>
  <c r="B90" i="2"/>
  <c r="B80" i="2"/>
  <c r="B84" i="2"/>
  <c r="B76" i="2"/>
  <c r="B89" i="2"/>
  <c r="B79" i="2"/>
  <c r="B77" i="2"/>
  <c r="B87" i="2"/>
  <c r="B81" i="2"/>
  <c r="B83" i="2"/>
  <c r="B85" i="2"/>
  <c r="B91" i="2"/>
  <c r="F16" i="1" l="1"/>
  <c r="H35" i="2"/>
  <c r="L34" i="2" s="1"/>
  <c r="G75" i="2"/>
  <c r="G78" i="2"/>
  <c r="G84" i="2"/>
  <c r="G76" i="2"/>
  <c r="G90" i="2"/>
  <c r="G88" i="2"/>
  <c r="G86" i="2"/>
  <c r="G83" i="2"/>
  <c r="G81" i="2"/>
  <c r="G89" i="2"/>
  <c r="G85" i="2"/>
  <c r="G80" i="2"/>
  <c r="G87" i="2"/>
  <c r="G91" i="2"/>
  <c r="G82" i="2"/>
  <c r="G77" i="2"/>
  <c r="G79" i="2"/>
  <c r="B158" i="2"/>
  <c r="F35" i="2" l="1"/>
  <c r="P15" i="1"/>
  <c r="K73" i="2"/>
  <c r="G158" i="2"/>
  <c r="L70" i="2" s="1"/>
  <c r="K77" i="2" l="1"/>
  <c r="K74" i="2"/>
  <c r="K75" i="2" s="1"/>
  <c r="K76" i="2"/>
  <c r="L75" i="2"/>
  <c r="L76" i="2"/>
</calcChain>
</file>

<file path=xl/sharedStrings.xml><?xml version="1.0" encoding="utf-8"?>
<sst xmlns="http://schemas.openxmlformats.org/spreadsheetml/2006/main" count="161" uniqueCount="96">
  <si>
    <t>Octagon</t>
  </si>
  <si>
    <t>Circle</t>
  </si>
  <si>
    <t>School</t>
  </si>
  <si>
    <t>County</t>
  </si>
  <si>
    <t>Diamond</t>
  </si>
  <si>
    <t>Rectangle</t>
  </si>
  <si>
    <t>Shield</t>
  </si>
  <si>
    <t>Yield</t>
  </si>
  <si>
    <t>None</t>
  </si>
  <si>
    <t>Sign 1</t>
  </si>
  <si>
    <t>Sign 2</t>
  </si>
  <si>
    <t>Sign 3</t>
  </si>
  <si>
    <t>Sign 4</t>
  </si>
  <si>
    <t>centroid dist</t>
  </si>
  <si>
    <t>Sign 1r</t>
  </si>
  <si>
    <t>Sign 3r</t>
  </si>
  <si>
    <t>Sign 2r</t>
  </si>
  <si>
    <t>Sign 4r</t>
  </si>
  <si>
    <t>Pole</t>
  </si>
  <si>
    <t>height</t>
  </si>
  <si>
    <t>Area</t>
  </si>
  <si>
    <t>Area
 (sf)</t>
  </si>
  <si>
    <t>Global Centroid
(ft)</t>
  </si>
  <si>
    <t xml:space="preserve">Dist. to bottom sign =  </t>
  </si>
  <si>
    <t xml:space="preserve">Sign Cluster Centroid (ft) = </t>
  </si>
  <si>
    <t xml:space="preserve"> feet</t>
  </si>
  <si>
    <t>x,y dimensions</t>
  </si>
  <si>
    <t>X,Y global coordinate</t>
  </si>
  <si>
    <t>maximum x dimension</t>
  </si>
  <si>
    <t xml:space="preserve">sum of sign numbers (if =4, no signs on right side) </t>
  </si>
  <si>
    <t>global X offset</t>
  </si>
  <si>
    <t>maximum Y dimension</t>
  </si>
  <si>
    <t xml:space="preserve">ΣAreas (sf) = </t>
  </si>
  <si>
    <t>Shape#</t>
  </si>
  <si>
    <t>x Coordinates</t>
  </si>
  <si>
    <t>Y coordinates</t>
  </si>
  <si>
    <t>8 ft</t>
  </si>
  <si>
    <t>9 ft</t>
  </si>
  <si>
    <t>10 ft</t>
  </si>
  <si>
    <t>11 ft</t>
  </si>
  <si>
    <t>12 ft</t>
  </si>
  <si>
    <t>13 ft</t>
  </si>
  <si>
    <t>14 ft</t>
  </si>
  <si>
    <t>15 ft</t>
  </si>
  <si>
    <t>16 ft</t>
  </si>
  <si>
    <t>17 ft</t>
  </si>
  <si>
    <t>18 ft</t>
  </si>
  <si>
    <t>19 ft</t>
  </si>
  <si>
    <t>20 ft</t>
  </si>
  <si>
    <t>row =</t>
  </si>
  <si>
    <t xml:space="preserve">Min. Tube OD = </t>
  </si>
  <si>
    <t>col =</t>
  </si>
  <si>
    <t>Centroid =</t>
  </si>
  <si>
    <t>Sign SF =</t>
  </si>
  <si>
    <t>Enter sign types , sizes and clearance.</t>
  </si>
  <si>
    <t xml:space="preserve">Min. Outside Diameter Req'd* (in) </t>
  </si>
  <si>
    <t>The table below is based on a FDOT Mathcad calculution worksheeet dated 7/1/2016</t>
  </si>
  <si>
    <t>Distance between signs (ft)</t>
  </si>
  <si>
    <t>Pole Capacities</t>
  </si>
  <si>
    <t>Sign Coordinates, Areas, and Centroids</t>
  </si>
  <si>
    <t>110 mph</t>
  </si>
  <si>
    <t>3 sf</t>
  </si>
  <si>
    <t>4 sf</t>
  </si>
  <si>
    <t>5 sf</t>
  </si>
  <si>
    <t>6 sf</t>
  </si>
  <si>
    <t>7 sf</t>
  </si>
  <si>
    <t>8 sf</t>
  </si>
  <si>
    <t>9 sf</t>
  </si>
  <si>
    <t>10 sf</t>
  </si>
  <si>
    <t>11 sf</t>
  </si>
  <si>
    <t>12 sf</t>
  </si>
  <si>
    <t>13 sf</t>
  </si>
  <si>
    <t>14 sf</t>
  </si>
  <si>
    <t>15 sf</t>
  </si>
  <si>
    <t>16 sf</t>
  </si>
  <si>
    <t>17 sf</t>
  </si>
  <si>
    <t>18 sf</t>
  </si>
  <si>
    <t>19 sf</t>
  </si>
  <si>
    <t>20 sf</t>
  </si>
  <si>
    <t>21 sf</t>
  </si>
  <si>
    <t>22 sf</t>
  </si>
  <si>
    <t>23 sf</t>
  </si>
  <si>
    <t>24 sf</t>
  </si>
  <si>
    <t>25 sf</t>
  </si>
  <si>
    <t>26 sf</t>
  </si>
  <si>
    <t>27 sf</t>
  </si>
  <si>
    <t>28 sf</t>
  </si>
  <si>
    <t>29 sf</t>
  </si>
  <si>
    <t>30 sf</t>
  </si>
  <si>
    <r>
      <rPr>
        <vertAlign val="subscript"/>
        <sz val="16"/>
        <color theme="1"/>
        <rFont val="Calibri"/>
        <family val="2"/>
        <scheme val="minor"/>
      </rPr>
      <t xml:space="preserve">row     </t>
    </r>
    <r>
      <rPr>
        <vertAlign val="superscript"/>
        <sz val="16"/>
        <color theme="1"/>
        <rFont val="Calibri"/>
        <family val="2"/>
        <scheme val="minor"/>
      </rPr>
      <t>col.</t>
    </r>
  </si>
  <si>
    <t>Dim. "a"
 (in)</t>
  </si>
  <si>
    <t>Dim. "a"
(in)</t>
  </si>
  <si>
    <t>Dim. "h"
(in)</t>
  </si>
  <si>
    <t>Dim. "h"
 (in)</t>
  </si>
  <si>
    <t xml:space="preserve">Sign Cluster Width (in) = </t>
  </si>
  <si>
    <t>Design Aid for FDOT Design Standard 700-010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</si>
</sst>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trike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/>
    <xf numFmtId="2" fontId="0" fillId="0" borderId="18" xfId="0" applyNumberFormat="1" applyBorder="1"/>
    <xf numFmtId="2" fontId="0" fillId="7" borderId="3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0" borderId="17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0" fontId="0" fillId="0" borderId="15" xfId="0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2" fontId="0" fillId="7" borderId="0" xfId="0" applyNumberFormat="1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 vertical="center"/>
    </xf>
    <xf numFmtId="2" fontId="0" fillId="7" borderId="13" xfId="0" applyNumberFormat="1" applyFill="1" applyBorder="1" applyAlignment="1">
      <alignment horizontal="center" vertical="center"/>
    </xf>
    <xf numFmtId="2" fontId="0" fillId="0" borderId="0" xfId="0" applyNumberFormat="1"/>
    <xf numFmtId="2" fontId="0" fillId="7" borderId="7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0" fontId="0" fillId="7" borderId="9" xfId="0" applyFill="1" applyBorder="1" applyAlignment="1">
      <alignment horizontal="left" vertical="center" wrapText="1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0" fillId="7" borderId="10" xfId="0" applyFill="1" applyBorder="1" applyAlignment="1">
      <alignment horizontal="left" vertical="center" wrapText="1"/>
    </xf>
    <xf numFmtId="0" fontId="0" fillId="12" borderId="10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/>
    <xf numFmtId="2" fontId="0" fillId="0" borderId="15" xfId="0" applyNumberFormat="1" applyBorder="1"/>
    <xf numFmtId="0" fontId="0" fillId="0" borderId="0" xfId="0" applyBorder="1"/>
    <xf numFmtId="0" fontId="0" fillId="14" borderId="0" xfId="0" applyFill="1" applyBorder="1"/>
    <xf numFmtId="0" fontId="1" fillId="14" borderId="0" xfId="0" applyFont="1" applyFill="1" applyBorder="1" applyAlignment="1">
      <alignment horizontal="center" vertical="center"/>
    </xf>
    <xf numFmtId="0" fontId="0" fillId="14" borderId="5" xfId="0" applyFill="1" applyBorder="1"/>
    <xf numFmtId="0" fontId="0" fillId="14" borderId="5" xfId="0" applyFill="1" applyBorder="1" applyAlignment="1">
      <alignment horizontal="center" vertical="center"/>
    </xf>
    <xf numFmtId="0" fontId="2" fillId="14" borderId="0" xfId="0" applyFont="1" applyFill="1" applyBorder="1"/>
    <xf numFmtId="0" fontId="2" fillId="14" borderId="0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0" xfId="0" applyFill="1"/>
    <xf numFmtId="0" fontId="0" fillId="14" borderId="0" xfId="0" applyFill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0" fillId="14" borderId="3" xfId="0" applyFill="1" applyBorder="1"/>
    <xf numFmtId="0" fontId="0" fillId="14" borderId="0" xfId="0" applyFill="1" applyBorder="1" applyAlignment="1">
      <alignment horizontal="left" vertical="center" wrapText="1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/>
    <xf numFmtId="0" fontId="0" fillId="14" borderId="9" xfId="0" applyFill="1" applyBorder="1"/>
    <xf numFmtId="0" fontId="3" fillId="14" borderId="9" xfId="0" applyFont="1" applyFill="1" applyBorder="1" applyAlignment="1">
      <alignment horizontal="left" vertical="center"/>
    </xf>
    <xf numFmtId="0" fontId="0" fillId="14" borderId="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4" xfId="0" applyFill="1" applyBorder="1"/>
    <xf numFmtId="0" fontId="2" fillId="14" borderId="5" xfId="0" applyFont="1" applyFill="1" applyBorder="1"/>
    <xf numFmtId="0" fontId="2" fillId="14" borderId="5" xfId="0" applyFont="1" applyFill="1" applyBorder="1" applyAlignment="1">
      <alignment horizontal="center" vertical="center"/>
    </xf>
    <xf numFmtId="0" fontId="0" fillId="14" borderId="3" xfId="0" applyFill="1" applyBorder="1" applyAlignment="1">
      <alignment vertical="center"/>
    </xf>
    <xf numFmtId="0" fontId="0" fillId="14" borderId="0" xfId="0" applyFill="1" applyBorder="1" applyAlignment="1">
      <alignment vertical="center"/>
    </xf>
    <xf numFmtId="2" fontId="0" fillId="0" borderId="23" xfId="0" applyNumberFormat="1" applyBorder="1" applyAlignment="1">
      <alignment horizontal="center" vertical="center"/>
    </xf>
    <xf numFmtId="164" fontId="0" fillId="14" borderId="0" xfId="0" applyNumberFormat="1" applyFill="1" applyBorder="1" applyAlignment="1">
      <alignment horizontal="center" vertical="center"/>
    </xf>
    <xf numFmtId="0" fontId="3" fillId="0" borderId="23" xfId="0" applyFont="1" applyBorder="1" applyAlignment="1">
      <alignment horizontal="center" wrapText="1"/>
    </xf>
    <xf numFmtId="49" fontId="6" fillId="0" borderId="27" xfId="0" applyNumberFormat="1" applyFont="1" applyFill="1" applyBorder="1" applyAlignment="1">
      <alignment horizontal="center" wrapText="1"/>
    </xf>
    <xf numFmtId="49" fontId="3" fillId="4" borderId="28" xfId="0" applyNumberFormat="1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49" fontId="3" fillId="5" borderId="28" xfId="0" applyNumberFormat="1" applyFont="1" applyFill="1" applyBorder="1" applyAlignment="1">
      <alignment horizontal="center" wrapText="1"/>
    </xf>
    <xf numFmtId="49" fontId="3" fillId="3" borderId="28" xfId="0" applyNumberFormat="1" applyFont="1" applyFill="1" applyBorder="1" applyAlignment="1">
      <alignment horizontal="center" wrapText="1"/>
    </xf>
    <xf numFmtId="49" fontId="3" fillId="6" borderId="28" xfId="0" applyNumberFormat="1" applyFont="1" applyFill="1" applyBorder="1" applyAlignment="1">
      <alignment horizontal="center" wrapText="1"/>
    </xf>
    <xf numFmtId="0" fontId="3" fillId="14" borderId="0" xfId="0" applyFont="1" applyFill="1" applyBorder="1"/>
    <xf numFmtId="0" fontId="7" fillId="14" borderId="0" xfId="0" applyFont="1" applyFill="1" applyBorder="1"/>
    <xf numFmtId="164" fontId="0" fillId="14" borderId="0" xfId="0" applyNumberFormat="1" applyFill="1" applyBorder="1" applyAlignment="1">
      <alignment horizontal="left" vertical="center"/>
    </xf>
    <xf numFmtId="164" fontId="0" fillId="2" borderId="22" xfId="0" applyNumberFormat="1" applyFill="1" applyBorder="1" applyAlignment="1">
      <alignment horizontal="center" vertical="center"/>
    </xf>
    <xf numFmtId="0" fontId="3" fillId="0" borderId="0" xfId="0" applyFont="1"/>
    <xf numFmtId="0" fontId="3" fillId="14" borderId="0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49" fontId="3" fillId="0" borderId="32" xfId="0" applyNumberFormat="1" applyFont="1" applyFill="1" applyBorder="1" applyAlignment="1">
      <alignment horizontal="center" wrapText="1"/>
    </xf>
    <xf numFmtId="49" fontId="6" fillId="0" borderId="33" xfId="0" applyNumberFormat="1" applyFont="1" applyFill="1" applyBorder="1" applyAlignment="1">
      <alignment horizontal="center" wrapText="1"/>
    </xf>
    <xf numFmtId="49" fontId="6" fillId="0" borderId="32" xfId="0" applyNumberFormat="1" applyFont="1" applyFill="1" applyBorder="1" applyAlignment="1">
      <alignment horizontal="center" wrapText="1"/>
    </xf>
    <xf numFmtId="164" fontId="3" fillId="0" borderId="24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49" fontId="3" fillId="8" borderId="32" xfId="0" applyNumberFormat="1" applyFont="1" applyFill="1" applyBorder="1" applyAlignment="1">
      <alignment horizontal="center" wrapText="1"/>
    </xf>
    <xf numFmtId="49" fontId="6" fillId="0" borderId="41" xfId="0" applyNumberFormat="1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 vertical="center"/>
    </xf>
    <xf numFmtId="0" fontId="0" fillId="0" borderId="23" xfId="0" applyBorder="1"/>
    <xf numFmtId="2" fontId="0" fillId="0" borderId="2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15" borderId="14" xfId="0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3" xfId="0" applyNumberFormat="1" applyBorder="1"/>
    <xf numFmtId="2" fontId="0" fillId="0" borderId="8" xfId="0" applyNumberFormat="1" applyBorder="1"/>
    <xf numFmtId="0" fontId="0" fillId="15" borderId="4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4" xfId="0" applyFill="1" applyBorder="1"/>
    <xf numFmtId="2" fontId="0" fillId="0" borderId="16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3" xfId="0" applyNumberFormat="1" applyBorder="1"/>
    <xf numFmtId="49" fontId="5" fillId="14" borderId="0" xfId="0" applyNumberFormat="1" applyFont="1" applyFill="1" applyBorder="1" applyAlignment="1">
      <alignment vertical="center"/>
    </xf>
    <xf numFmtId="1" fontId="9" fillId="0" borderId="28" xfId="0" applyNumberFormat="1" applyFont="1" applyFill="1" applyBorder="1" applyAlignment="1" applyProtection="1">
      <alignment horizontal="center" vertical="center"/>
      <protection locked="0"/>
    </xf>
    <xf numFmtId="1" fontId="10" fillId="0" borderId="40" xfId="0" applyNumberFormat="1" applyFont="1" applyFill="1" applyBorder="1" applyAlignment="1" applyProtection="1">
      <alignment horizontal="center" vertical="center"/>
      <protection locked="0"/>
    </xf>
    <xf numFmtId="1" fontId="9" fillId="4" borderId="25" xfId="0" applyNumberFormat="1" applyFont="1" applyFill="1" applyBorder="1" applyAlignment="1" applyProtection="1">
      <alignment horizontal="center" vertical="center"/>
      <protection locked="0"/>
    </xf>
    <xf numFmtId="1" fontId="11" fillId="0" borderId="26" xfId="0" applyNumberFormat="1" applyFont="1" applyFill="1" applyBorder="1" applyAlignment="1" applyProtection="1">
      <alignment horizontal="center" vertical="center"/>
      <protection locked="0"/>
    </xf>
    <xf numFmtId="1" fontId="9" fillId="5" borderId="25" xfId="0" applyNumberFormat="1" applyFont="1" applyFill="1" applyBorder="1" applyAlignment="1" applyProtection="1">
      <alignment horizontal="center" vertical="center"/>
      <protection locked="0"/>
    </xf>
    <xf numFmtId="1" fontId="10" fillId="0" borderId="37" xfId="0" applyNumberFormat="1" applyFont="1" applyFill="1" applyBorder="1" applyAlignment="1" applyProtection="1">
      <alignment horizontal="center" vertical="center"/>
      <protection locked="0"/>
    </xf>
    <xf numFmtId="1" fontId="9" fillId="0" borderId="36" xfId="0" applyNumberFormat="1" applyFont="1" applyFill="1" applyBorder="1" applyAlignment="1" applyProtection="1">
      <alignment horizontal="center" vertical="center"/>
      <protection locked="0"/>
    </xf>
    <xf numFmtId="1" fontId="11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3" borderId="25" xfId="0" applyNumberFormat="1" applyFont="1" applyFill="1" applyBorder="1" applyAlignment="1" applyProtection="1">
      <alignment horizontal="center" vertical="center"/>
      <protection locked="0"/>
    </xf>
    <xf numFmtId="1" fontId="9" fillId="6" borderId="25" xfId="0" applyNumberFormat="1" applyFont="1" applyFill="1" applyBorder="1" applyAlignment="1" applyProtection="1">
      <alignment horizontal="center" vertical="center"/>
      <protection locked="0"/>
    </xf>
    <xf numFmtId="1" fontId="10" fillId="0" borderId="42" xfId="0" applyNumberFormat="1" applyFont="1" applyFill="1" applyBorder="1" applyAlignment="1" applyProtection="1">
      <alignment horizontal="center" vertical="center"/>
      <protection locked="0"/>
    </xf>
    <xf numFmtId="0" fontId="9" fillId="16" borderId="22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0" fillId="13" borderId="7" xfId="0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3" fillId="14" borderId="0" xfId="0" applyFont="1" applyFill="1" applyBorder="1" applyAlignment="1"/>
    <xf numFmtId="0" fontId="8" fillId="0" borderId="0" xfId="0" applyFont="1"/>
    <xf numFmtId="49" fontId="7" fillId="14" borderId="0" xfId="0" applyNumberFormat="1" applyFont="1" applyFill="1" applyBorder="1" applyAlignment="1">
      <alignment vertical="center"/>
    </xf>
    <xf numFmtId="0" fontId="3" fillId="14" borderId="0" xfId="0" applyFont="1" applyFill="1" applyBorder="1" applyAlignment="1">
      <alignment vertical="center"/>
    </xf>
    <xf numFmtId="164" fontId="0" fillId="7" borderId="6" xfId="0" applyNumberFormat="1" applyFill="1" applyBorder="1" applyAlignment="1">
      <alignment horizontal="left" vertical="center"/>
    </xf>
    <xf numFmtId="0" fontId="0" fillId="7" borderId="5" xfId="0" applyFont="1" applyFill="1" applyBorder="1" applyAlignment="1">
      <alignment horizontal="right" vertical="center"/>
    </xf>
    <xf numFmtId="0" fontId="0" fillId="7" borderId="5" xfId="0" applyFill="1" applyBorder="1" applyAlignment="1">
      <alignment horizontal="left" vertical="center" indent="1"/>
    </xf>
    <xf numFmtId="164" fontId="0" fillId="7" borderId="10" xfId="0" applyNumberFormat="1" applyFill="1" applyBorder="1" applyAlignment="1">
      <alignment horizontal="left" vertical="center"/>
    </xf>
    <xf numFmtId="0" fontId="0" fillId="7" borderId="9" xfId="0" applyFill="1" applyBorder="1" applyAlignment="1">
      <alignment horizontal="right"/>
    </xf>
    <xf numFmtId="0" fontId="0" fillId="7" borderId="10" xfId="0" applyFill="1" applyBorder="1" applyAlignment="1">
      <alignment horizontal="left" vertical="center" indent="1"/>
    </xf>
    <xf numFmtId="0" fontId="0" fillId="7" borderId="49" xfId="0" applyFill="1" applyBorder="1" applyAlignment="1">
      <alignment horizontal="left" vertical="center"/>
    </xf>
    <xf numFmtId="2" fontId="0" fillId="15" borderId="23" xfId="0" applyNumberFormat="1" applyFill="1" applyBorder="1" applyAlignment="1">
      <alignment horizontal="center" vertical="center"/>
    </xf>
    <xf numFmtId="0" fontId="9" fillId="0" borderId="0" xfId="0" applyFont="1"/>
    <xf numFmtId="2" fontId="0" fillId="0" borderId="7" xfId="0" applyNumberFormat="1" applyBorder="1"/>
    <xf numFmtId="2" fontId="0" fillId="0" borderId="10" xfId="0" applyNumberFormat="1" applyBorder="1"/>
    <xf numFmtId="0" fontId="0" fillId="14" borderId="46" xfId="0" applyFill="1" applyBorder="1" applyAlignment="1">
      <alignment horizontal="center" vertical="center"/>
    </xf>
    <xf numFmtId="0" fontId="0" fillId="12" borderId="44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12" borderId="45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14" borderId="48" xfId="0" applyFill="1" applyBorder="1" applyAlignment="1">
      <alignment horizontal="center" vertical="center"/>
    </xf>
    <xf numFmtId="0" fontId="0" fillId="12" borderId="62" xfId="0" applyFill="1" applyBorder="1" applyAlignment="1">
      <alignment horizontal="center" vertical="center"/>
    </xf>
    <xf numFmtId="0" fontId="0" fillId="14" borderId="39" xfId="0" applyFill="1" applyBorder="1" applyAlignment="1">
      <alignment horizontal="center" vertical="center"/>
    </xf>
    <xf numFmtId="0" fontId="0" fillId="14" borderId="58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14" borderId="62" xfId="0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2" borderId="58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0" fillId="12" borderId="61" xfId="0" applyFill="1" applyBorder="1" applyAlignment="1">
      <alignment horizontal="center" vertical="center"/>
    </xf>
    <xf numFmtId="0" fontId="0" fillId="14" borderId="54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4" borderId="64" xfId="0" applyFill="1" applyBorder="1" applyAlignment="1">
      <alignment horizontal="center" vertical="center"/>
    </xf>
    <xf numFmtId="0" fontId="0" fillId="14" borderId="66" xfId="0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55" xfId="0" applyFill="1" applyBorder="1" applyAlignment="1">
      <alignment horizontal="center" vertical="center"/>
    </xf>
    <xf numFmtId="0" fontId="0" fillId="12" borderId="67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0" fillId="12" borderId="68" xfId="0" applyFill="1" applyBorder="1" applyAlignment="1">
      <alignment horizontal="center" vertical="center"/>
    </xf>
    <xf numFmtId="0" fontId="0" fillId="12" borderId="69" xfId="0" applyFill="1" applyBorder="1" applyAlignment="1">
      <alignment horizontal="center" vertical="center"/>
    </xf>
    <xf numFmtId="0" fontId="0" fillId="12" borderId="54" xfId="0" applyFill="1" applyBorder="1" applyAlignment="1">
      <alignment horizontal="center" vertical="center"/>
    </xf>
    <xf numFmtId="0" fontId="0" fillId="14" borderId="47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14" borderId="61" xfId="0" applyFill="1" applyBorder="1" applyAlignment="1">
      <alignment horizontal="center" vertical="center"/>
    </xf>
    <xf numFmtId="0" fontId="0" fillId="12" borderId="60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0" fillId="14" borderId="68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/>
    </xf>
    <xf numFmtId="0" fontId="0" fillId="12" borderId="59" xfId="0" applyFill="1" applyBorder="1" applyAlignment="1">
      <alignment horizontal="center" vertical="center"/>
    </xf>
    <xf numFmtId="0" fontId="0" fillId="12" borderId="6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12" borderId="74" xfId="0" applyFill="1" applyBorder="1" applyAlignment="1">
      <alignment horizontal="center" vertical="center"/>
    </xf>
    <xf numFmtId="0" fontId="0" fillId="14" borderId="74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12" borderId="75" xfId="0" applyFill="1" applyBorder="1" applyAlignment="1">
      <alignment horizontal="center" vertical="center"/>
    </xf>
    <xf numFmtId="0" fontId="0" fillId="14" borderId="76" xfId="0" applyFill="1" applyBorder="1" applyAlignment="1">
      <alignment horizontal="center" vertical="center"/>
    </xf>
    <xf numFmtId="0" fontId="0" fillId="14" borderId="71" xfId="0" applyFill="1" applyBorder="1" applyAlignment="1">
      <alignment horizontal="center" vertical="center"/>
    </xf>
    <xf numFmtId="0" fontId="0" fillId="12" borderId="77" xfId="0" applyFill="1" applyBorder="1" applyAlignment="1">
      <alignment horizontal="center" vertical="center"/>
    </xf>
    <xf numFmtId="0" fontId="0" fillId="12" borderId="78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12" fillId="14" borderId="22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59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79" xfId="0" applyFill="1" applyBorder="1" applyAlignment="1">
      <alignment horizontal="center" vertical="center"/>
    </xf>
    <xf numFmtId="0" fontId="0" fillId="14" borderId="79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52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14" fillId="0" borderId="80" xfId="0" applyFont="1" applyBorder="1"/>
    <xf numFmtId="0" fontId="3" fillId="14" borderId="5" xfId="0" applyFont="1" applyFill="1" applyBorder="1" applyAlignment="1">
      <alignment vertical="center"/>
    </xf>
    <xf numFmtId="2" fontId="0" fillId="0" borderId="7" xfId="0" applyNumberForma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right" vertical="center"/>
    </xf>
    <xf numFmtId="0" fontId="3" fillId="14" borderId="0" xfId="0" applyFont="1" applyFill="1" applyBorder="1" applyAlignment="1">
      <alignment horizontal="right" vertical="center"/>
    </xf>
    <xf numFmtId="0" fontId="0" fillId="14" borderId="0" xfId="0" applyFill="1" applyBorder="1" applyAlignment="1">
      <alignment horizontal="left" vertical="center"/>
    </xf>
    <xf numFmtId="0" fontId="4" fillId="14" borderId="0" xfId="0" applyFont="1" applyFill="1" applyBorder="1" applyAlignment="1">
      <alignment horizontal="right" vertical="center"/>
    </xf>
    <xf numFmtId="0" fontId="3" fillId="14" borderId="0" xfId="0" applyFont="1" applyFill="1" applyBorder="1" applyAlignment="1">
      <alignment horizontal="right" vertical="center"/>
    </xf>
    <xf numFmtId="0" fontId="3" fillId="14" borderId="7" xfId="0" applyFont="1" applyFill="1" applyBorder="1" applyAlignment="1">
      <alignment horizontal="right" vertical="center"/>
    </xf>
    <xf numFmtId="0" fontId="3" fillId="14" borderId="0" xfId="0" applyFont="1" applyFill="1" applyBorder="1" applyAlignment="1">
      <alignment horizontal="right"/>
    </xf>
    <xf numFmtId="0" fontId="3" fillId="14" borderId="7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Alignment="1"/>
    <xf numFmtId="0" fontId="3" fillId="7" borderId="0" xfId="0" applyFont="1" applyFill="1" applyAlignment="1">
      <alignment horizontal="center"/>
    </xf>
    <xf numFmtId="0" fontId="0" fillId="7" borderId="4" xfId="0" applyFont="1" applyFill="1" applyBorder="1" applyAlignment="1">
      <alignment horizontal="right" vertical="center"/>
    </xf>
    <xf numFmtId="0" fontId="0" fillId="7" borderId="5" xfId="0" applyFont="1" applyFill="1" applyBorder="1" applyAlignment="1">
      <alignment horizontal="right" vertical="center"/>
    </xf>
    <xf numFmtId="0" fontId="0" fillId="7" borderId="8" xfId="0" applyFill="1" applyBorder="1" applyAlignment="1">
      <alignment horizontal="right" vertical="center"/>
    </xf>
    <xf numFmtId="0" fontId="0" fillId="7" borderId="9" xfId="0" applyFill="1" applyBorder="1" applyAlignment="1">
      <alignment horizontal="right" vertical="center"/>
    </xf>
    <xf numFmtId="0" fontId="0" fillId="7" borderId="1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15" borderId="9" xfId="0" applyFill="1" applyBorder="1" applyAlignment="1">
      <alignment horizontal="center"/>
    </xf>
  </cellXfs>
  <cellStyles count="1">
    <cellStyle name="Normal" xfId="0" builtinId="0"/>
  </cellStyles>
  <dxfs count="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strike/>
        <color theme="0"/>
      </font>
      <fill>
        <patternFill patternType="none">
          <bgColor auto="1"/>
        </patternFill>
      </fill>
    </dxf>
    <dxf>
      <font>
        <strike val="0"/>
        <color theme="1"/>
      </font>
      <fill>
        <patternFill>
          <bgColor theme="0" tint="-4.9989318521683403E-2"/>
        </patternFill>
      </fill>
    </dxf>
    <dxf>
      <font>
        <strike val="0"/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strike/>
        <color theme="0"/>
      </font>
      <fill>
        <patternFill patternType="none">
          <bgColor auto="1"/>
        </patternFill>
      </fill>
    </dxf>
    <dxf>
      <font>
        <strike val="0"/>
        <color theme="1"/>
      </font>
      <fill>
        <patternFill>
          <bgColor theme="0" tint="-0.14996795556505021"/>
        </patternFill>
      </fill>
    </dxf>
    <dxf>
      <font>
        <strike val="0"/>
        <color theme="1"/>
      </font>
      <fill>
        <patternFill>
          <bgColor theme="0" tint="-0.14996795556505021"/>
        </patternFill>
      </fill>
    </dxf>
    <dxf>
      <font>
        <strike val="0"/>
        <color theme="1"/>
      </font>
      <fill>
        <patternFill>
          <bgColor theme="0" tint="-0.24994659260841701"/>
        </patternFill>
      </fill>
    </dxf>
    <dxf>
      <font>
        <strike/>
        <color theme="0"/>
      </font>
    </dxf>
    <dxf>
      <font>
        <strike val="0"/>
        <color theme="1"/>
      </font>
      <fill>
        <patternFill patternType="solid">
          <bgColor theme="0" tint="-0.24994659260841701"/>
        </patternFill>
      </fill>
    </dxf>
    <dxf>
      <font>
        <strike val="0"/>
        <color theme="1"/>
      </font>
      <fill>
        <patternFill>
          <bgColor theme="0" tint="-0.24994659260841701"/>
        </patternFill>
      </fill>
    </dxf>
    <dxf>
      <font>
        <strike val="0"/>
        <color theme="1"/>
      </font>
      <fill>
        <patternFill patternType="solid">
          <bgColor theme="0" tint="-0.34998626667073579"/>
        </patternFill>
      </fill>
    </dxf>
    <dxf>
      <font>
        <strike val="0"/>
        <color theme="1"/>
      </font>
      <fill>
        <patternFill patternType="solid">
          <bgColor theme="0" tint="-0.34998626667073579"/>
        </patternFill>
      </fill>
    </dxf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F2F2F2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09203320423997"/>
          <c:y val="2.2697498931819569E-2"/>
          <c:w val="0.58871833481638569"/>
          <c:h val="0.89584000946102671"/>
        </c:manualLayout>
      </c:layout>
      <c:scatterChart>
        <c:scatterStyle val="lineMarker"/>
        <c:varyColors val="0"/>
        <c:ser>
          <c:idx val="8"/>
          <c:order val="0"/>
          <c:tx>
            <c:strRef>
              <c:f>Calculations!$K$72</c:f>
              <c:strCache>
                <c:ptCount val="1"/>
                <c:pt idx="0">
                  <c:v>Pole</c:v>
                </c:pt>
              </c:strCache>
            </c:strRef>
          </c:tx>
          <c:spPr>
            <a:ln w="34925" cap="rnd" cmpd="sng">
              <a:solidFill>
                <a:schemeClr val="tx1">
                  <a:alpha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  <a:scene3d>
                  <a:camera prst="orthographicFront"/>
                  <a:lightRig rig="threePt" dir="t"/>
                </a:scene3d>
                <a:sp3d>
                  <a:bevelT prst="slope"/>
                </a:sp3d>
              </c:spPr>
            </c:marker>
            <c:bubble3D val="0"/>
            <c:spPr>
              <a:ln w="38100" cap="rnd" cmpd="sng">
                <a:solidFill>
                  <a:schemeClr val="tx1">
                    <a:alpha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B5-41E2-847D-C1ACA2F7C7C6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38100" cap="rnd" cmpd="sng">
                <a:solidFill>
                  <a:schemeClr val="tx1">
                    <a:alpha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B5-41E2-847D-C1ACA2F7C7C6}"/>
              </c:ext>
            </c:extLst>
          </c:dPt>
          <c:xVal>
            <c:numRef>
              <c:f>Calculations!$K$73:$K$77</c:f>
              <c:numCache>
                <c:formatCode>0.00</c:formatCode>
                <c:ptCount val="5"/>
                <c:pt idx="0">
                  <c:v>-0.16666666666666666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-0.16666666666666666</c:v>
                </c:pt>
                <c:pt idx="4">
                  <c:v>-0.16666666666666666</c:v>
                </c:pt>
              </c:numCache>
            </c:numRef>
          </c:xVal>
          <c:yVal>
            <c:numRef>
              <c:f>Calculations!$L$73:$L$77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12.916666666666666</c:v>
                </c:pt>
                <c:pt idx="3">
                  <c:v>12.916666666666666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B5-41E2-847D-C1ACA2F7C7C6}"/>
            </c:ext>
          </c:extLst>
        </c:ser>
        <c:ser>
          <c:idx val="0"/>
          <c:order val="1"/>
          <c:tx>
            <c:strRef>
              <c:f>Calculations!$A$72</c:f>
              <c:strCache>
                <c:ptCount val="1"/>
                <c:pt idx="0">
                  <c:v>Sign 1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Calculations!$A$75:$A$91</c:f>
              <c:numCache>
                <c:formatCode>0.00</c:formatCode>
                <c:ptCount val="17"/>
                <c:pt idx="0">
                  <c:v>-2.333333333333333</c:v>
                </c:pt>
                <c:pt idx="1">
                  <c:v>-0.33333333333333326</c:v>
                </c:pt>
                <c:pt idx="2">
                  <c:v>-0.33333333333333326</c:v>
                </c:pt>
                <c:pt idx="3">
                  <c:v>-2.333333333333333</c:v>
                </c:pt>
                <c:pt idx="4">
                  <c:v>-2.333333333333333</c:v>
                </c:pt>
                <c:pt idx="5">
                  <c:v>-2.333333333333333</c:v>
                </c:pt>
                <c:pt idx="6">
                  <c:v>-2.333333333333333</c:v>
                </c:pt>
                <c:pt idx="7">
                  <c:v>-2.333333333333333</c:v>
                </c:pt>
                <c:pt idx="8">
                  <c:v>-2.333333333333333</c:v>
                </c:pt>
                <c:pt idx="9">
                  <c:v>-2.333333333333333</c:v>
                </c:pt>
                <c:pt idx="10">
                  <c:v>-2.333333333333333</c:v>
                </c:pt>
                <c:pt idx="11">
                  <c:v>-2.333333333333333</c:v>
                </c:pt>
                <c:pt idx="12">
                  <c:v>-2.333333333333333</c:v>
                </c:pt>
                <c:pt idx="13">
                  <c:v>-2.333333333333333</c:v>
                </c:pt>
                <c:pt idx="14">
                  <c:v>-2.333333333333333</c:v>
                </c:pt>
                <c:pt idx="15">
                  <c:v>-2.333333333333333</c:v>
                </c:pt>
                <c:pt idx="16">
                  <c:v>-2.333333333333333</c:v>
                </c:pt>
              </c:numCache>
            </c:numRef>
          </c:xVal>
          <c:yVal>
            <c:numRef>
              <c:f>Calculations!$B$75:$B$91</c:f>
              <c:numCache>
                <c:formatCode>0.00</c:formatCode>
                <c:ptCount val="17"/>
                <c:pt idx="0">
                  <c:v>11.416666666666668</c:v>
                </c:pt>
                <c:pt idx="1">
                  <c:v>11.416666666666668</c:v>
                </c:pt>
                <c:pt idx="2">
                  <c:v>12.416666666666668</c:v>
                </c:pt>
                <c:pt idx="3">
                  <c:v>12.416666666666668</c:v>
                </c:pt>
                <c:pt idx="4">
                  <c:v>11.416666666666668</c:v>
                </c:pt>
                <c:pt idx="5">
                  <c:v>11.416666666666668</c:v>
                </c:pt>
                <c:pt idx="6">
                  <c:v>11.416666666666668</c:v>
                </c:pt>
                <c:pt idx="7">
                  <c:v>11.416666666666668</c:v>
                </c:pt>
                <c:pt idx="8">
                  <c:v>11.416666666666668</c:v>
                </c:pt>
                <c:pt idx="9">
                  <c:v>11.416666666666668</c:v>
                </c:pt>
                <c:pt idx="10">
                  <c:v>11.416666666666668</c:v>
                </c:pt>
                <c:pt idx="11">
                  <c:v>11.416666666666668</c:v>
                </c:pt>
                <c:pt idx="12">
                  <c:v>11.416666666666668</c:v>
                </c:pt>
                <c:pt idx="13">
                  <c:v>11.416666666666668</c:v>
                </c:pt>
                <c:pt idx="14">
                  <c:v>11.416666666666668</c:v>
                </c:pt>
                <c:pt idx="15">
                  <c:v>11.416666666666668</c:v>
                </c:pt>
                <c:pt idx="16">
                  <c:v>11.416666666666668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B5-41E2-847D-C1ACA2F7C7C6}"/>
            </c:ext>
          </c:extLst>
        </c:ser>
        <c:ser>
          <c:idx val="1"/>
          <c:order val="2"/>
          <c:tx>
            <c:strRef>
              <c:f>Calculations!$A$93</c:f>
              <c:strCache>
                <c:ptCount val="1"/>
                <c:pt idx="0">
                  <c:v>Sign 2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Calculations!$A$96:$A$112</c:f>
              <c:numCache>
                <c:formatCode>0.00</c:formatCode>
                <c:ptCount val="17"/>
                <c:pt idx="0">
                  <c:v>-2.583333333333333</c:v>
                </c:pt>
                <c:pt idx="1">
                  <c:v>-8.3333333333333259E-2</c:v>
                </c:pt>
                <c:pt idx="2">
                  <c:v>-8.3333333333333259E-2</c:v>
                </c:pt>
                <c:pt idx="3">
                  <c:v>-2.583333333333333</c:v>
                </c:pt>
                <c:pt idx="4">
                  <c:v>-2.583333333333333</c:v>
                </c:pt>
                <c:pt idx="5">
                  <c:v>-2.583333333333333</c:v>
                </c:pt>
                <c:pt idx="6">
                  <c:v>-2.583333333333333</c:v>
                </c:pt>
                <c:pt idx="7">
                  <c:v>-2.583333333333333</c:v>
                </c:pt>
                <c:pt idx="8">
                  <c:v>-2.583333333333333</c:v>
                </c:pt>
                <c:pt idx="9">
                  <c:v>-2.583333333333333</c:v>
                </c:pt>
                <c:pt idx="10">
                  <c:v>-2.583333333333333</c:v>
                </c:pt>
                <c:pt idx="11">
                  <c:v>-2.583333333333333</c:v>
                </c:pt>
                <c:pt idx="12">
                  <c:v>-2.583333333333333</c:v>
                </c:pt>
                <c:pt idx="13">
                  <c:v>-2.583333333333333</c:v>
                </c:pt>
                <c:pt idx="14">
                  <c:v>-2.583333333333333</c:v>
                </c:pt>
                <c:pt idx="15">
                  <c:v>-2.583333333333333</c:v>
                </c:pt>
                <c:pt idx="16">
                  <c:v>-2.583333333333333</c:v>
                </c:pt>
              </c:numCache>
            </c:numRef>
          </c:xVal>
          <c:yVal>
            <c:numRef>
              <c:f>Calculations!$B$96:$B$112</c:f>
              <c:numCache>
                <c:formatCode>0.00</c:formatCode>
                <c:ptCount val="17"/>
                <c:pt idx="0">
                  <c:v>9.3333333333333339</c:v>
                </c:pt>
                <c:pt idx="1">
                  <c:v>9.3333333333333339</c:v>
                </c:pt>
                <c:pt idx="2">
                  <c:v>11.333333333333334</c:v>
                </c:pt>
                <c:pt idx="3">
                  <c:v>11.333333333333334</c:v>
                </c:pt>
                <c:pt idx="4">
                  <c:v>9.3333333333333339</c:v>
                </c:pt>
                <c:pt idx="5">
                  <c:v>9.3333333333333339</c:v>
                </c:pt>
                <c:pt idx="6">
                  <c:v>9.3333333333333339</c:v>
                </c:pt>
                <c:pt idx="7">
                  <c:v>9.3333333333333339</c:v>
                </c:pt>
                <c:pt idx="8">
                  <c:v>9.3333333333333339</c:v>
                </c:pt>
                <c:pt idx="9">
                  <c:v>9.3333333333333339</c:v>
                </c:pt>
                <c:pt idx="10">
                  <c:v>9.3333333333333339</c:v>
                </c:pt>
                <c:pt idx="11">
                  <c:v>9.3333333333333339</c:v>
                </c:pt>
                <c:pt idx="12">
                  <c:v>9.3333333333333339</c:v>
                </c:pt>
                <c:pt idx="13">
                  <c:v>9.3333333333333339</c:v>
                </c:pt>
                <c:pt idx="14">
                  <c:v>9.3333333333333339</c:v>
                </c:pt>
                <c:pt idx="15">
                  <c:v>9.3333333333333339</c:v>
                </c:pt>
                <c:pt idx="16">
                  <c:v>9.3333333333333339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B5-41E2-847D-C1ACA2F7C7C6}"/>
            </c:ext>
          </c:extLst>
        </c:ser>
        <c:ser>
          <c:idx val="2"/>
          <c:order val="3"/>
          <c:tx>
            <c:strRef>
              <c:f>Calculations!$A$114</c:f>
              <c:strCache>
                <c:ptCount val="1"/>
                <c:pt idx="0">
                  <c:v>Sign 3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Calculations!$A$117:$A$133</c:f>
              <c:numCache>
                <c:formatCode>0.00</c:formatCode>
                <c:ptCount val="17"/>
                <c:pt idx="0">
                  <c:v>-2.208333333333333</c:v>
                </c:pt>
                <c:pt idx="1">
                  <c:v>-0.45833333333333326</c:v>
                </c:pt>
                <c:pt idx="2">
                  <c:v>-0.45833333333333326</c:v>
                </c:pt>
                <c:pt idx="3">
                  <c:v>-2.208333333333333</c:v>
                </c:pt>
                <c:pt idx="4">
                  <c:v>-2.208333333333333</c:v>
                </c:pt>
                <c:pt idx="5">
                  <c:v>-2.208333333333333</c:v>
                </c:pt>
                <c:pt idx="6">
                  <c:v>-2.208333333333333</c:v>
                </c:pt>
                <c:pt idx="7">
                  <c:v>-2.208333333333333</c:v>
                </c:pt>
                <c:pt idx="8">
                  <c:v>-2.208333333333333</c:v>
                </c:pt>
                <c:pt idx="9">
                  <c:v>-2.208333333333333</c:v>
                </c:pt>
                <c:pt idx="10">
                  <c:v>-2.208333333333333</c:v>
                </c:pt>
                <c:pt idx="11">
                  <c:v>-2.208333333333333</c:v>
                </c:pt>
                <c:pt idx="12">
                  <c:v>-2.208333333333333</c:v>
                </c:pt>
                <c:pt idx="13">
                  <c:v>-2.208333333333333</c:v>
                </c:pt>
                <c:pt idx="14">
                  <c:v>-2.208333333333333</c:v>
                </c:pt>
                <c:pt idx="15">
                  <c:v>-2.208333333333333</c:v>
                </c:pt>
                <c:pt idx="16">
                  <c:v>-2.208333333333333</c:v>
                </c:pt>
              </c:numCache>
            </c:numRef>
          </c:xVal>
          <c:yVal>
            <c:numRef>
              <c:f>Calculations!$B$117:$B$133</c:f>
              <c:numCache>
                <c:formatCode>0.00</c:formatCode>
                <c:ptCount val="17"/>
                <c:pt idx="0">
                  <c:v>8</c:v>
                </c:pt>
                <c:pt idx="1">
                  <c:v>8</c:v>
                </c:pt>
                <c:pt idx="2">
                  <c:v>9.25</c:v>
                </c:pt>
                <c:pt idx="3">
                  <c:v>9.25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5B5-41E2-847D-C1ACA2F7C7C6}"/>
            </c:ext>
          </c:extLst>
        </c:ser>
        <c:ser>
          <c:idx val="3"/>
          <c:order val="4"/>
          <c:tx>
            <c:strRef>
              <c:f>Calculations!$A$135</c:f>
              <c:strCache>
                <c:ptCount val="1"/>
                <c:pt idx="0">
                  <c:v>Sign 4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Calculations!$A$138:$A$154</c:f>
              <c:numCache>
                <c:formatCode>0.00</c:formatCode>
                <c:ptCount val="17"/>
                <c:pt idx="0">
                  <c:v>-1.3333333333333333</c:v>
                </c:pt>
                <c:pt idx="1">
                  <c:v>-1.3333333333333333</c:v>
                </c:pt>
                <c:pt idx="2">
                  <c:v>-1.3333333333333333</c:v>
                </c:pt>
                <c:pt idx="3">
                  <c:v>-1.3333333333333333</c:v>
                </c:pt>
                <c:pt idx="4">
                  <c:v>-1.3333333333333333</c:v>
                </c:pt>
                <c:pt idx="5">
                  <c:v>-1.3333333333333333</c:v>
                </c:pt>
                <c:pt idx="6">
                  <c:v>-1.3333333333333333</c:v>
                </c:pt>
                <c:pt idx="7">
                  <c:v>-1.3333333333333333</c:v>
                </c:pt>
                <c:pt idx="8">
                  <c:v>-1.3333333333333333</c:v>
                </c:pt>
                <c:pt idx="9">
                  <c:v>-1.3333333333333333</c:v>
                </c:pt>
                <c:pt idx="10">
                  <c:v>-1.3333333333333333</c:v>
                </c:pt>
                <c:pt idx="11">
                  <c:v>-1.3333333333333333</c:v>
                </c:pt>
                <c:pt idx="12">
                  <c:v>-1.3333333333333333</c:v>
                </c:pt>
                <c:pt idx="13">
                  <c:v>-1.3333333333333333</c:v>
                </c:pt>
                <c:pt idx="14">
                  <c:v>-1.3333333333333333</c:v>
                </c:pt>
                <c:pt idx="15">
                  <c:v>-1.3333333333333333</c:v>
                </c:pt>
                <c:pt idx="16">
                  <c:v>-1.3333333333333333</c:v>
                </c:pt>
              </c:numCache>
            </c:numRef>
          </c:xVal>
          <c:yVal>
            <c:numRef>
              <c:f>Calculations!$B$138:$B$154</c:f>
              <c:numCache>
                <c:formatCode>0.00</c:formatCode>
                <c:ptCount val="1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5B5-41E2-847D-C1ACA2F7C7C6}"/>
            </c:ext>
          </c:extLst>
        </c:ser>
        <c:ser>
          <c:idx val="4"/>
          <c:order val="5"/>
          <c:tx>
            <c:strRef>
              <c:f>Calculations!$F$72</c:f>
              <c:strCache>
                <c:ptCount val="1"/>
                <c:pt idx="0">
                  <c:v>Sign 1r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Calculations!$F$75:$F$91</c:f>
              <c:numCache>
                <c:formatCode>0.00</c:formatCode>
                <c:ptCount val="17"/>
                <c:pt idx="0">
                  <c:v>0.33333333333333326</c:v>
                </c:pt>
                <c:pt idx="1">
                  <c:v>2.333333333333333</c:v>
                </c:pt>
                <c:pt idx="2">
                  <c:v>2.333333333333333</c:v>
                </c:pt>
                <c:pt idx="3">
                  <c:v>0.33333333333333326</c:v>
                </c:pt>
                <c:pt idx="4">
                  <c:v>0.33333333333333326</c:v>
                </c:pt>
                <c:pt idx="5">
                  <c:v>0.33333333333333326</c:v>
                </c:pt>
                <c:pt idx="6">
                  <c:v>0.33333333333333326</c:v>
                </c:pt>
                <c:pt idx="7">
                  <c:v>0.33333333333333326</c:v>
                </c:pt>
                <c:pt idx="8">
                  <c:v>0.33333333333333326</c:v>
                </c:pt>
                <c:pt idx="9">
                  <c:v>0.33333333333333326</c:v>
                </c:pt>
                <c:pt idx="10">
                  <c:v>0.33333333333333326</c:v>
                </c:pt>
                <c:pt idx="11">
                  <c:v>0.33333333333333326</c:v>
                </c:pt>
                <c:pt idx="12">
                  <c:v>0.33333333333333326</c:v>
                </c:pt>
                <c:pt idx="13">
                  <c:v>0.33333333333333326</c:v>
                </c:pt>
                <c:pt idx="14">
                  <c:v>0.33333333333333326</c:v>
                </c:pt>
                <c:pt idx="15">
                  <c:v>0.33333333333333326</c:v>
                </c:pt>
                <c:pt idx="16">
                  <c:v>0.33333333333333326</c:v>
                </c:pt>
              </c:numCache>
            </c:numRef>
          </c:xVal>
          <c:yVal>
            <c:numRef>
              <c:f>Calculations!$G$75:$G$91</c:f>
              <c:numCache>
                <c:formatCode>0.00</c:formatCode>
                <c:ptCount val="17"/>
                <c:pt idx="0">
                  <c:v>11.916666666666666</c:v>
                </c:pt>
                <c:pt idx="1">
                  <c:v>11.916666666666666</c:v>
                </c:pt>
                <c:pt idx="2">
                  <c:v>12.916666666666666</c:v>
                </c:pt>
                <c:pt idx="3">
                  <c:v>12.916666666666666</c:v>
                </c:pt>
                <c:pt idx="4">
                  <c:v>11.916666666666666</c:v>
                </c:pt>
                <c:pt idx="5">
                  <c:v>11.916666666666666</c:v>
                </c:pt>
                <c:pt idx="6">
                  <c:v>11.916666666666666</c:v>
                </c:pt>
                <c:pt idx="7">
                  <c:v>11.916666666666666</c:v>
                </c:pt>
                <c:pt idx="8">
                  <c:v>11.916666666666666</c:v>
                </c:pt>
                <c:pt idx="9">
                  <c:v>11.916666666666666</c:v>
                </c:pt>
                <c:pt idx="10">
                  <c:v>11.916666666666666</c:v>
                </c:pt>
                <c:pt idx="11">
                  <c:v>11.916666666666666</c:v>
                </c:pt>
                <c:pt idx="12">
                  <c:v>11.916666666666666</c:v>
                </c:pt>
                <c:pt idx="13">
                  <c:v>11.916666666666666</c:v>
                </c:pt>
                <c:pt idx="14">
                  <c:v>11.916666666666666</c:v>
                </c:pt>
                <c:pt idx="15">
                  <c:v>11.916666666666666</c:v>
                </c:pt>
                <c:pt idx="16">
                  <c:v>11.916666666666666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5B5-41E2-847D-C1ACA2F7C7C6}"/>
            </c:ext>
          </c:extLst>
        </c:ser>
        <c:ser>
          <c:idx val="5"/>
          <c:order val="6"/>
          <c:tx>
            <c:strRef>
              <c:f>Calculations!$F$93</c:f>
              <c:strCache>
                <c:ptCount val="1"/>
                <c:pt idx="0">
                  <c:v>Sign 2r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Calculations!$F$96:$F$112</c:f>
              <c:numCache>
                <c:formatCode>0.00</c:formatCode>
                <c:ptCount val="17"/>
                <c:pt idx="0">
                  <c:v>0.63333333333333319</c:v>
                </c:pt>
                <c:pt idx="1">
                  <c:v>2.0333333333333332</c:v>
                </c:pt>
                <c:pt idx="2">
                  <c:v>2.583333333333333</c:v>
                </c:pt>
                <c:pt idx="3">
                  <c:v>1.3333333333333333</c:v>
                </c:pt>
                <c:pt idx="4">
                  <c:v>8.3333333333333259E-2</c:v>
                </c:pt>
                <c:pt idx="5">
                  <c:v>0.63333333333333319</c:v>
                </c:pt>
                <c:pt idx="6">
                  <c:v>0.63333333333333319</c:v>
                </c:pt>
                <c:pt idx="7">
                  <c:v>0.63333333333333319</c:v>
                </c:pt>
                <c:pt idx="8">
                  <c:v>0.63333333333333319</c:v>
                </c:pt>
                <c:pt idx="9">
                  <c:v>0.63333333333333319</c:v>
                </c:pt>
                <c:pt idx="10">
                  <c:v>0.63333333333333319</c:v>
                </c:pt>
                <c:pt idx="11">
                  <c:v>0.63333333333333319</c:v>
                </c:pt>
                <c:pt idx="12">
                  <c:v>0.63333333333333319</c:v>
                </c:pt>
                <c:pt idx="13">
                  <c:v>0.63333333333333319</c:v>
                </c:pt>
                <c:pt idx="14">
                  <c:v>0.63333333333333319</c:v>
                </c:pt>
                <c:pt idx="15">
                  <c:v>0.63333333333333319</c:v>
                </c:pt>
                <c:pt idx="16">
                  <c:v>0.63333333333333319</c:v>
                </c:pt>
              </c:numCache>
            </c:numRef>
          </c:xVal>
          <c:yVal>
            <c:numRef>
              <c:f>Calculations!$G$96:$G$112</c:f>
              <c:numCache>
                <c:formatCode>0.00</c:formatCode>
                <c:ptCount val="17"/>
                <c:pt idx="0">
                  <c:v>9.3333333333333339</c:v>
                </c:pt>
                <c:pt idx="1">
                  <c:v>9.3333333333333339</c:v>
                </c:pt>
                <c:pt idx="2">
                  <c:v>11.383333333333333</c:v>
                </c:pt>
                <c:pt idx="3">
                  <c:v>11.833333333333334</c:v>
                </c:pt>
                <c:pt idx="4">
                  <c:v>11.383333333333333</c:v>
                </c:pt>
                <c:pt idx="5">
                  <c:v>9.3333333333333339</c:v>
                </c:pt>
                <c:pt idx="6">
                  <c:v>9.3333333333333339</c:v>
                </c:pt>
                <c:pt idx="7">
                  <c:v>9.3333333333333339</c:v>
                </c:pt>
                <c:pt idx="8">
                  <c:v>9.3333333333333339</c:v>
                </c:pt>
                <c:pt idx="9">
                  <c:v>9.3333333333333339</c:v>
                </c:pt>
                <c:pt idx="10">
                  <c:v>9.3333333333333339</c:v>
                </c:pt>
                <c:pt idx="11">
                  <c:v>9.3333333333333339</c:v>
                </c:pt>
                <c:pt idx="12">
                  <c:v>9.3333333333333339</c:v>
                </c:pt>
                <c:pt idx="13">
                  <c:v>9.3333333333333339</c:v>
                </c:pt>
                <c:pt idx="14">
                  <c:v>9.3333333333333339</c:v>
                </c:pt>
                <c:pt idx="15">
                  <c:v>9.3333333333333339</c:v>
                </c:pt>
                <c:pt idx="16">
                  <c:v>9.3333333333333339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5B5-41E2-847D-C1ACA2F7C7C6}"/>
            </c:ext>
          </c:extLst>
        </c:ser>
        <c:ser>
          <c:idx val="6"/>
          <c:order val="7"/>
          <c:tx>
            <c:strRef>
              <c:f>Calculations!$F$114</c:f>
              <c:strCache>
                <c:ptCount val="1"/>
                <c:pt idx="0">
                  <c:v>Sign 3r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Calculations!$F$117:$F$133</c:f>
              <c:numCache>
                <c:formatCode>0.00</c:formatCode>
                <c:ptCount val="17"/>
                <c:pt idx="0">
                  <c:v>0.45833333333333326</c:v>
                </c:pt>
                <c:pt idx="1">
                  <c:v>2.208333333333333</c:v>
                </c:pt>
                <c:pt idx="2">
                  <c:v>2.208333333333333</c:v>
                </c:pt>
                <c:pt idx="3">
                  <c:v>0.45833333333333326</c:v>
                </c:pt>
                <c:pt idx="4">
                  <c:v>0.45833333333333326</c:v>
                </c:pt>
                <c:pt idx="5">
                  <c:v>0.45833333333333326</c:v>
                </c:pt>
                <c:pt idx="6">
                  <c:v>0.45833333333333326</c:v>
                </c:pt>
                <c:pt idx="7">
                  <c:v>0.45833333333333326</c:v>
                </c:pt>
                <c:pt idx="8">
                  <c:v>0.45833333333333326</c:v>
                </c:pt>
                <c:pt idx="9">
                  <c:v>0.45833333333333326</c:v>
                </c:pt>
                <c:pt idx="10">
                  <c:v>0.45833333333333326</c:v>
                </c:pt>
                <c:pt idx="11">
                  <c:v>0.45833333333333326</c:v>
                </c:pt>
                <c:pt idx="12">
                  <c:v>0.45833333333333326</c:v>
                </c:pt>
                <c:pt idx="13">
                  <c:v>0.45833333333333326</c:v>
                </c:pt>
                <c:pt idx="14">
                  <c:v>0.45833333333333326</c:v>
                </c:pt>
                <c:pt idx="15">
                  <c:v>0.45833333333333326</c:v>
                </c:pt>
                <c:pt idx="16">
                  <c:v>0.45833333333333326</c:v>
                </c:pt>
              </c:numCache>
            </c:numRef>
          </c:xVal>
          <c:yVal>
            <c:numRef>
              <c:f>Calculations!$G$117:$G$133</c:f>
              <c:numCache>
                <c:formatCode>0.00</c:formatCode>
                <c:ptCount val="17"/>
                <c:pt idx="0">
                  <c:v>8</c:v>
                </c:pt>
                <c:pt idx="1">
                  <c:v>8</c:v>
                </c:pt>
                <c:pt idx="2">
                  <c:v>9.25</c:v>
                </c:pt>
                <c:pt idx="3">
                  <c:v>9.25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5B5-41E2-847D-C1ACA2F7C7C6}"/>
            </c:ext>
          </c:extLst>
        </c:ser>
        <c:ser>
          <c:idx val="7"/>
          <c:order val="8"/>
          <c:tx>
            <c:strRef>
              <c:f>Calculations!$F$135</c:f>
              <c:strCache>
                <c:ptCount val="1"/>
                <c:pt idx="0">
                  <c:v>Sign 4r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Calculations!$F$138:$F$154</c:f>
              <c:numCache>
                <c:formatCode>0.00</c:formatCode>
                <c:ptCount val="17"/>
                <c:pt idx="0">
                  <c:v>1.3333333333333333</c:v>
                </c:pt>
                <c:pt idx="1">
                  <c:v>1.3333333333333333</c:v>
                </c:pt>
                <c:pt idx="2">
                  <c:v>1.3333333333333333</c:v>
                </c:pt>
                <c:pt idx="3">
                  <c:v>1.3333333333333333</c:v>
                </c:pt>
                <c:pt idx="4">
                  <c:v>1.3333333333333333</c:v>
                </c:pt>
                <c:pt idx="5">
                  <c:v>1.3333333333333333</c:v>
                </c:pt>
                <c:pt idx="6">
                  <c:v>1.3333333333333333</c:v>
                </c:pt>
                <c:pt idx="7">
                  <c:v>1.3333333333333333</c:v>
                </c:pt>
                <c:pt idx="8">
                  <c:v>1.3333333333333333</c:v>
                </c:pt>
                <c:pt idx="9">
                  <c:v>1.3333333333333333</c:v>
                </c:pt>
                <c:pt idx="10">
                  <c:v>1.3333333333333333</c:v>
                </c:pt>
                <c:pt idx="11">
                  <c:v>1.3333333333333333</c:v>
                </c:pt>
                <c:pt idx="12">
                  <c:v>1.3333333333333333</c:v>
                </c:pt>
                <c:pt idx="13">
                  <c:v>1.3333333333333333</c:v>
                </c:pt>
                <c:pt idx="14">
                  <c:v>1.3333333333333333</c:v>
                </c:pt>
                <c:pt idx="15">
                  <c:v>1.3333333333333333</c:v>
                </c:pt>
                <c:pt idx="16">
                  <c:v>1.3333333333333333</c:v>
                </c:pt>
              </c:numCache>
            </c:numRef>
          </c:xVal>
          <c:yVal>
            <c:numRef>
              <c:f>Calculations!$G$138:$G$154</c:f>
              <c:numCache>
                <c:formatCode>0.00</c:formatCode>
                <c:ptCount val="1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5B5-41E2-847D-C1ACA2F7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276272"/>
        <c:axId val="321693448"/>
      </c:scatterChart>
      <c:valAx>
        <c:axId val="319276272"/>
        <c:scaling>
          <c:orientation val="minMax"/>
          <c:max val="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3448"/>
        <c:crossesAt val="0"/>
        <c:crossBetween val="midCat"/>
        <c:majorUnit val="1"/>
      </c:valAx>
      <c:valAx>
        <c:axId val="321693448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276272"/>
        <c:crossesAt val="0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22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1"/>
          <c:order val="0"/>
          <c:tx>
            <c:strRef>
              <c:f>Calculations!$B$41</c:f>
              <c:strCache>
                <c:ptCount val="1"/>
                <c:pt idx="0">
                  <c:v>Rectangle</c:v>
                </c:pt>
              </c:strCache>
            </c:strRef>
          </c:tx>
          <c:spPr>
            <a:ln w="1905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xVal>
            <c:numRef>
              <c:f>Calculations!$B$43:$B$47</c:f>
              <c:numCache>
                <c:formatCode>0.00</c:formatCode>
                <c:ptCount val="5"/>
                <c:pt idx="0">
                  <c:v>-0.5</c:v>
                </c:pt>
                <c:pt idx="1">
                  <c:v>0.5</c:v>
                </c:pt>
                <c:pt idx="2">
                  <c:v>0.5</c:v>
                </c:pt>
                <c:pt idx="3">
                  <c:v>-0.5</c:v>
                </c:pt>
                <c:pt idx="4">
                  <c:v>-0.5</c:v>
                </c:pt>
              </c:numCache>
            </c:numRef>
          </c:xVal>
          <c:yVal>
            <c:numRef>
              <c:f>Calculations!$K$43:$K$47</c:f>
              <c:numCache>
                <c:formatCode>0.00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0.5</c:v>
                </c:pt>
                <c:pt idx="3">
                  <c:v>0.5</c:v>
                </c:pt>
                <c:pt idx="4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5E-4018-802A-24B4D56F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93840"/>
        <c:axId val="321692664"/>
      </c:scatterChart>
      <c:valAx>
        <c:axId val="32169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2664"/>
        <c:crosses val="autoZero"/>
        <c:crossBetween val="midCat"/>
      </c:valAx>
      <c:valAx>
        <c:axId val="32169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3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Calculations!$C$41</c:f>
              <c:strCache>
                <c:ptCount val="1"/>
                <c:pt idx="0">
                  <c:v>Octagon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Calculations!$L$43:$L$51</c:f>
              <c:numCache>
                <c:formatCode>0.00</c:formatCode>
                <c:ptCount val="9"/>
                <c:pt idx="0">
                  <c:v>-0.5</c:v>
                </c:pt>
                <c:pt idx="1">
                  <c:v>-0.5</c:v>
                </c:pt>
                <c:pt idx="2">
                  <c:v>-0.20710678118654757</c:v>
                </c:pt>
                <c:pt idx="3">
                  <c:v>0.20710678118654757</c:v>
                </c:pt>
                <c:pt idx="4">
                  <c:v>0.5</c:v>
                </c:pt>
                <c:pt idx="5">
                  <c:v>0.5</c:v>
                </c:pt>
                <c:pt idx="6">
                  <c:v>0.20710678118654757</c:v>
                </c:pt>
                <c:pt idx="7">
                  <c:v>-0.20710678118654757</c:v>
                </c:pt>
                <c:pt idx="8">
                  <c:v>-0.5</c:v>
                </c:pt>
              </c:numCache>
            </c:numRef>
          </c:xVal>
          <c:yVal>
            <c:numRef>
              <c:f>Calculations!$C$43:$C$51</c:f>
              <c:numCache>
                <c:formatCode>0.00</c:formatCode>
                <c:ptCount val="9"/>
                <c:pt idx="0">
                  <c:v>-0.20710678118654757</c:v>
                </c:pt>
                <c:pt idx="1">
                  <c:v>0.20710678118654757</c:v>
                </c:pt>
                <c:pt idx="2">
                  <c:v>0.5</c:v>
                </c:pt>
                <c:pt idx="3">
                  <c:v>0.5</c:v>
                </c:pt>
                <c:pt idx="4">
                  <c:v>0.20710678118654757</c:v>
                </c:pt>
                <c:pt idx="5">
                  <c:v>-0.20710678118654757</c:v>
                </c:pt>
                <c:pt idx="6">
                  <c:v>-0.5</c:v>
                </c:pt>
                <c:pt idx="7">
                  <c:v>-0.5</c:v>
                </c:pt>
                <c:pt idx="8">
                  <c:v>-0.20710678118654757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86-475F-BA68-865EE35F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94232"/>
        <c:axId val="321697368"/>
      </c:scatterChart>
      <c:valAx>
        <c:axId val="32169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7368"/>
        <c:crosses val="autoZero"/>
        <c:crossBetween val="midCat"/>
      </c:valAx>
      <c:valAx>
        <c:axId val="32169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4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Calculations!$D$41</c:f>
              <c:strCache>
                <c:ptCount val="1"/>
                <c:pt idx="0">
                  <c:v>Circle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Calculations!$D$43:$D$59</c:f>
              <c:numCache>
                <c:formatCode>0.00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0.35355339059327379</c:v>
                </c:pt>
                <c:pt idx="3">
                  <c:v>0.4330127018922193</c:v>
                </c:pt>
                <c:pt idx="4">
                  <c:v>0.5</c:v>
                </c:pt>
                <c:pt idx="5">
                  <c:v>0.4330127018922193</c:v>
                </c:pt>
                <c:pt idx="6">
                  <c:v>0.35355339059327379</c:v>
                </c:pt>
                <c:pt idx="7">
                  <c:v>0.25</c:v>
                </c:pt>
                <c:pt idx="8">
                  <c:v>0</c:v>
                </c:pt>
                <c:pt idx="9">
                  <c:v>-0.25</c:v>
                </c:pt>
                <c:pt idx="10">
                  <c:v>-0.35355339059327379</c:v>
                </c:pt>
                <c:pt idx="11">
                  <c:v>-0.4330127018922193</c:v>
                </c:pt>
                <c:pt idx="12">
                  <c:v>-0.5</c:v>
                </c:pt>
                <c:pt idx="13">
                  <c:v>-0.4330127018922193</c:v>
                </c:pt>
                <c:pt idx="14">
                  <c:v>-0.35355339059327379</c:v>
                </c:pt>
                <c:pt idx="15">
                  <c:v>-0.25</c:v>
                </c:pt>
                <c:pt idx="16">
                  <c:v>0</c:v>
                </c:pt>
              </c:numCache>
            </c:numRef>
          </c:xVal>
          <c:yVal>
            <c:numRef>
              <c:f>Calculations!$M$43:$M$59</c:f>
              <c:numCache>
                <c:formatCode>0.00</c:formatCode>
                <c:ptCount val="17"/>
                <c:pt idx="0">
                  <c:v>-0.5</c:v>
                </c:pt>
                <c:pt idx="1">
                  <c:v>-0.4330127018922193</c:v>
                </c:pt>
                <c:pt idx="2">
                  <c:v>-0.35355339059327379</c:v>
                </c:pt>
                <c:pt idx="3">
                  <c:v>-0.25</c:v>
                </c:pt>
                <c:pt idx="4">
                  <c:v>0</c:v>
                </c:pt>
                <c:pt idx="5">
                  <c:v>0.25</c:v>
                </c:pt>
                <c:pt idx="6">
                  <c:v>0.35355339059327379</c:v>
                </c:pt>
                <c:pt idx="7">
                  <c:v>0.4330127018922193</c:v>
                </c:pt>
                <c:pt idx="8">
                  <c:v>0.5</c:v>
                </c:pt>
                <c:pt idx="9">
                  <c:v>0.4330127018922193</c:v>
                </c:pt>
                <c:pt idx="10">
                  <c:v>0.35355339059327379</c:v>
                </c:pt>
                <c:pt idx="11">
                  <c:v>0.25</c:v>
                </c:pt>
                <c:pt idx="12">
                  <c:v>0</c:v>
                </c:pt>
                <c:pt idx="13">
                  <c:v>-0.25</c:v>
                </c:pt>
                <c:pt idx="14">
                  <c:v>-0.35355339059327379</c:v>
                </c:pt>
                <c:pt idx="15">
                  <c:v>-0.4330127018922193</c:v>
                </c:pt>
                <c:pt idx="16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0-4C4C-ACC6-1DFF632C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93056"/>
        <c:axId val="321696584"/>
      </c:scatterChart>
      <c:valAx>
        <c:axId val="32169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6584"/>
        <c:crosses val="autoZero"/>
        <c:crossBetween val="midCat"/>
      </c:valAx>
      <c:valAx>
        <c:axId val="32169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3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Calculations!$H$41</c:f>
              <c:strCache>
                <c:ptCount val="1"/>
                <c:pt idx="0">
                  <c:v>Diamond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Calculations!$H$43:$H$47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-0.5</c:v>
                </c:pt>
                <c:pt idx="4">
                  <c:v>0</c:v>
                </c:pt>
              </c:numCache>
            </c:numRef>
          </c:xVal>
          <c:yVal>
            <c:numRef>
              <c:f>Calculations!$Q$43:$Q$47</c:f>
              <c:numCache>
                <c:formatCode>0.00</c:formatCode>
                <c:ptCount val="5"/>
                <c:pt idx="0">
                  <c:v>-0.5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B2-46AE-8FC0-53966DF56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98152"/>
        <c:axId val="321692272"/>
      </c:scatterChart>
      <c:valAx>
        <c:axId val="321698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2272"/>
        <c:crosses val="autoZero"/>
        <c:crossBetween val="midCat"/>
      </c:valAx>
      <c:valAx>
        <c:axId val="32169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98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Calculations!$E$41</c:f>
              <c:strCache>
                <c:ptCount val="1"/>
                <c:pt idx="0">
                  <c:v>Yield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Calculations!$E$43:$E$46</c:f>
              <c:numCache>
                <c:formatCode>0.00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-0.5</c:v>
                </c:pt>
                <c:pt idx="3">
                  <c:v>0</c:v>
                </c:pt>
              </c:numCache>
            </c:numRef>
          </c:xVal>
          <c:yVal>
            <c:numRef>
              <c:f>Calculations!$N$43:$N$46</c:f>
              <c:numCache>
                <c:formatCode>0.00</c:formatCode>
                <c:ptCount val="4"/>
                <c:pt idx="0">
                  <c:v>-0.61</c:v>
                </c:pt>
                <c:pt idx="1">
                  <c:v>0.39</c:v>
                </c:pt>
                <c:pt idx="2">
                  <c:v>0.39</c:v>
                </c:pt>
                <c:pt idx="3">
                  <c:v>-0.61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A3-466C-B583-85B5801D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90992"/>
        <c:axId val="404590600"/>
      </c:scatterChart>
      <c:valAx>
        <c:axId val="40459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0600"/>
        <c:crosses val="autoZero"/>
        <c:crossBetween val="midCat"/>
      </c:valAx>
      <c:valAx>
        <c:axId val="40459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0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Calculations!$G$41</c:f>
              <c:strCache>
                <c:ptCount val="1"/>
                <c:pt idx="0">
                  <c:v>School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Calculations!$G$43:$G$48</c:f>
              <c:numCache>
                <c:formatCode>0.00</c:formatCode>
                <c:ptCount val="6"/>
                <c:pt idx="0">
                  <c:v>-0.5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-0.5</c:v>
                </c:pt>
                <c:pt idx="5">
                  <c:v>-0.5</c:v>
                </c:pt>
              </c:numCache>
            </c:numRef>
          </c:xVal>
          <c:yVal>
            <c:numRef>
              <c:f>Calculations!$P$43:$P$48</c:f>
              <c:numCache>
                <c:formatCode>0.00</c:formatCode>
                <c:ptCount val="6"/>
                <c:pt idx="0">
                  <c:v>-0.38</c:v>
                </c:pt>
                <c:pt idx="1">
                  <c:v>-0.38</c:v>
                </c:pt>
                <c:pt idx="2">
                  <c:v>0.12</c:v>
                </c:pt>
                <c:pt idx="3">
                  <c:v>0.62</c:v>
                </c:pt>
                <c:pt idx="4">
                  <c:v>0.12</c:v>
                </c:pt>
                <c:pt idx="5">
                  <c:v>-0.38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64-46DD-933B-C562930B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91776"/>
        <c:axId val="404588248"/>
      </c:scatterChart>
      <c:valAx>
        <c:axId val="40459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8248"/>
        <c:crosses val="autoZero"/>
        <c:crossBetween val="midCat"/>
      </c:valAx>
      <c:valAx>
        <c:axId val="40458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1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Calculations!$F$41</c:f>
              <c:strCache>
                <c:ptCount val="1"/>
                <c:pt idx="0">
                  <c:v>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Calculations!$F$43:$F$48</c:f>
              <c:numCache>
                <c:formatCode>0.00</c:formatCode>
                <c:ptCount val="6"/>
                <c:pt idx="0">
                  <c:v>-0.28000000000000003</c:v>
                </c:pt>
                <c:pt idx="1">
                  <c:v>0.28000000000000003</c:v>
                </c:pt>
                <c:pt idx="2">
                  <c:v>0.5</c:v>
                </c:pt>
                <c:pt idx="3">
                  <c:v>0</c:v>
                </c:pt>
                <c:pt idx="4">
                  <c:v>-0.5</c:v>
                </c:pt>
                <c:pt idx="5">
                  <c:v>-0.28000000000000003</c:v>
                </c:pt>
              </c:numCache>
            </c:numRef>
          </c:xVal>
          <c:yVal>
            <c:numRef>
              <c:f>Calculations!$O$43:$O$48</c:f>
              <c:numCache>
                <c:formatCode>0.00</c:formatCode>
                <c:ptCount val="6"/>
                <c:pt idx="0">
                  <c:v>-0.48</c:v>
                </c:pt>
                <c:pt idx="1">
                  <c:v>-0.48</c:v>
                </c:pt>
                <c:pt idx="2">
                  <c:v>0.34</c:v>
                </c:pt>
                <c:pt idx="3">
                  <c:v>0.52</c:v>
                </c:pt>
                <c:pt idx="4">
                  <c:v>0.34</c:v>
                </c:pt>
                <c:pt idx="5">
                  <c:v>-0.48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4C-49AC-A03D-E7FF72563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92168"/>
        <c:axId val="404592952"/>
      </c:scatterChart>
      <c:valAx>
        <c:axId val="40459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2952"/>
        <c:crosses val="autoZero"/>
        <c:crossBetween val="midCat"/>
      </c:valAx>
      <c:valAx>
        <c:axId val="40459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92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1443569553805E-2"/>
          <c:y val="0.14393518518518519"/>
          <c:w val="0.79632395412938961"/>
          <c:h val="0.80513888888888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Calculations!$I$41</c:f>
              <c:strCache>
                <c:ptCount val="1"/>
                <c:pt idx="0">
                  <c:v>Shield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Calculations!$I$43:$I$59</c:f>
              <c:numCache>
                <c:formatCode>0.00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0.35355339059327379</c:v>
                </c:pt>
                <c:pt idx="3">
                  <c:v>0.5</c:v>
                </c:pt>
                <c:pt idx="4">
                  <c:v>0.42355339059327379</c:v>
                </c:pt>
                <c:pt idx="5">
                  <c:v>0.32500000000000001</c:v>
                </c:pt>
                <c:pt idx="6">
                  <c:v>0.21666666666666667</c:v>
                </c:pt>
                <c:pt idx="7">
                  <c:v>0.10833333333333334</c:v>
                </c:pt>
                <c:pt idx="8">
                  <c:v>0</c:v>
                </c:pt>
                <c:pt idx="9">
                  <c:v>-0.10833333333333334</c:v>
                </c:pt>
                <c:pt idx="10">
                  <c:v>-0.21666666666666667</c:v>
                </c:pt>
                <c:pt idx="11">
                  <c:v>-0.32500000000000001</c:v>
                </c:pt>
                <c:pt idx="12">
                  <c:v>-0.42355339059327379</c:v>
                </c:pt>
                <c:pt idx="13">
                  <c:v>-0.5</c:v>
                </c:pt>
                <c:pt idx="14">
                  <c:v>-0.35355339059327379</c:v>
                </c:pt>
                <c:pt idx="15">
                  <c:v>-0.25</c:v>
                </c:pt>
                <c:pt idx="16">
                  <c:v>0</c:v>
                </c:pt>
              </c:numCache>
            </c:numRef>
          </c:xVal>
          <c:yVal>
            <c:numRef>
              <c:f>Calculations!$R$43:$R$59</c:f>
              <c:numCache>
                <c:formatCode>0.00</c:formatCode>
                <c:ptCount val="17"/>
                <c:pt idx="0">
                  <c:v>-0.55000000000000004</c:v>
                </c:pt>
                <c:pt idx="1">
                  <c:v>-0.4330127018922193</c:v>
                </c:pt>
                <c:pt idx="2">
                  <c:v>-0.35355339059327379</c:v>
                </c:pt>
                <c:pt idx="3">
                  <c:v>0</c:v>
                </c:pt>
                <c:pt idx="4">
                  <c:v>0.3035533905932738</c:v>
                </c:pt>
                <c:pt idx="5">
                  <c:v>0.44999999999999996</c:v>
                </c:pt>
                <c:pt idx="6">
                  <c:v>0.42</c:v>
                </c:pt>
                <c:pt idx="7">
                  <c:v>0.42</c:v>
                </c:pt>
                <c:pt idx="8">
                  <c:v>0.44999999999999996</c:v>
                </c:pt>
                <c:pt idx="9">
                  <c:v>0.42</c:v>
                </c:pt>
                <c:pt idx="10">
                  <c:v>0.42</c:v>
                </c:pt>
                <c:pt idx="11">
                  <c:v>0.44999999999999996</c:v>
                </c:pt>
                <c:pt idx="12">
                  <c:v>0.3035533905932738</c:v>
                </c:pt>
                <c:pt idx="13">
                  <c:v>0</c:v>
                </c:pt>
                <c:pt idx="14">
                  <c:v>-0.35355339059327379</c:v>
                </c:pt>
                <c:pt idx="15">
                  <c:v>-0.4330127018922193</c:v>
                </c:pt>
                <c:pt idx="16">
                  <c:v>-0.55000000000000004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A5-42D9-B808-A3B42EF97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89032"/>
        <c:axId val="404589424"/>
      </c:scatterChart>
      <c:valAx>
        <c:axId val="404589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9424"/>
        <c:crosses val="autoZero"/>
        <c:crossBetween val="midCat"/>
      </c:valAx>
      <c:valAx>
        <c:axId val="40458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cross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9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22" fmlaLink="$G$6" fmlaRange="Calculations!$T$42:$T$50" noThreeD="1" sel="2" val="0"/>
</file>

<file path=xl/ctrlProps/ctrlProp2.xml><?xml version="1.0" encoding="utf-8"?>
<formControlPr xmlns="http://schemas.microsoft.com/office/spreadsheetml/2009/9/main" objectType="List" dx="22" fmlaLink="$M$6" fmlaRange="Calculations!$T$42:$T$50" noThreeD="1" sel="2" val="0"/>
</file>

<file path=xl/ctrlProps/ctrlProp3.xml><?xml version="1.0" encoding="utf-8"?>
<formControlPr xmlns="http://schemas.microsoft.com/office/spreadsheetml/2009/9/main" objectType="List" dx="22" fmlaLink="$G$8" fmlaRange="Calculations!$T$42:$T$50" noThreeD="1" sel="2" val="0"/>
</file>

<file path=xl/ctrlProps/ctrlProp4.xml><?xml version="1.0" encoding="utf-8"?>
<formControlPr xmlns="http://schemas.microsoft.com/office/spreadsheetml/2009/9/main" objectType="List" dx="22" fmlaLink="$M$8" fmlaRange="Calculations!$T$42:$T$50" noThreeD="1" sel="6" val="0"/>
</file>

<file path=xl/ctrlProps/ctrlProp5.xml><?xml version="1.0" encoding="utf-8"?>
<formControlPr xmlns="http://schemas.microsoft.com/office/spreadsheetml/2009/9/main" objectType="List" dx="22" fmlaLink="$G$10" fmlaRange="Calculations!$T$42:$T$50" noThreeD="1" sel="2" val="0"/>
</file>

<file path=xl/ctrlProps/ctrlProp6.xml><?xml version="1.0" encoding="utf-8"?>
<formControlPr xmlns="http://schemas.microsoft.com/office/spreadsheetml/2009/9/main" objectType="List" dx="22" fmlaLink="$M$10" fmlaRange="Calculations!$T$42:$T$50" noThreeD="1" sel="2" val="0"/>
</file>

<file path=xl/ctrlProps/ctrlProp7.xml><?xml version="1.0" encoding="utf-8"?>
<formControlPr xmlns="http://schemas.microsoft.com/office/spreadsheetml/2009/9/main" objectType="List" dx="22" fmlaLink="$G$12" fmlaRange="Calculations!$T$42:$T$50" noThreeD="1" sel="1" val="0"/>
</file>

<file path=xl/ctrlProps/ctrlProp8.xml><?xml version="1.0" encoding="utf-8"?>
<formControlPr xmlns="http://schemas.microsoft.com/office/spreadsheetml/2009/9/main" objectType="List" dx="22" fmlaLink="$M$12" fmlaRange="Calculations!$T$42:$T$50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</xdr:row>
          <xdr:rowOff>47625</xdr:rowOff>
        </xdr:from>
        <xdr:to>
          <xdr:col>6</xdr:col>
          <xdr:colOff>942975</xdr:colOff>
          <xdr:row>6</xdr:row>
          <xdr:rowOff>581025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5</xdr:row>
          <xdr:rowOff>57150</xdr:rowOff>
        </xdr:from>
        <xdr:to>
          <xdr:col>12</xdr:col>
          <xdr:colOff>942975</xdr:colOff>
          <xdr:row>6</xdr:row>
          <xdr:rowOff>590550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</xdr:row>
          <xdr:rowOff>47625</xdr:rowOff>
        </xdr:from>
        <xdr:to>
          <xdr:col>6</xdr:col>
          <xdr:colOff>952500</xdr:colOff>
          <xdr:row>8</xdr:row>
          <xdr:rowOff>581025</xdr:rowOff>
        </xdr:to>
        <xdr:sp macro="" textlink="">
          <xdr:nvSpPr>
            <xdr:cNvPr id="2051" name="List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</xdr:row>
          <xdr:rowOff>76200</xdr:rowOff>
        </xdr:from>
        <xdr:to>
          <xdr:col>12</xdr:col>
          <xdr:colOff>942975</xdr:colOff>
          <xdr:row>8</xdr:row>
          <xdr:rowOff>609600</xdr:rowOff>
        </xdr:to>
        <xdr:sp macro="" textlink="">
          <xdr:nvSpPr>
            <xdr:cNvPr id="2052" name="List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47625</xdr:rowOff>
        </xdr:from>
        <xdr:to>
          <xdr:col>6</xdr:col>
          <xdr:colOff>952500</xdr:colOff>
          <xdr:row>10</xdr:row>
          <xdr:rowOff>581025</xdr:rowOff>
        </xdr:to>
        <xdr:sp macro="" textlink="">
          <xdr:nvSpPr>
            <xdr:cNvPr id="2053" name="List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9</xdr:row>
          <xdr:rowOff>47625</xdr:rowOff>
        </xdr:from>
        <xdr:to>
          <xdr:col>12</xdr:col>
          <xdr:colOff>952500</xdr:colOff>
          <xdr:row>10</xdr:row>
          <xdr:rowOff>581025</xdr:rowOff>
        </xdr:to>
        <xdr:sp macro="" textlink="">
          <xdr:nvSpPr>
            <xdr:cNvPr id="2054" name="List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47625</xdr:rowOff>
        </xdr:from>
        <xdr:to>
          <xdr:col>6</xdr:col>
          <xdr:colOff>952500</xdr:colOff>
          <xdr:row>12</xdr:row>
          <xdr:rowOff>581025</xdr:rowOff>
        </xdr:to>
        <xdr:sp macro="" textlink="">
          <xdr:nvSpPr>
            <xdr:cNvPr id="2055" name="List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66675</xdr:rowOff>
        </xdr:from>
        <xdr:to>
          <xdr:col>12</xdr:col>
          <xdr:colOff>942975</xdr:colOff>
          <xdr:row>12</xdr:row>
          <xdr:rowOff>600075</xdr:rowOff>
        </xdr:to>
        <xdr:sp macro="" textlink="">
          <xdr:nvSpPr>
            <xdr:cNvPr id="2056" name="List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962025</xdr:colOff>
      <xdr:row>5</xdr:row>
      <xdr:rowOff>0</xdr:rowOff>
    </xdr:from>
    <xdr:to>
      <xdr:col>11</xdr:col>
      <xdr:colOff>666749</xdr:colOff>
      <xdr:row>13</xdr:row>
      <xdr:rowOff>0</xdr:rowOff>
    </xdr:to>
    <xdr:graphicFrame macro="">
      <xdr:nvGraphicFramePr>
        <xdr:cNvPr id="13" name="Chart 12" title="Sign Elevatio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23812</xdr:rowOff>
    </xdr:from>
    <xdr:to>
      <xdr:col>1</xdr:col>
      <xdr:colOff>28575</xdr:colOff>
      <xdr:row>67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3</xdr:col>
      <xdr:colOff>28575</xdr:colOff>
      <xdr:row>67</xdr:row>
      <xdr:rowOff>90488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61</xdr:row>
      <xdr:rowOff>0</xdr:rowOff>
    </xdr:from>
    <xdr:to>
      <xdr:col>5</xdr:col>
      <xdr:colOff>28575</xdr:colOff>
      <xdr:row>67</xdr:row>
      <xdr:rowOff>90488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61</xdr:row>
      <xdr:rowOff>0</xdr:rowOff>
    </xdr:from>
    <xdr:to>
      <xdr:col>13</xdr:col>
      <xdr:colOff>28575</xdr:colOff>
      <xdr:row>67</xdr:row>
      <xdr:rowOff>90488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61</xdr:row>
      <xdr:rowOff>0</xdr:rowOff>
    </xdr:from>
    <xdr:to>
      <xdr:col>7</xdr:col>
      <xdr:colOff>28575</xdr:colOff>
      <xdr:row>67</xdr:row>
      <xdr:rowOff>90488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28575</xdr:colOff>
      <xdr:row>67</xdr:row>
      <xdr:rowOff>90488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61</xdr:row>
      <xdr:rowOff>0</xdr:rowOff>
    </xdr:from>
    <xdr:to>
      <xdr:col>9</xdr:col>
      <xdr:colOff>28575</xdr:colOff>
      <xdr:row>67</xdr:row>
      <xdr:rowOff>90488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60</xdr:row>
      <xdr:rowOff>180975</xdr:rowOff>
    </xdr:from>
    <xdr:to>
      <xdr:col>15</xdr:col>
      <xdr:colOff>28575</xdr:colOff>
      <xdr:row>67</xdr:row>
      <xdr:rowOff>47624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zoomScaleNormal="100" workbookViewId="0"/>
  </sheetViews>
  <sheetFormatPr defaultRowHeight="15" x14ac:dyDescent="0.25"/>
  <cols>
    <col min="1" max="1" width="3" customWidth="1"/>
    <col min="2" max="2" width="4.7109375" customWidth="1"/>
    <col min="3" max="6" width="8.7109375" customWidth="1"/>
    <col min="7" max="7" width="14.7109375" customWidth="1"/>
    <col min="8" max="12" width="10.7109375" customWidth="1"/>
    <col min="13" max="13" width="14.7109375" customWidth="1"/>
    <col min="14" max="14" width="8.7109375" customWidth="1"/>
    <col min="15" max="17" width="8.7109375" style="1" customWidth="1"/>
    <col min="18" max="18" width="4.7109375" style="1" customWidth="1"/>
    <col min="19" max="19" width="5.140625" customWidth="1"/>
    <col min="20" max="22" width="10.7109375" customWidth="1"/>
  </cols>
  <sheetData>
    <row r="1" spans="1:20" ht="7.5" customHeight="1" thickBot="1" x14ac:dyDescent="0.3">
      <c r="A1" s="51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8"/>
      <c r="N1" s="48"/>
      <c r="O1" s="49"/>
      <c r="P1" s="50"/>
      <c r="Q1" s="44"/>
      <c r="R1" s="50"/>
      <c r="S1" s="44"/>
      <c r="T1" s="43"/>
    </row>
    <row r="2" spans="1:20" ht="6" customHeight="1" x14ac:dyDescent="0.25">
      <c r="A2" s="51"/>
      <c r="B2" s="67"/>
      <c r="C2" s="46"/>
      <c r="D2" s="46"/>
      <c r="E2" s="46"/>
      <c r="F2" s="46"/>
      <c r="G2" s="46"/>
      <c r="H2" s="46"/>
      <c r="I2" s="46"/>
      <c r="J2" s="46"/>
      <c r="K2" s="46"/>
      <c r="L2" s="46"/>
      <c r="M2" s="68"/>
      <c r="N2" s="68"/>
      <c r="O2" s="69"/>
      <c r="P2" s="47"/>
      <c r="Q2" s="47"/>
      <c r="R2" s="66"/>
      <c r="S2" s="44"/>
      <c r="T2" s="43"/>
    </row>
    <row r="3" spans="1:20" ht="15" customHeight="1" thickBot="1" x14ac:dyDescent="0.35">
      <c r="A3" s="51"/>
      <c r="B3" s="58"/>
      <c r="C3" s="254" t="s">
        <v>95</v>
      </c>
      <c r="D3" s="254"/>
      <c r="E3" s="254"/>
      <c r="F3" s="254"/>
      <c r="G3" s="254"/>
      <c r="H3" s="255"/>
      <c r="I3" s="81"/>
      <c r="J3" s="137"/>
      <c r="K3" s="115"/>
      <c r="M3" s="81"/>
      <c r="N3" s="81"/>
      <c r="O3" s="115"/>
      <c r="P3" s="115"/>
      <c r="Q3" s="115"/>
      <c r="R3" s="60"/>
      <c r="S3" s="44"/>
      <c r="T3" s="43"/>
    </row>
    <row r="4" spans="1:20" ht="15" customHeight="1" thickBot="1" x14ac:dyDescent="0.3">
      <c r="A4" s="51"/>
      <c r="B4" s="58"/>
      <c r="C4" s="138" t="s">
        <v>54</v>
      </c>
      <c r="D4" s="136"/>
      <c r="E4" s="138"/>
      <c r="F4" s="138"/>
      <c r="G4" s="115"/>
      <c r="H4" s="115"/>
      <c r="I4" s="252" t="s">
        <v>23</v>
      </c>
      <c r="J4" s="253"/>
      <c r="K4" s="127">
        <v>8</v>
      </c>
      <c r="L4" s="81" t="s">
        <v>25</v>
      </c>
      <c r="M4" s="81"/>
      <c r="N4" s="82"/>
      <c r="O4" s="115"/>
      <c r="P4" s="115"/>
      <c r="Q4" s="115"/>
      <c r="R4" s="60"/>
      <c r="S4" s="44"/>
      <c r="T4" s="43"/>
    </row>
    <row r="5" spans="1:20" ht="5.25" customHeight="1" thickBot="1" x14ac:dyDescent="0.3">
      <c r="A5" s="51"/>
      <c r="B5" s="58"/>
      <c r="C5" s="44"/>
      <c r="D5" s="44"/>
      <c r="E5" s="44"/>
      <c r="F5" s="44"/>
      <c r="G5" s="44"/>
      <c r="H5" s="44"/>
      <c r="I5" s="44"/>
      <c r="J5" s="44"/>
      <c r="K5" s="44"/>
      <c r="L5" s="44"/>
      <c r="O5" s="50"/>
      <c r="P5" s="50"/>
      <c r="Q5" s="50"/>
      <c r="R5" s="60"/>
      <c r="S5" s="44"/>
    </row>
    <row r="6" spans="1:20" ht="51.95" customHeight="1" thickTop="1" thickBot="1" x14ac:dyDescent="0.3">
      <c r="A6" s="51"/>
      <c r="B6" s="58"/>
      <c r="C6" s="87" t="s">
        <v>22</v>
      </c>
      <c r="D6" s="88" t="s">
        <v>21</v>
      </c>
      <c r="E6" s="98" t="s">
        <v>90</v>
      </c>
      <c r="F6" s="90" t="s">
        <v>92</v>
      </c>
      <c r="G6" s="128">
        <v>2</v>
      </c>
      <c r="H6" s="35"/>
      <c r="I6" s="35"/>
      <c r="J6" s="35"/>
      <c r="K6" s="35"/>
      <c r="L6" s="35"/>
      <c r="M6" s="132">
        <v>2</v>
      </c>
      <c r="N6" s="76" t="s">
        <v>90</v>
      </c>
      <c r="O6" s="75" t="s">
        <v>93</v>
      </c>
      <c r="P6" s="77" t="s">
        <v>21</v>
      </c>
      <c r="Q6" s="74" t="s">
        <v>22</v>
      </c>
      <c r="R6" s="60"/>
      <c r="S6" s="45"/>
    </row>
    <row r="7" spans="1:20" ht="51.95" customHeight="1" thickBot="1" x14ac:dyDescent="0.3">
      <c r="A7" s="51"/>
      <c r="B7" s="58"/>
      <c r="C7" s="95">
        <f>IF($G$6&gt;1,Calculations!B74,0)</f>
        <v>11.916666666666668</v>
      </c>
      <c r="D7" s="94">
        <f>Calculations!C91</f>
        <v>2</v>
      </c>
      <c r="E7" s="116">
        <v>24</v>
      </c>
      <c r="F7" s="117">
        <v>12</v>
      </c>
      <c r="G7" s="38"/>
      <c r="H7" s="9"/>
      <c r="I7" s="9"/>
      <c r="J7" s="9"/>
      <c r="K7" s="9"/>
      <c r="L7" s="9"/>
      <c r="M7" s="54"/>
      <c r="N7" s="118">
        <v>24</v>
      </c>
      <c r="O7" s="119">
        <v>12</v>
      </c>
      <c r="P7" s="92">
        <f>Calculations!H91</f>
        <v>2</v>
      </c>
      <c r="Q7" s="97">
        <f>IF($M$6&gt;1,Calculations!G74,0)</f>
        <v>12.416666666666666</v>
      </c>
      <c r="R7" s="60"/>
      <c r="S7" s="44"/>
    </row>
    <row r="8" spans="1:20" ht="51.95" customHeight="1" thickTop="1" thickBot="1" x14ac:dyDescent="0.3">
      <c r="A8" s="51"/>
      <c r="B8" s="58"/>
      <c r="C8" s="87" t="s">
        <v>22</v>
      </c>
      <c r="D8" s="88" t="s">
        <v>21</v>
      </c>
      <c r="E8" s="89" t="s">
        <v>90</v>
      </c>
      <c r="F8" s="90" t="s">
        <v>93</v>
      </c>
      <c r="G8" s="129">
        <v>2</v>
      </c>
      <c r="H8" s="9"/>
      <c r="I8" s="9"/>
      <c r="J8" s="9"/>
      <c r="K8" s="9"/>
      <c r="L8" s="9"/>
      <c r="M8" s="133">
        <v>6</v>
      </c>
      <c r="N8" s="78" t="s">
        <v>91</v>
      </c>
      <c r="O8" s="75" t="s">
        <v>93</v>
      </c>
      <c r="P8" s="77" t="s">
        <v>21</v>
      </c>
      <c r="Q8" s="74" t="s">
        <v>22</v>
      </c>
      <c r="R8" s="60"/>
      <c r="S8" s="44"/>
    </row>
    <row r="9" spans="1:20" ht="51.95" customHeight="1" thickBot="1" x14ac:dyDescent="0.3">
      <c r="A9" s="51"/>
      <c r="B9" s="58"/>
      <c r="C9" s="96">
        <f>IF($G$8&gt;1,Calculations!B95,0)</f>
        <v>10.333333333333334</v>
      </c>
      <c r="D9" s="93">
        <f>Calculations!C112</f>
        <v>5</v>
      </c>
      <c r="E9" s="122">
        <v>30</v>
      </c>
      <c r="F9" s="121">
        <v>24</v>
      </c>
      <c r="G9" s="53"/>
      <c r="H9" s="9"/>
      <c r="I9" s="9"/>
      <c r="J9" s="9"/>
      <c r="K9" s="9"/>
      <c r="L9" s="9"/>
      <c r="M9" s="55"/>
      <c r="N9" s="120">
        <v>30</v>
      </c>
      <c r="O9" s="119">
        <v>12</v>
      </c>
      <c r="P9" s="92">
        <f>Calculations!H112</f>
        <v>4.75</v>
      </c>
      <c r="Q9" s="97">
        <f>IF($M$8&gt;1,Calculations!G95,0)</f>
        <v>10.533333333333333</v>
      </c>
      <c r="R9" s="60"/>
      <c r="S9" s="44"/>
    </row>
    <row r="10" spans="1:20" ht="51.95" customHeight="1" thickTop="1" thickBot="1" x14ac:dyDescent="0.3">
      <c r="A10" s="51"/>
      <c r="B10" s="58"/>
      <c r="C10" s="87" t="s">
        <v>22</v>
      </c>
      <c r="D10" s="88" t="s">
        <v>21</v>
      </c>
      <c r="E10" s="91" t="s">
        <v>90</v>
      </c>
      <c r="F10" s="90" t="s">
        <v>93</v>
      </c>
      <c r="G10" s="130">
        <v>2</v>
      </c>
      <c r="H10" s="9"/>
      <c r="I10" s="9"/>
      <c r="J10" s="9"/>
      <c r="K10" s="9"/>
      <c r="L10" s="9"/>
      <c r="M10" s="134">
        <v>2</v>
      </c>
      <c r="N10" s="79" t="s">
        <v>91</v>
      </c>
      <c r="O10" s="75" t="s">
        <v>93</v>
      </c>
      <c r="P10" s="77" t="s">
        <v>21</v>
      </c>
      <c r="Q10" s="74" t="s">
        <v>22</v>
      </c>
      <c r="R10" s="60"/>
      <c r="S10" s="44"/>
    </row>
    <row r="11" spans="1:20" ht="51.95" customHeight="1" thickBot="1" x14ac:dyDescent="0.3">
      <c r="A11" s="51"/>
      <c r="B11" s="58"/>
      <c r="C11" s="96">
        <f>IF($G$10&gt;1,Calculations!B116,0)</f>
        <v>8.625</v>
      </c>
      <c r="D11" s="93">
        <f>Calculations!C133</f>
        <v>2.1875</v>
      </c>
      <c r="E11" s="123">
        <v>21</v>
      </c>
      <c r="F11" s="121">
        <v>15</v>
      </c>
      <c r="G11" s="37"/>
      <c r="H11" s="9"/>
      <c r="I11" s="9"/>
      <c r="J11" s="9"/>
      <c r="K11" s="9"/>
      <c r="L11" s="9"/>
      <c r="M11" s="56"/>
      <c r="N11" s="124">
        <v>21</v>
      </c>
      <c r="O11" s="119">
        <v>15</v>
      </c>
      <c r="P11" s="92">
        <f>Calculations!H133</f>
        <v>2.1875</v>
      </c>
      <c r="Q11" s="97">
        <f>IF($M$10&gt;1,Calculations!G116,0)</f>
        <v>8.625</v>
      </c>
      <c r="R11" s="60"/>
      <c r="S11" s="44"/>
    </row>
    <row r="12" spans="1:20" ht="51.95" customHeight="1" thickTop="1" thickBot="1" x14ac:dyDescent="0.3">
      <c r="A12" s="51"/>
      <c r="B12" s="58"/>
      <c r="C12" s="87" t="s">
        <v>22</v>
      </c>
      <c r="D12" s="88" t="s">
        <v>21</v>
      </c>
      <c r="E12" s="91" t="s">
        <v>90</v>
      </c>
      <c r="F12" s="99" t="s">
        <v>93</v>
      </c>
      <c r="G12" s="131">
        <v>1</v>
      </c>
      <c r="H12" s="9"/>
      <c r="I12" s="9"/>
      <c r="J12" s="9"/>
      <c r="K12" s="9"/>
      <c r="L12" s="9"/>
      <c r="M12" s="135">
        <v>1</v>
      </c>
      <c r="N12" s="80" t="s">
        <v>90</v>
      </c>
      <c r="O12" s="75" t="s">
        <v>93</v>
      </c>
      <c r="P12" s="77" t="s">
        <v>21</v>
      </c>
      <c r="Q12" s="74" t="s">
        <v>22</v>
      </c>
      <c r="R12" s="60"/>
      <c r="S12" s="44"/>
    </row>
    <row r="13" spans="1:20" ht="51.95" customHeight="1" thickBot="1" x14ac:dyDescent="0.3">
      <c r="A13" s="51"/>
      <c r="B13" s="58"/>
      <c r="C13" s="96">
        <f>IF($G$12&gt;1,Calculations!B137,0)</f>
        <v>0</v>
      </c>
      <c r="D13" s="93">
        <f>Calculations!C154</f>
        <v>0</v>
      </c>
      <c r="E13" s="123">
        <v>24</v>
      </c>
      <c r="F13" s="126">
        <v>15</v>
      </c>
      <c r="G13" s="36"/>
      <c r="H13" s="33"/>
      <c r="I13" s="33"/>
      <c r="J13" s="33"/>
      <c r="K13" s="33"/>
      <c r="L13" s="33"/>
      <c r="M13" s="57"/>
      <c r="N13" s="125">
        <v>24</v>
      </c>
      <c r="O13" s="119">
        <v>15</v>
      </c>
      <c r="P13" s="92">
        <f>Calculations!H154</f>
        <v>0</v>
      </c>
      <c r="Q13" s="97">
        <f>IF($M$12&gt;1,Calculations!G137,0)</f>
        <v>0</v>
      </c>
      <c r="R13" s="60"/>
      <c r="S13" s="44"/>
    </row>
    <row r="14" spans="1:20" ht="15" customHeight="1" thickTop="1" thickBot="1" x14ac:dyDescent="0.3">
      <c r="A14" s="51"/>
      <c r="B14" s="58"/>
      <c r="C14" s="44"/>
      <c r="D14" s="44"/>
      <c r="E14" s="44"/>
      <c r="F14" s="44"/>
      <c r="G14" s="59"/>
      <c r="H14" s="59"/>
      <c r="I14" s="59"/>
      <c r="J14" s="59"/>
      <c r="K14" s="59"/>
      <c r="L14" s="59"/>
      <c r="M14" s="59"/>
      <c r="N14" s="50"/>
      <c r="O14" s="50"/>
      <c r="P14" s="50"/>
      <c r="Q14" s="50"/>
      <c r="R14" s="60"/>
      <c r="S14" s="44"/>
    </row>
    <row r="15" spans="1:20" ht="15" customHeight="1" thickBot="1" x14ac:dyDescent="0.3">
      <c r="A15" s="51"/>
      <c r="B15" s="70"/>
      <c r="C15" s="85"/>
      <c r="D15" s="249" t="s">
        <v>32</v>
      </c>
      <c r="E15" s="249"/>
      <c r="F15" s="83">
        <f>SUM(D7:D13)+SUM(P7:P13)</f>
        <v>18.125</v>
      </c>
      <c r="G15" s="248" t="str">
        <f>IF(F15&gt;30,"Warning: FDOT maximum area exceeded", "")</f>
        <v/>
      </c>
      <c r="H15" s="71"/>
      <c r="I15" s="86"/>
      <c r="J15" s="139"/>
      <c r="K15" s="139"/>
      <c r="M15" s="250" t="s">
        <v>55</v>
      </c>
      <c r="N15" s="250"/>
      <c r="O15" s="251"/>
      <c r="P15" s="84">
        <f>Calculations!L34</f>
        <v>4</v>
      </c>
      <c r="Q15" s="83"/>
      <c r="R15" s="60"/>
      <c r="S15" s="44"/>
    </row>
    <row r="16" spans="1:20" ht="15" customHeight="1" x14ac:dyDescent="0.25">
      <c r="A16" s="51"/>
      <c r="B16" s="2"/>
      <c r="C16" s="249" t="s">
        <v>24</v>
      </c>
      <c r="D16" s="249"/>
      <c r="E16" s="249"/>
      <c r="F16" s="83">
        <f>(C7*D7+C9*D9+C11*D11+C13*D13+P7*Q7+P9*Q9+P11*Q11+P13*Q13)/(F15)</f>
        <v>10.377988505747126</v>
      </c>
      <c r="G16" s="44"/>
      <c r="H16" s="71"/>
      <c r="I16" s="139"/>
      <c r="J16" s="139"/>
      <c r="K16" s="250"/>
      <c r="L16" s="250"/>
      <c r="M16" s="250"/>
      <c r="N16" s="250"/>
      <c r="O16" s="250"/>
      <c r="P16" s="244"/>
      <c r="Q16" s="73"/>
      <c r="R16" s="60"/>
      <c r="S16" s="44"/>
    </row>
    <row r="17" spans="1:19" ht="15" customHeight="1" x14ac:dyDescent="0.25">
      <c r="A17" s="51"/>
      <c r="B17" s="2"/>
      <c r="C17" s="246"/>
      <c r="D17" s="246"/>
      <c r="E17" s="246" t="s">
        <v>94</v>
      </c>
      <c r="F17" s="83">
        <f>MAX(E7,E9,E11,E13)+MAX(N7,N9,N11,N13)</f>
        <v>60</v>
      </c>
      <c r="G17" s="248" t="str">
        <f>IF(F17&gt;60, "Warning: FDOT maximum width exceeded","")</f>
        <v/>
      </c>
      <c r="H17" s="71"/>
      <c r="J17" s="139"/>
      <c r="K17" s="247"/>
      <c r="L17" s="247"/>
      <c r="M17" s="247"/>
      <c r="N17" s="247"/>
      <c r="O17" s="247"/>
      <c r="P17" s="139"/>
      <c r="Q17" s="73"/>
      <c r="R17" s="60"/>
      <c r="S17" s="44"/>
    </row>
    <row r="18" spans="1:19" ht="15" customHeight="1" thickBot="1" x14ac:dyDescent="0.3">
      <c r="A18" s="51"/>
      <c r="B18" s="61"/>
      <c r="C18" s="62"/>
      <c r="D18" s="62"/>
      <c r="E18" s="62"/>
      <c r="F18" s="62"/>
      <c r="G18" s="62"/>
      <c r="H18" s="62"/>
      <c r="I18" s="63"/>
      <c r="J18" s="62"/>
      <c r="K18" s="62"/>
      <c r="L18" s="62"/>
      <c r="M18" s="62"/>
      <c r="N18" s="62"/>
      <c r="O18" s="64"/>
      <c r="P18" s="64"/>
      <c r="Q18" s="64"/>
      <c r="R18" s="65"/>
      <c r="S18" s="44"/>
    </row>
    <row r="19" spans="1:19" x14ac:dyDescent="0.25">
      <c r="A19" s="51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47"/>
      <c r="R19" s="47"/>
      <c r="S19" s="44"/>
    </row>
    <row r="20" spans="1:19" ht="9.7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/>
      <c r="P20" s="52"/>
      <c r="Q20" s="52"/>
      <c r="R20" s="52"/>
      <c r="S20" s="51"/>
    </row>
  </sheetData>
  <sheetProtection sheet="1" objects="1" scenarios="1"/>
  <mergeCells count="6">
    <mergeCell ref="C3:H3"/>
    <mergeCell ref="D15:E15"/>
    <mergeCell ref="C16:E16"/>
    <mergeCell ref="K16:O16"/>
    <mergeCell ref="M15:O15"/>
    <mergeCell ref="I4:J4"/>
  </mergeCells>
  <conditionalFormatting sqref="G15">
    <cfRule type="expression" dxfId="32" priority="2">
      <formula>$F$15&gt;30</formula>
    </cfRule>
  </conditionalFormatting>
  <conditionalFormatting sqref="G17">
    <cfRule type="expression" dxfId="31" priority="1">
      <formula>$F$17&gt;60</formula>
    </cfRule>
  </conditionalFormatting>
  <pageMargins left="0.25" right="0.25" top="0.75" bottom="0.75" header="0.3" footer="0.3"/>
  <pageSetup scale="8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locked="0" defaultSize="0" autoLine="0" autoPict="0">
                <anchor moveWithCells="1">
                  <from>
                    <xdr:col>6</xdr:col>
                    <xdr:colOff>28575</xdr:colOff>
                    <xdr:row>5</xdr:row>
                    <xdr:rowOff>47625</xdr:rowOff>
                  </from>
                  <to>
                    <xdr:col>6</xdr:col>
                    <xdr:colOff>942975</xdr:colOff>
                    <xdr:row>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locked="0" defaultSize="0" autoLine="0" autoPict="0">
                <anchor moveWithCells="1">
                  <from>
                    <xdr:col>12</xdr:col>
                    <xdr:colOff>28575</xdr:colOff>
                    <xdr:row>5</xdr:row>
                    <xdr:rowOff>57150</xdr:rowOff>
                  </from>
                  <to>
                    <xdr:col>12</xdr:col>
                    <xdr:colOff>942975</xdr:colOff>
                    <xdr:row>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List Box 3">
              <controlPr locked="0" defaultSize="0" autoLine="0" autoPict="0">
                <anchor moveWithCells="1">
                  <from>
                    <xdr:col>6</xdr:col>
                    <xdr:colOff>38100</xdr:colOff>
                    <xdr:row>7</xdr:row>
                    <xdr:rowOff>47625</xdr:rowOff>
                  </from>
                  <to>
                    <xdr:col>6</xdr:col>
                    <xdr:colOff>952500</xdr:colOff>
                    <xdr:row>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List Box 4">
              <controlPr locked="0" defaultSize="0" autoLine="0" autoPict="0">
                <anchor moveWithCells="1">
                  <from>
                    <xdr:col>12</xdr:col>
                    <xdr:colOff>28575</xdr:colOff>
                    <xdr:row>7</xdr:row>
                    <xdr:rowOff>76200</xdr:rowOff>
                  </from>
                  <to>
                    <xdr:col>12</xdr:col>
                    <xdr:colOff>942975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List Box 5">
              <controlPr locked="0" defaultSize="0" autoLine="0" autoPict="0">
                <anchor moveWithCells="1">
                  <from>
                    <xdr:col>6</xdr:col>
                    <xdr:colOff>38100</xdr:colOff>
                    <xdr:row>9</xdr:row>
                    <xdr:rowOff>47625</xdr:rowOff>
                  </from>
                  <to>
                    <xdr:col>6</xdr:col>
                    <xdr:colOff>952500</xdr:colOff>
                    <xdr:row>10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List Box 6">
              <controlPr locked="0" defaultSize="0" autoLine="0" autoPict="0">
                <anchor moveWithCells="1">
                  <from>
                    <xdr:col>12</xdr:col>
                    <xdr:colOff>38100</xdr:colOff>
                    <xdr:row>9</xdr:row>
                    <xdr:rowOff>47625</xdr:rowOff>
                  </from>
                  <to>
                    <xdr:col>12</xdr:col>
                    <xdr:colOff>952500</xdr:colOff>
                    <xdr:row>10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List Box 7">
              <controlPr locked="0" defaultSize="0" autoLine="0" autoPict="0">
                <anchor moveWithCells="1">
                  <from>
                    <xdr:col>6</xdr:col>
                    <xdr:colOff>38100</xdr:colOff>
                    <xdr:row>11</xdr:row>
                    <xdr:rowOff>47625</xdr:rowOff>
                  </from>
                  <to>
                    <xdr:col>6</xdr:col>
                    <xdr:colOff>952500</xdr:colOff>
                    <xdr:row>12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List Box 8">
              <controlPr locked="0" defaultSize="0" autoLine="0" autoPict="0">
                <anchor moveWithCells="1">
                  <from>
                    <xdr:col>12</xdr:col>
                    <xdr:colOff>28575</xdr:colOff>
                    <xdr:row>11</xdr:row>
                    <xdr:rowOff>66675</xdr:rowOff>
                  </from>
                  <to>
                    <xdr:col>12</xdr:col>
                    <xdr:colOff>942975</xdr:colOff>
                    <xdr:row>12</xdr:row>
                    <xdr:rowOff>600075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9BF7FC51-7C60-4A48-ACBC-056C716EFDF9}">
            <xm:f>Calculations!$B$72=9</xm:f>
            <x14:dxf>
              <font>
                <strike val="0"/>
                <color theme="1"/>
              </font>
              <fill>
                <patternFill patternType="solid">
                  <bgColor theme="0" tint="-0.34998626667073579"/>
                </patternFill>
              </fill>
            </x14:dxf>
          </x14:cfRule>
          <x14:cfRule type="expression" priority="37" id="{5EF79AC5-6D8E-4DE0-8FEB-E6C6CD79F89B}">
            <xm:f>Calculations!$B$72=2</xm:f>
            <x14:dxf>
              <font>
                <strike val="0"/>
                <color theme="1"/>
              </font>
              <fill>
                <patternFill patternType="solid">
                  <bgColor theme="0" tint="-0.34998626667073579"/>
                </patternFill>
              </fill>
            </x14:dxf>
          </x14:cfRule>
          <xm:sqref>F6:F7</xm:sqref>
        </x14:conditionalFormatting>
        <x14:conditionalFormatting xmlns:xm="http://schemas.microsoft.com/office/excel/2006/main">
          <x14:cfRule type="expression" priority="25" id="{7C6F25ED-A407-49AA-AE66-CAF2D4677C1C}">
            <xm:f>Calculations!$B$93=9</xm:f>
            <x14:dxf>
              <font>
                <strike val="0"/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6" id="{63023DC1-802C-41AD-A869-1ADB82B5661E}">
            <xm:f>Calculations!$B$93=2</xm:f>
            <x14:dxf>
              <font>
                <strike val="0"/>
                <color theme="1"/>
              </font>
              <fill>
                <patternFill patternType="solid">
                  <bgColor theme="0" tint="-0.24994659260841701"/>
                </patternFill>
              </fill>
            </x14:dxf>
          </x14:cfRule>
          <xm:sqref>F8:F9</xm:sqref>
        </x14:conditionalFormatting>
        <x14:conditionalFormatting xmlns:xm="http://schemas.microsoft.com/office/excel/2006/main">
          <x14:cfRule type="expression" priority="23" id="{07B966CB-DC1B-4D0B-9F8D-40677089FF5D}">
            <xm:f>Calculations!$B$93=1</xm:f>
            <x14:dxf>
              <font>
                <strike/>
                <color theme="0"/>
              </font>
            </x14:dxf>
          </x14:cfRule>
          <x14:cfRule type="expression" priority="24" id="{232E13F8-5F09-438D-8512-3E0787C3C168}">
            <xm:f>Calculations!$B$93&gt;1</xm:f>
            <x14:dxf>
              <font>
                <strike val="0"/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E8:E9</xm:sqref>
        </x14:conditionalFormatting>
        <x14:conditionalFormatting xmlns:xm="http://schemas.microsoft.com/office/excel/2006/main">
          <x14:cfRule type="expression" priority="21" stopIfTrue="1" id="{A15209CD-7CAE-4838-A8A1-33A576EDD2F0}">
            <xm:f>Calculations!$B$114=9</xm:f>
            <x14:dxf>
              <font>
                <strike val="0"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2" stopIfTrue="1" id="{311B6B02-402A-4CE4-B2AE-E8D3BBF7FB93}">
            <xm:f>Calculations!$B$114=2</xm:f>
            <x14:dxf>
              <font>
                <strike val="0"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F10:F11</xm:sqref>
        </x14:conditionalFormatting>
        <x14:conditionalFormatting xmlns:xm="http://schemas.microsoft.com/office/excel/2006/main">
          <x14:cfRule type="expression" priority="34" id="{F9E77C53-44D9-4376-AE0A-791027DF3DFD}">
            <xm:f>Calculations!$B$114=1</xm:f>
            <x14:dxf>
              <font>
                <strike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35" id="{9539F73C-271F-41FD-9B55-9D660502B024}">
            <xm:f>Calculations!$B$114&gt;1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E10:E11</xm:sqref>
        </x14:conditionalFormatting>
        <x14:conditionalFormatting xmlns:xm="http://schemas.microsoft.com/office/excel/2006/main">
          <x14:cfRule type="expression" priority="19" id="{E3DA0CB3-1F48-437F-9EB5-3553561962AB}">
            <xm:f>Calculations!$B$135=9</xm:f>
            <x14:dxf>
              <font>
                <strike val="0"/>
                <color theme="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20" id="{FCF3B4C9-078C-4022-8244-E75A141CBBF5}">
            <xm:f>Calculations!$B$135=2</xm:f>
            <x14:dxf>
              <font>
                <strike val="0"/>
                <color theme="1"/>
              </font>
              <fill>
                <patternFill>
                  <bgColor theme="0" tint="-4.9989318521683403E-2"/>
                </patternFill>
              </fill>
            </x14:dxf>
          </x14:cfRule>
          <xm:sqref>F12:F13</xm:sqref>
        </x14:conditionalFormatting>
        <x14:conditionalFormatting xmlns:xm="http://schemas.microsoft.com/office/excel/2006/main">
          <x14:cfRule type="expression" priority="32" id="{1F00223E-C7DC-49DC-8077-E888B86DA47D}">
            <xm:f>Calculations!$B$135=1</xm:f>
            <x14:dxf>
              <font>
                <strike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33" id="{791A2285-406E-43D8-8254-0C904A9A50CF}">
            <xm:f>Calculations!$B$135&gt;1</xm:f>
            <x14:dxf>
              <font>
                <color theme="1"/>
              </font>
              <fill>
                <patternFill>
                  <bgColor theme="0" tint="-4.9989318521683403E-2"/>
                </patternFill>
              </fill>
            </x14:dxf>
          </x14:cfRule>
          <xm:sqref>E12:E13</xm:sqref>
        </x14:conditionalFormatting>
        <x14:conditionalFormatting xmlns:xm="http://schemas.microsoft.com/office/excel/2006/main">
          <x14:cfRule type="expression" priority="16" id="{BBEAFA9F-6F07-4120-8B87-4FCA347BF87E}">
            <xm:f>Calculations!$G$72=2</xm:f>
            <x14:dxf>
              <font>
                <color auto="1"/>
              </font>
              <fill>
                <patternFill>
                  <bgColor theme="3" tint="0.39994506668294322"/>
                </patternFill>
              </fill>
            </x14:dxf>
          </x14:cfRule>
          <x14:cfRule type="expression" priority="17" id="{C3BE2A4C-EA0B-4E54-988C-F80865F2EF69}">
            <xm:f>Calculations!$G$72=9</xm:f>
            <x14:dxf>
              <font>
                <color auto="1"/>
              </font>
              <fill>
                <patternFill>
                  <bgColor theme="3" tint="0.39994506668294322"/>
                </patternFill>
              </fill>
            </x14:dxf>
          </x14:cfRule>
          <xm:sqref>O6:O7</xm:sqref>
        </x14:conditionalFormatting>
        <x14:conditionalFormatting xmlns:xm="http://schemas.microsoft.com/office/excel/2006/main">
          <x14:cfRule type="expression" priority="14" id="{100A7612-F774-4650-80FD-B29F5BA6AA1C}">
            <xm:f>Calculations!$G$93=9</xm:f>
            <x14:dxf>
              <font>
                <color auto="1"/>
              </font>
              <fill>
                <patternFill>
                  <bgColor theme="4" tint="0.39994506668294322"/>
                </patternFill>
              </fill>
            </x14:dxf>
          </x14:cfRule>
          <x14:cfRule type="expression" priority="15" id="{E198FCCE-9621-4B6C-B65C-0CEA9A22B3EA}">
            <xm:f>Calculations!$G$93=2</xm:f>
            <x14:dxf>
              <font>
                <color auto="1"/>
              </font>
              <fill>
                <patternFill>
                  <bgColor theme="4" tint="0.39994506668294322"/>
                </patternFill>
              </fill>
            </x14:dxf>
          </x14:cfRule>
          <xm:sqref>O8:O9</xm:sqref>
        </x14:conditionalFormatting>
        <x14:conditionalFormatting xmlns:xm="http://schemas.microsoft.com/office/excel/2006/main">
          <x14:cfRule type="expression" priority="12" id="{CB4B5A2F-43E5-40DD-B3CE-F09A08C62A32}">
            <xm:f>Calculations!$G$114=9</xm:f>
            <x14:dxf>
              <font>
                <color auto="1"/>
              </font>
              <fill>
                <patternFill>
                  <bgColor theme="4" tint="0.59996337778862885"/>
                </patternFill>
              </fill>
            </x14:dxf>
          </x14:cfRule>
          <x14:cfRule type="expression" priority="13" id="{47249975-4391-4E50-97EF-0AF8B27C0CCB}">
            <xm:f>Calculations!$G$114=2</xm:f>
            <x14:dxf>
              <font>
                <color auto="1"/>
              </font>
              <fill>
                <patternFill>
                  <bgColor theme="4" tint="0.59996337778862885"/>
                </patternFill>
              </fill>
            </x14:dxf>
          </x14:cfRule>
          <xm:sqref>O10:O11</xm:sqref>
        </x14:conditionalFormatting>
        <x14:conditionalFormatting xmlns:xm="http://schemas.microsoft.com/office/excel/2006/main">
          <x14:cfRule type="expression" priority="10" id="{92A50D3E-0E12-486E-923C-A03AB4BC9F74}">
            <xm:f>Calculations!$G$135=9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</x14:dxf>
          </x14:cfRule>
          <x14:cfRule type="expression" priority="11" id="{A90A5B6E-2E12-4481-9100-37D05F85A8B9}">
            <xm:f>Calculations!$G$135=2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</x14:dxf>
          </x14:cfRule>
          <xm:sqref>O12:O13</xm:sqref>
        </x14:conditionalFormatting>
        <x14:conditionalFormatting xmlns:xm="http://schemas.microsoft.com/office/excel/2006/main">
          <x14:cfRule type="expression" priority="9" id="{82E5F7ED-D07A-4E55-AD01-8D560D5C7CC0}">
            <xm:f>Calculations!$G$72=1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N6:N7</xm:sqref>
        </x14:conditionalFormatting>
        <x14:conditionalFormatting xmlns:xm="http://schemas.microsoft.com/office/excel/2006/main">
          <x14:cfRule type="expression" priority="8" id="{DBB1A2C4-B86E-411E-8698-89D018896842}">
            <xm:f>Calculations!$G$93=1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N8:N9</xm:sqref>
        </x14:conditionalFormatting>
        <x14:conditionalFormatting xmlns:xm="http://schemas.microsoft.com/office/excel/2006/main">
          <x14:cfRule type="expression" priority="7" id="{3CD8CD44-9657-4E52-8459-EA13A9E2D781}">
            <xm:f>Calculations!$G$114=1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N10:N11</xm:sqref>
        </x14:conditionalFormatting>
        <x14:conditionalFormatting xmlns:xm="http://schemas.microsoft.com/office/excel/2006/main">
          <x14:cfRule type="expression" priority="6" id="{CE557FC9-60ED-4C04-8DA7-808C86BC9ACE}">
            <xm:f>Calculations!$G$135=1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N12:N13</xm:sqref>
        </x14:conditionalFormatting>
        <x14:conditionalFormatting xmlns:xm="http://schemas.microsoft.com/office/excel/2006/main">
          <x14:cfRule type="expression" priority="5" id="{5F378D15-6F3F-405A-AABB-4EE4A975FF33}">
            <xm:f>Calculations!$B$72=1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3" id="{D8274C9B-9F36-47C3-A19C-3023EEE77781}">
            <xm:f>Calculations!$B$72=1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4" id="{0B4E08FF-B1F5-430E-BC39-AD14D0D152A3}">
            <xm:f>Calculations!$B$72&gt;1</xm:f>
            <x14:dxf>
              <fill>
                <patternFill>
                  <bgColor theme="0" tint="-0.34998626667073579"/>
                </patternFill>
              </fill>
            </x14:dxf>
          </x14:cfRule>
          <xm:sqref>E7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58"/>
  <sheetViews>
    <sheetView topLeftCell="A50" zoomScaleNormal="100" workbookViewId="0">
      <selection activeCell="H91" sqref="H91"/>
    </sheetView>
  </sheetViews>
  <sheetFormatPr defaultRowHeight="15" x14ac:dyDescent="0.25"/>
  <cols>
    <col min="19" max="31" width="9.28515625" customWidth="1"/>
    <col min="32" max="36" width="6.7109375" customWidth="1"/>
  </cols>
  <sheetData>
    <row r="1" spans="1:31" ht="18.75" x14ac:dyDescent="0.3">
      <c r="A1" s="148" t="s">
        <v>58</v>
      </c>
    </row>
    <row r="2" spans="1:31" x14ac:dyDescent="0.25">
      <c r="E2" s="256" t="s">
        <v>56</v>
      </c>
      <c r="F2" s="256"/>
      <c r="G2" s="256"/>
      <c r="H2" s="256"/>
      <c r="I2" s="256"/>
      <c r="J2" s="256"/>
      <c r="K2" s="256"/>
      <c r="L2" s="256"/>
    </row>
    <row r="3" spans="1:31" ht="25.5" thickBot="1" x14ac:dyDescent="0.5">
      <c r="A3" s="243" t="s">
        <v>89</v>
      </c>
      <c r="B3" s="1">
        <f>0</f>
        <v>0</v>
      </c>
      <c r="C3" s="1">
        <f>B3+1</f>
        <v>1</v>
      </c>
      <c r="D3" s="1">
        <f t="shared" ref="D3:O3" si="0">C3+1</f>
        <v>2</v>
      </c>
      <c r="E3" s="1">
        <f t="shared" si="0"/>
        <v>3</v>
      </c>
      <c r="F3" s="1">
        <f t="shared" si="0"/>
        <v>4</v>
      </c>
      <c r="G3" s="1">
        <f t="shared" si="0"/>
        <v>5</v>
      </c>
      <c r="H3" s="1">
        <f t="shared" si="0"/>
        <v>6</v>
      </c>
      <c r="I3" s="1">
        <f t="shared" si="0"/>
        <v>7</v>
      </c>
      <c r="J3" s="1">
        <f t="shared" si="0"/>
        <v>8</v>
      </c>
      <c r="K3" s="1">
        <f t="shared" si="0"/>
        <v>9</v>
      </c>
      <c r="L3" s="1">
        <f t="shared" si="0"/>
        <v>10</v>
      </c>
      <c r="M3" s="1">
        <f t="shared" si="0"/>
        <v>11</v>
      </c>
      <c r="N3" s="1">
        <f t="shared" si="0"/>
        <v>12</v>
      </c>
      <c r="O3" s="1">
        <f t="shared" si="0"/>
        <v>13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thickBot="1" x14ac:dyDescent="0.3">
      <c r="A4" s="1">
        <f>0</f>
        <v>0</v>
      </c>
      <c r="B4" s="225" t="s">
        <v>60</v>
      </c>
      <c r="C4" s="229" t="s">
        <v>36</v>
      </c>
      <c r="D4" s="230" t="s">
        <v>37</v>
      </c>
      <c r="E4" s="230" t="s">
        <v>38</v>
      </c>
      <c r="F4" s="230" t="s">
        <v>39</v>
      </c>
      <c r="G4" s="230" t="s">
        <v>40</v>
      </c>
      <c r="H4" s="230" t="s">
        <v>41</v>
      </c>
      <c r="I4" s="230" t="s">
        <v>42</v>
      </c>
      <c r="J4" s="230" t="s">
        <v>43</v>
      </c>
      <c r="K4" s="230" t="s">
        <v>44</v>
      </c>
      <c r="L4" s="230" t="s">
        <v>45</v>
      </c>
      <c r="M4" s="230" t="s">
        <v>46</v>
      </c>
      <c r="N4" s="230" t="s">
        <v>47</v>
      </c>
      <c r="O4" s="231" t="s">
        <v>48</v>
      </c>
      <c r="S4" s="1"/>
    </row>
    <row r="5" spans="1:31" ht="15.75" thickBot="1" x14ac:dyDescent="0.3">
      <c r="A5" s="9">
        <f>A4+1</f>
        <v>1</v>
      </c>
      <c r="B5" s="226" t="s">
        <v>61</v>
      </c>
      <c r="C5" s="232">
        <v>2</v>
      </c>
      <c r="D5" s="191">
        <v>2.5</v>
      </c>
      <c r="E5" s="192">
        <v>2.5</v>
      </c>
      <c r="F5" s="223">
        <v>2.5</v>
      </c>
      <c r="G5" s="224">
        <v>3</v>
      </c>
      <c r="H5" s="233">
        <v>3</v>
      </c>
      <c r="I5" s="176">
        <v>3</v>
      </c>
      <c r="J5" s="178">
        <v>3</v>
      </c>
      <c r="K5" s="191">
        <v>3.5</v>
      </c>
      <c r="L5" s="203">
        <v>3.5</v>
      </c>
      <c r="M5" s="203">
        <v>3.5</v>
      </c>
      <c r="N5" s="203">
        <v>3.5</v>
      </c>
      <c r="O5" s="234">
        <v>3.5</v>
      </c>
      <c r="S5" s="9"/>
    </row>
    <row r="6" spans="1:31" ht="16.5" thickTop="1" thickBot="1" x14ac:dyDescent="0.3">
      <c r="A6" s="9">
        <f t="shared" ref="A6:A32" si="1">A5+1</f>
        <v>2</v>
      </c>
      <c r="B6" s="227" t="s">
        <v>62</v>
      </c>
      <c r="C6" s="235">
        <v>2.5</v>
      </c>
      <c r="D6" s="172">
        <v>2.5</v>
      </c>
      <c r="E6" s="200">
        <v>3</v>
      </c>
      <c r="F6" s="206">
        <v>3</v>
      </c>
      <c r="G6" s="50">
        <v>3</v>
      </c>
      <c r="H6" s="163">
        <v>3</v>
      </c>
      <c r="I6" s="165">
        <v>3.5</v>
      </c>
      <c r="J6" s="181">
        <v>3.5</v>
      </c>
      <c r="K6" s="159">
        <v>3.5</v>
      </c>
      <c r="L6" s="159">
        <v>3.5</v>
      </c>
      <c r="M6" s="159">
        <v>3.5</v>
      </c>
      <c r="N6" s="171">
        <v>3.5</v>
      </c>
      <c r="O6" s="175">
        <v>3.5</v>
      </c>
      <c r="S6" s="9"/>
    </row>
    <row r="7" spans="1:31" ht="16.5" thickTop="1" thickBot="1" x14ac:dyDescent="0.3">
      <c r="A7" s="9">
        <f t="shared" si="1"/>
        <v>3</v>
      </c>
      <c r="B7" s="227" t="s">
        <v>63</v>
      </c>
      <c r="C7" s="183">
        <v>2.5</v>
      </c>
      <c r="D7" s="170">
        <v>3</v>
      </c>
      <c r="E7" s="222">
        <v>3</v>
      </c>
      <c r="F7" s="151">
        <v>3</v>
      </c>
      <c r="G7" s="189">
        <v>3.5</v>
      </c>
      <c r="H7" s="181">
        <v>3.5</v>
      </c>
      <c r="I7" s="159">
        <v>3.5</v>
      </c>
      <c r="J7" s="159">
        <v>3.5</v>
      </c>
      <c r="K7" s="159">
        <v>3.5</v>
      </c>
      <c r="L7" s="159">
        <v>3.5</v>
      </c>
      <c r="M7" s="172">
        <v>3.5</v>
      </c>
      <c r="N7" s="200">
        <v>4</v>
      </c>
      <c r="O7" s="218">
        <v>4</v>
      </c>
      <c r="S7" s="9"/>
    </row>
    <row r="8" spans="1:31" ht="16.5" thickTop="1" thickBot="1" x14ac:dyDescent="0.3">
      <c r="A8" s="9">
        <f t="shared" si="1"/>
        <v>4</v>
      </c>
      <c r="B8" s="227" t="s">
        <v>64</v>
      </c>
      <c r="C8" s="236">
        <v>3</v>
      </c>
      <c r="D8" s="163">
        <v>3</v>
      </c>
      <c r="E8" s="165">
        <v>3.5</v>
      </c>
      <c r="F8" s="221">
        <v>3.5</v>
      </c>
      <c r="G8" s="172">
        <v>3.5</v>
      </c>
      <c r="H8" s="159">
        <v>3.5</v>
      </c>
      <c r="I8" s="159">
        <v>3.5</v>
      </c>
      <c r="J8" s="159">
        <v>3.5</v>
      </c>
      <c r="K8" s="171">
        <v>3.5</v>
      </c>
      <c r="L8" s="172">
        <v>3.5</v>
      </c>
      <c r="M8" s="170">
        <v>4</v>
      </c>
      <c r="N8" s="167">
        <v>4</v>
      </c>
      <c r="O8" s="194">
        <v>4</v>
      </c>
      <c r="S8" s="9"/>
    </row>
    <row r="9" spans="1:31" ht="16.5" thickTop="1" thickBot="1" x14ac:dyDescent="0.3">
      <c r="A9" s="9">
        <f t="shared" si="1"/>
        <v>5</v>
      </c>
      <c r="B9" s="227" t="s">
        <v>65</v>
      </c>
      <c r="C9" s="237">
        <v>3</v>
      </c>
      <c r="D9" s="165">
        <v>3.5</v>
      </c>
      <c r="E9" s="152">
        <v>3.5</v>
      </c>
      <c r="F9" s="174">
        <v>3.5</v>
      </c>
      <c r="G9" s="159">
        <v>3.5</v>
      </c>
      <c r="H9" s="159">
        <v>3.5</v>
      </c>
      <c r="I9" s="159">
        <v>3.5</v>
      </c>
      <c r="J9" s="172">
        <v>3.5</v>
      </c>
      <c r="K9" s="200">
        <v>4</v>
      </c>
      <c r="L9" s="219">
        <v>4</v>
      </c>
      <c r="M9" s="160">
        <v>4</v>
      </c>
      <c r="N9" s="160">
        <v>4</v>
      </c>
      <c r="O9" s="194">
        <v>4</v>
      </c>
      <c r="S9" s="9"/>
    </row>
    <row r="10" spans="1:31" ht="16.5" thickTop="1" thickBot="1" x14ac:dyDescent="0.3">
      <c r="A10" s="9">
        <f>A9+1</f>
        <v>6</v>
      </c>
      <c r="B10" s="227" t="s">
        <v>66</v>
      </c>
      <c r="C10" s="186">
        <v>3.5</v>
      </c>
      <c r="D10" s="152">
        <v>3.5</v>
      </c>
      <c r="E10" s="152">
        <v>3.5</v>
      </c>
      <c r="F10" s="159">
        <v>3.5</v>
      </c>
      <c r="G10" s="173">
        <v>3.5</v>
      </c>
      <c r="H10" s="159">
        <v>3.5</v>
      </c>
      <c r="I10" s="172">
        <v>3.5</v>
      </c>
      <c r="J10" s="200">
        <v>4</v>
      </c>
      <c r="K10" s="184">
        <v>4</v>
      </c>
      <c r="L10" s="160">
        <v>4</v>
      </c>
      <c r="M10" s="160">
        <v>4</v>
      </c>
      <c r="N10" s="160">
        <v>4</v>
      </c>
      <c r="O10" s="194">
        <v>4</v>
      </c>
      <c r="S10" s="9"/>
    </row>
    <row r="11" spans="1:31" ht="16.5" thickTop="1" thickBot="1" x14ac:dyDescent="0.3">
      <c r="A11" s="9">
        <f t="shared" si="1"/>
        <v>7</v>
      </c>
      <c r="B11" s="227" t="s">
        <v>67</v>
      </c>
      <c r="C11" s="177">
        <v>3.5</v>
      </c>
      <c r="D11" s="152">
        <v>3.5</v>
      </c>
      <c r="E11" s="159">
        <v>3.5</v>
      </c>
      <c r="F11" s="159">
        <v>3.5</v>
      </c>
      <c r="G11" s="173">
        <v>3.5</v>
      </c>
      <c r="H11" s="172">
        <v>3.5</v>
      </c>
      <c r="I11" s="170">
        <v>4</v>
      </c>
      <c r="J11" s="167">
        <v>4</v>
      </c>
      <c r="K11" s="160">
        <v>4</v>
      </c>
      <c r="L11" s="160">
        <v>4</v>
      </c>
      <c r="M11" s="160">
        <v>4</v>
      </c>
      <c r="N11" s="164">
        <v>4</v>
      </c>
      <c r="O11" s="195">
        <v>4</v>
      </c>
      <c r="S11" s="9"/>
    </row>
    <row r="12" spans="1:31" ht="16.5" thickTop="1" thickBot="1" x14ac:dyDescent="0.3">
      <c r="A12" s="9">
        <f t="shared" si="1"/>
        <v>8</v>
      </c>
      <c r="B12" s="227" t="s">
        <v>68</v>
      </c>
      <c r="C12" s="187">
        <v>3.5</v>
      </c>
      <c r="D12" s="157">
        <v>3.5</v>
      </c>
      <c r="E12" s="159">
        <v>3.5</v>
      </c>
      <c r="F12" s="159">
        <v>3.5</v>
      </c>
      <c r="G12" s="172">
        <v>3.5</v>
      </c>
      <c r="H12" s="170">
        <v>4</v>
      </c>
      <c r="I12" s="160">
        <v>4</v>
      </c>
      <c r="J12" s="160">
        <v>4</v>
      </c>
      <c r="K12" s="160">
        <v>4</v>
      </c>
      <c r="L12" s="160">
        <v>4</v>
      </c>
      <c r="M12" s="163">
        <v>4</v>
      </c>
      <c r="N12" s="189">
        <v>4.5</v>
      </c>
      <c r="O12" s="217">
        <v>4.5</v>
      </c>
      <c r="S12" s="9"/>
    </row>
    <row r="13" spans="1:31" ht="16.5" thickTop="1" thickBot="1" x14ac:dyDescent="0.3">
      <c r="A13" s="9">
        <f t="shared" si="1"/>
        <v>9</v>
      </c>
      <c r="B13" s="227" t="s">
        <v>69</v>
      </c>
      <c r="C13" s="177">
        <v>3.5</v>
      </c>
      <c r="D13" s="173">
        <v>3.5</v>
      </c>
      <c r="E13" s="159">
        <v>3.5</v>
      </c>
      <c r="F13" s="172">
        <v>3.5</v>
      </c>
      <c r="G13" s="200">
        <v>4</v>
      </c>
      <c r="H13" s="168">
        <v>4</v>
      </c>
      <c r="I13" s="160">
        <v>4</v>
      </c>
      <c r="J13" s="160">
        <v>4</v>
      </c>
      <c r="K13" s="160">
        <v>4</v>
      </c>
      <c r="L13" s="161">
        <v>4</v>
      </c>
      <c r="M13" s="189">
        <v>4.5</v>
      </c>
      <c r="N13" s="180">
        <v>4.5</v>
      </c>
      <c r="O13" s="156">
        <v>4.5</v>
      </c>
      <c r="S13" s="9"/>
    </row>
    <row r="14" spans="1:31" ht="16.5" thickTop="1" thickBot="1" x14ac:dyDescent="0.3">
      <c r="A14" s="9">
        <f t="shared" si="1"/>
        <v>10</v>
      </c>
      <c r="B14" s="227" t="s">
        <v>70</v>
      </c>
      <c r="C14" s="187">
        <v>3.5</v>
      </c>
      <c r="D14" s="173">
        <v>3.5</v>
      </c>
      <c r="E14" s="172">
        <v>3.5</v>
      </c>
      <c r="F14" s="200">
        <v>4</v>
      </c>
      <c r="G14" s="208">
        <v>4</v>
      </c>
      <c r="H14" s="160">
        <v>4</v>
      </c>
      <c r="I14" s="160">
        <v>4</v>
      </c>
      <c r="J14" s="160">
        <v>4</v>
      </c>
      <c r="K14" s="160">
        <v>4</v>
      </c>
      <c r="L14" s="163">
        <v>4</v>
      </c>
      <c r="M14" s="190">
        <v>4.5</v>
      </c>
      <c r="N14" s="159">
        <v>4.5</v>
      </c>
      <c r="O14" s="175">
        <v>4.5</v>
      </c>
      <c r="S14" s="9"/>
    </row>
    <row r="15" spans="1:31" ht="16.5" thickTop="1" thickBot="1" x14ac:dyDescent="0.3">
      <c r="A15" s="9">
        <f t="shared" si="1"/>
        <v>11</v>
      </c>
      <c r="B15" s="227" t="s">
        <v>71</v>
      </c>
      <c r="C15" s="187">
        <v>3.5</v>
      </c>
      <c r="D15" s="173">
        <v>3.5</v>
      </c>
      <c r="E15" s="200">
        <v>4</v>
      </c>
      <c r="F15" s="208">
        <v>4</v>
      </c>
      <c r="G15" s="154">
        <v>4</v>
      </c>
      <c r="H15" s="160">
        <v>4</v>
      </c>
      <c r="I15" s="160">
        <v>4</v>
      </c>
      <c r="J15" s="160">
        <v>4</v>
      </c>
      <c r="K15" s="163">
        <v>4</v>
      </c>
      <c r="L15" s="165">
        <v>4.5</v>
      </c>
      <c r="M15" s="159">
        <v>4.5</v>
      </c>
      <c r="N15" s="172">
        <v>4.5</v>
      </c>
      <c r="O15" s="193">
        <v>5</v>
      </c>
      <c r="S15" s="9"/>
    </row>
    <row r="16" spans="1:31" ht="16.5" thickTop="1" thickBot="1" x14ac:dyDescent="0.3">
      <c r="A16" s="9">
        <f t="shared" si="1"/>
        <v>12</v>
      </c>
      <c r="B16" s="227" t="s">
        <v>72</v>
      </c>
      <c r="C16" s="187">
        <v>3.5</v>
      </c>
      <c r="D16" s="172">
        <v>3.5</v>
      </c>
      <c r="E16" s="207">
        <v>4</v>
      </c>
      <c r="F16" s="153">
        <v>4</v>
      </c>
      <c r="G16" s="160">
        <v>4</v>
      </c>
      <c r="H16" s="160">
        <v>4</v>
      </c>
      <c r="I16" s="160">
        <v>4</v>
      </c>
      <c r="J16" s="163">
        <v>4</v>
      </c>
      <c r="K16" s="165">
        <v>4.5</v>
      </c>
      <c r="L16" s="159">
        <v>4.5</v>
      </c>
      <c r="M16" s="172">
        <v>4.5</v>
      </c>
      <c r="N16" s="170">
        <v>5</v>
      </c>
      <c r="O16" s="194">
        <v>5</v>
      </c>
      <c r="S16" s="9"/>
    </row>
    <row r="17" spans="1:19" ht="16.5" thickTop="1" thickBot="1" x14ac:dyDescent="0.3">
      <c r="A17" s="9">
        <f t="shared" si="1"/>
        <v>13</v>
      </c>
      <c r="B17" s="227" t="s">
        <v>73</v>
      </c>
      <c r="C17" s="188">
        <v>3.5</v>
      </c>
      <c r="D17" s="200">
        <v>4</v>
      </c>
      <c r="E17" s="205">
        <v>4</v>
      </c>
      <c r="F17" s="154">
        <v>4</v>
      </c>
      <c r="G17" s="160">
        <v>4</v>
      </c>
      <c r="H17" s="167">
        <v>4</v>
      </c>
      <c r="I17" s="185">
        <v>4</v>
      </c>
      <c r="J17" s="189">
        <v>4.5</v>
      </c>
      <c r="K17" s="180">
        <v>4.5</v>
      </c>
      <c r="L17" s="172">
        <v>4.5</v>
      </c>
      <c r="M17" s="200">
        <v>5</v>
      </c>
      <c r="N17" s="205">
        <v>5</v>
      </c>
      <c r="O17" s="201">
        <v>5</v>
      </c>
      <c r="S17" s="9"/>
    </row>
    <row r="18" spans="1:19" ht="16.5" thickTop="1" thickBot="1" x14ac:dyDescent="0.3">
      <c r="A18" s="9">
        <f t="shared" si="1"/>
        <v>14</v>
      </c>
      <c r="B18" s="227" t="s">
        <v>74</v>
      </c>
      <c r="C18" s="204">
        <v>3.5</v>
      </c>
      <c r="D18" s="207">
        <v>4</v>
      </c>
      <c r="E18" s="154">
        <v>4</v>
      </c>
      <c r="F18" s="160">
        <v>4</v>
      </c>
      <c r="G18" s="160">
        <v>4</v>
      </c>
      <c r="H18" s="160">
        <v>4</v>
      </c>
      <c r="I18" s="163">
        <v>4</v>
      </c>
      <c r="J18" s="190">
        <v>4.5</v>
      </c>
      <c r="K18" s="173">
        <v>4.5</v>
      </c>
      <c r="L18" s="200">
        <v>5</v>
      </c>
      <c r="M18" s="208">
        <v>5</v>
      </c>
      <c r="N18" s="154">
        <v>5</v>
      </c>
      <c r="O18" s="166">
        <v>6</v>
      </c>
      <c r="S18" s="9"/>
    </row>
    <row r="19" spans="1:19" ht="16.5" thickTop="1" thickBot="1" x14ac:dyDescent="0.3">
      <c r="A19" s="9">
        <f t="shared" si="1"/>
        <v>15</v>
      </c>
      <c r="B19" s="227" t="s">
        <v>75</v>
      </c>
      <c r="C19" s="238">
        <v>4</v>
      </c>
      <c r="D19" s="205">
        <v>4</v>
      </c>
      <c r="E19" s="160">
        <v>4</v>
      </c>
      <c r="F19" s="160">
        <v>4</v>
      </c>
      <c r="G19" s="160">
        <v>4</v>
      </c>
      <c r="H19" s="163">
        <v>4</v>
      </c>
      <c r="I19" s="165">
        <v>4.5</v>
      </c>
      <c r="J19" s="171">
        <v>4.5</v>
      </c>
      <c r="K19" s="172">
        <v>4.5</v>
      </c>
      <c r="L19" s="207">
        <v>5</v>
      </c>
      <c r="M19" s="153">
        <v>5</v>
      </c>
      <c r="N19" s="202">
        <v>6</v>
      </c>
      <c r="O19" s="155">
        <v>6</v>
      </c>
      <c r="S19" s="9"/>
    </row>
    <row r="20" spans="1:19" ht="16.5" thickTop="1" thickBot="1" x14ac:dyDescent="0.3">
      <c r="A20" s="9">
        <f t="shared" si="1"/>
        <v>16</v>
      </c>
      <c r="B20" s="227" t="s">
        <v>76</v>
      </c>
      <c r="C20" s="239">
        <v>4</v>
      </c>
      <c r="D20" s="161">
        <v>4</v>
      </c>
      <c r="E20" s="160">
        <v>4</v>
      </c>
      <c r="F20" s="160">
        <v>4</v>
      </c>
      <c r="G20" s="161">
        <v>4</v>
      </c>
      <c r="H20" s="165">
        <v>4.5</v>
      </c>
      <c r="I20" s="159">
        <v>4.5</v>
      </c>
      <c r="J20" s="173">
        <v>4.5</v>
      </c>
      <c r="K20" s="200">
        <v>5</v>
      </c>
      <c r="L20" s="184">
        <v>5</v>
      </c>
      <c r="M20" s="182">
        <v>5</v>
      </c>
      <c r="N20" s="162">
        <v>6</v>
      </c>
      <c r="O20" s="209">
        <v>6</v>
      </c>
      <c r="S20" s="9"/>
    </row>
    <row r="21" spans="1:19" ht="16.5" thickTop="1" thickBot="1" x14ac:dyDescent="0.3">
      <c r="A21" s="9">
        <f t="shared" si="1"/>
        <v>17</v>
      </c>
      <c r="B21" s="227" t="s">
        <v>77</v>
      </c>
      <c r="C21" s="240">
        <v>4</v>
      </c>
      <c r="D21" s="161">
        <v>4</v>
      </c>
      <c r="E21" s="160">
        <v>4</v>
      </c>
      <c r="F21" s="160">
        <v>4</v>
      </c>
      <c r="G21" s="163">
        <v>4</v>
      </c>
      <c r="H21" s="190">
        <v>4.5</v>
      </c>
      <c r="I21" s="159">
        <v>4.5</v>
      </c>
      <c r="J21" s="172">
        <v>4.5</v>
      </c>
      <c r="K21" s="198">
        <v>5</v>
      </c>
      <c r="L21" s="161">
        <v>5</v>
      </c>
      <c r="M21" s="202">
        <v>6</v>
      </c>
      <c r="N21" s="152">
        <v>6</v>
      </c>
      <c r="O21" s="156">
        <v>6</v>
      </c>
      <c r="S21" s="9"/>
    </row>
    <row r="22" spans="1:19" ht="16.5" thickTop="1" thickBot="1" x14ac:dyDescent="0.3">
      <c r="A22" s="9">
        <f t="shared" si="1"/>
        <v>18</v>
      </c>
      <c r="B22" s="227" t="s">
        <v>78</v>
      </c>
      <c r="C22" s="240">
        <v>4</v>
      </c>
      <c r="D22" s="161">
        <v>4</v>
      </c>
      <c r="E22" s="160">
        <v>4</v>
      </c>
      <c r="F22" s="161">
        <v>4</v>
      </c>
      <c r="G22" s="189">
        <v>4.5</v>
      </c>
      <c r="H22" s="159">
        <v>4.5</v>
      </c>
      <c r="I22" s="172">
        <v>4.5</v>
      </c>
      <c r="J22" s="170">
        <v>5</v>
      </c>
      <c r="K22" s="160">
        <v>5</v>
      </c>
      <c r="L22" s="163">
        <v>5</v>
      </c>
      <c r="M22" s="162">
        <v>6</v>
      </c>
      <c r="N22" s="159">
        <v>6</v>
      </c>
      <c r="O22" s="156">
        <v>6</v>
      </c>
      <c r="S22" s="9"/>
    </row>
    <row r="23" spans="1:19" ht="16.5" thickTop="1" thickBot="1" x14ac:dyDescent="0.3">
      <c r="A23" s="9">
        <f t="shared" si="1"/>
        <v>19</v>
      </c>
      <c r="B23" s="227" t="s">
        <v>79</v>
      </c>
      <c r="C23" s="240">
        <v>4</v>
      </c>
      <c r="D23" s="161">
        <v>4</v>
      </c>
      <c r="E23" s="160">
        <v>4</v>
      </c>
      <c r="F23" s="163">
        <v>4</v>
      </c>
      <c r="G23" s="190">
        <v>4.5</v>
      </c>
      <c r="H23" s="173">
        <v>4.5</v>
      </c>
      <c r="I23" s="200">
        <v>5</v>
      </c>
      <c r="J23" s="168">
        <v>5</v>
      </c>
      <c r="K23" s="163">
        <v>5</v>
      </c>
      <c r="L23" s="165">
        <v>6</v>
      </c>
      <c r="M23" s="180">
        <v>6</v>
      </c>
      <c r="N23" s="159">
        <v>6</v>
      </c>
      <c r="O23" s="156">
        <v>6</v>
      </c>
      <c r="S23" s="9"/>
    </row>
    <row r="24" spans="1:19" ht="16.5" thickTop="1" thickBot="1" x14ac:dyDescent="0.3">
      <c r="A24" s="9">
        <f t="shared" si="1"/>
        <v>20</v>
      </c>
      <c r="B24" s="227" t="s">
        <v>80</v>
      </c>
      <c r="C24" s="240">
        <v>4</v>
      </c>
      <c r="D24" s="161">
        <v>4</v>
      </c>
      <c r="E24" s="161">
        <v>4</v>
      </c>
      <c r="F24" s="189">
        <v>4.5</v>
      </c>
      <c r="G24" s="162">
        <v>4.5</v>
      </c>
      <c r="H24" s="172">
        <v>4.5</v>
      </c>
      <c r="I24" s="198">
        <v>5</v>
      </c>
      <c r="J24" s="161">
        <v>5</v>
      </c>
      <c r="K24" s="165">
        <v>6</v>
      </c>
      <c r="L24" s="157">
        <v>6</v>
      </c>
      <c r="M24" s="159">
        <v>6</v>
      </c>
      <c r="N24" s="159">
        <v>6</v>
      </c>
      <c r="O24" s="156">
        <v>6</v>
      </c>
      <c r="S24" s="9"/>
    </row>
    <row r="25" spans="1:19" ht="16.5" thickTop="1" thickBot="1" x14ac:dyDescent="0.3">
      <c r="A25" s="9">
        <f t="shared" si="1"/>
        <v>21</v>
      </c>
      <c r="B25" s="227" t="s">
        <v>81</v>
      </c>
      <c r="C25" s="240">
        <v>4</v>
      </c>
      <c r="D25" s="161">
        <v>4</v>
      </c>
      <c r="E25" s="163">
        <v>4</v>
      </c>
      <c r="F25" s="190">
        <v>4.5</v>
      </c>
      <c r="G25" s="173">
        <v>4.5</v>
      </c>
      <c r="H25" s="200">
        <v>5</v>
      </c>
      <c r="I25" s="168">
        <v>5</v>
      </c>
      <c r="J25" s="163">
        <v>5</v>
      </c>
      <c r="K25" s="190">
        <v>6</v>
      </c>
      <c r="L25" s="159">
        <v>6</v>
      </c>
      <c r="M25" s="159">
        <v>6</v>
      </c>
      <c r="N25" s="159">
        <v>6</v>
      </c>
      <c r="O25" s="156">
        <v>6</v>
      </c>
      <c r="S25" s="9"/>
    </row>
    <row r="26" spans="1:19" ht="16.5" thickTop="1" thickBot="1" x14ac:dyDescent="0.3">
      <c r="A26" s="9">
        <f t="shared" si="1"/>
        <v>22</v>
      </c>
      <c r="B26" s="227" t="s">
        <v>82</v>
      </c>
      <c r="C26" s="240">
        <v>4</v>
      </c>
      <c r="D26" s="161">
        <v>4</v>
      </c>
      <c r="E26" s="189">
        <v>4.5</v>
      </c>
      <c r="F26" s="159">
        <v>4.5</v>
      </c>
      <c r="G26" s="172">
        <v>4.5</v>
      </c>
      <c r="H26" s="198">
        <v>5</v>
      </c>
      <c r="I26" s="161">
        <v>5</v>
      </c>
      <c r="J26" s="202">
        <v>6</v>
      </c>
      <c r="K26" s="157">
        <v>6</v>
      </c>
      <c r="L26" s="159">
        <v>6</v>
      </c>
      <c r="M26" s="159">
        <v>6</v>
      </c>
      <c r="N26" s="159">
        <v>6</v>
      </c>
      <c r="O26" s="175">
        <v>6</v>
      </c>
      <c r="S26" s="9"/>
    </row>
    <row r="27" spans="1:19" ht="16.5" thickTop="1" thickBot="1" x14ac:dyDescent="0.3">
      <c r="A27" s="9">
        <f t="shared" si="1"/>
        <v>23</v>
      </c>
      <c r="B27" s="227" t="s">
        <v>83</v>
      </c>
      <c r="C27" s="240">
        <v>4</v>
      </c>
      <c r="D27" s="163">
        <v>4</v>
      </c>
      <c r="E27" s="190">
        <v>4.5</v>
      </c>
      <c r="F27" s="173">
        <v>4.5</v>
      </c>
      <c r="G27" s="200">
        <v>5</v>
      </c>
      <c r="H27" s="168">
        <v>5</v>
      </c>
      <c r="I27" s="161">
        <v>5</v>
      </c>
      <c r="J27" s="162">
        <v>6</v>
      </c>
      <c r="K27" s="157">
        <v>6</v>
      </c>
      <c r="L27" s="159">
        <v>6</v>
      </c>
      <c r="M27" s="159">
        <v>6</v>
      </c>
      <c r="N27" s="172">
        <v>6</v>
      </c>
      <c r="O27" s="193">
        <v>8</v>
      </c>
      <c r="S27" s="9"/>
    </row>
    <row r="28" spans="1:19" ht="16.5" thickTop="1" thickBot="1" x14ac:dyDescent="0.3">
      <c r="A28" s="9">
        <f t="shared" si="1"/>
        <v>24</v>
      </c>
      <c r="B28" s="227" t="s">
        <v>84</v>
      </c>
      <c r="C28" s="241">
        <v>4</v>
      </c>
      <c r="D28" s="165">
        <v>4.5</v>
      </c>
      <c r="E28" s="157">
        <v>4.5</v>
      </c>
      <c r="F28" s="173">
        <v>4.5</v>
      </c>
      <c r="G28" s="199">
        <v>5</v>
      </c>
      <c r="H28" s="168">
        <v>5</v>
      </c>
      <c r="I28" s="163">
        <v>5</v>
      </c>
      <c r="J28" s="190">
        <v>6</v>
      </c>
      <c r="K28" s="159">
        <v>6</v>
      </c>
      <c r="L28" s="159">
        <v>6</v>
      </c>
      <c r="M28" s="173">
        <v>6</v>
      </c>
      <c r="N28" s="200">
        <v>8</v>
      </c>
      <c r="O28" s="210">
        <v>8</v>
      </c>
      <c r="S28" s="9"/>
    </row>
    <row r="29" spans="1:19" ht="16.5" thickTop="1" thickBot="1" x14ac:dyDescent="0.3">
      <c r="A29" s="9">
        <f t="shared" si="1"/>
        <v>25</v>
      </c>
      <c r="B29" s="227" t="s">
        <v>85</v>
      </c>
      <c r="C29" s="241">
        <v>4</v>
      </c>
      <c r="D29" s="190">
        <v>4.5</v>
      </c>
      <c r="E29" s="157">
        <v>4.5</v>
      </c>
      <c r="F29" s="172">
        <v>4.5</v>
      </c>
      <c r="G29" s="207">
        <v>5</v>
      </c>
      <c r="H29" s="161">
        <v>5</v>
      </c>
      <c r="I29" s="202">
        <v>6</v>
      </c>
      <c r="J29" s="157">
        <v>6</v>
      </c>
      <c r="K29" s="159">
        <v>6</v>
      </c>
      <c r="L29" s="159">
        <v>6</v>
      </c>
      <c r="M29" s="173">
        <v>6</v>
      </c>
      <c r="N29" s="198">
        <v>8</v>
      </c>
      <c r="O29" s="194">
        <v>8</v>
      </c>
      <c r="S29" s="9"/>
    </row>
    <row r="30" spans="1:19" ht="16.5" thickTop="1" thickBot="1" x14ac:dyDescent="0.3">
      <c r="A30" s="9">
        <f t="shared" si="1"/>
        <v>26</v>
      </c>
      <c r="B30" s="227" t="s">
        <v>86</v>
      </c>
      <c r="C30" s="179">
        <v>4</v>
      </c>
      <c r="D30" s="190">
        <v>4.5</v>
      </c>
      <c r="E30" s="173">
        <v>4.5</v>
      </c>
      <c r="F30" s="200">
        <v>5</v>
      </c>
      <c r="G30" s="205">
        <v>5</v>
      </c>
      <c r="H30" s="163">
        <v>5</v>
      </c>
      <c r="I30" s="162">
        <v>6</v>
      </c>
      <c r="J30" s="159">
        <v>6</v>
      </c>
      <c r="K30" s="159">
        <v>6</v>
      </c>
      <c r="L30" s="159">
        <v>6</v>
      </c>
      <c r="M30" s="172">
        <v>6</v>
      </c>
      <c r="N30" s="169">
        <v>8</v>
      </c>
      <c r="O30" s="194">
        <v>8</v>
      </c>
      <c r="S30" s="9"/>
    </row>
    <row r="31" spans="1:19" ht="16.5" thickTop="1" thickBot="1" x14ac:dyDescent="0.3">
      <c r="A31" s="9">
        <f t="shared" si="1"/>
        <v>27</v>
      </c>
      <c r="B31" s="227" t="s">
        <v>87</v>
      </c>
      <c r="C31" s="186">
        <v>4.5</v>
      </c>
      <c r="D31" s="157">
        <v>4.5</v>
      </c>
      <c r="E31" s="172">
        <v>4.5</v>
      </c>
      <c r="F31" s="207">
        <v>5</v>
      </c>
      <c r="G31" s="153">
        <v>5</v>
      </c>
      <c r="H31" s="165">
        <v>6</v>
      </c>
      <c r="I31" s="152">
        <v>6</v>
      </c>
      <c r="J31" s="159">
        <v>6</v>
      </c>
      <c r="K31" s="159">
        <v>6</v>
      </c>
      <c r="L31" s="173">
        <v>6</v>
      </c>
      <c r="M31" s="200">
        <v>8</v>
      </c>
      <c r="N31" s="168">
        <v>8</v>
      </c>
      <c r="O31" s="194">
        <v>8</v>
      </c>
      <c r="S31" s="9"/>
    </row>
    <row r="32" spans="1:19" ht="16.5" thickTop="1" thickBot="1" x14ac:dyDescent="0.3">
      <c r="A32" s="9">
        <f t="shared" si="1"/>
        <v>28</v>
      </c>
      <c r="B32" s="228" t="s">
        <v>88</v>
      </c>
      <c r="C32" s="242">
        <v>4.5</v>
      </c>
      <c r="D32" s="220">
        <v>4.5</v>
      </c>
      <c r="E32" s="216">
        <v>5</v>
      </c>
      <c r="F32" s="211">
        <v>5</v>
      </c>
      <c r="G32" s="212">
        <v>5</v>
      </c>
      <c r="H32" s="213">
        <v>6</v>
      </c>
      <c r="I32" s="158">
        <v>6</v>
      </c>
      <c r="J32" s="158">
        <v>6</v>
      </c>
      <c r="K32" s="158">
        <v>6</v>
      </c>
      <c r="L32" s="196">
        <v>6</v>
      </c>
      <c r="M32" s="214">
        <v>8</v>
      </c>
      <c r="N32" s="197">
        <v>8</v>
      </c>
      <c r="O32" s="215">
        <v>8</v>
      </c>
      <c r="S32" s="9"/>
    </row>
    <row r="33" spans="1:27" ht="15.75" thickBot="1" x14ac:dyDescent="0.3"/>
    <row r="34" spans="1:27" ht="15.75" thickBot="1" x14ac:dyDescent="0.3">
      <c r="D34" s="257" t="s">
        <v>53</v>
      </c>
      <c r="E34" s="258"/>
      <c r="F34" s="140">
        <f>'Sign Suppport Design'!F15</f>
        <v>18.125</v>
      </c>
      <c r="G34" s="141" t="s">
        <v>49</v>
      </c>
      <c r="H34" s="142">
        <f>ROUNDUP('Sign Suppport Design'!F15,0)-2</f>
        <v>17</v>
      </c>
      <c r="I34" s="261" t="s">
        <v>50</v>
      </c>
      <c r="J34" s="262"/>
      <c r="K34" s="262"/>
      <c r="L34" s="146">
        <f>INDEX($C$5:$O$32,$H$34,$H$35)</f>
        <v>4</v>
      </c>
      <c r="AA34" s="43"/>
    </row>
    <row r="35" spans="1:27" ht="15.75" thickBot="1" x14ac:dyDescent="0.3">
      <c r="D35" s="259" t="s">
        <v>52</v>
      </c>
      <c r="E35" s="260"/>
      <c r="F35" s="143">
        <f>'Sign Suppport Design'!F16</f>
        <v>10.377988505747126</v>
      </c>
      <c r="G35" s="144" t="s">
        <v>51</v>
      </c>
      <c r="H35" s="145">
        <f>ROUNDUP('Sign Suppport Design'!$F$16,0)-7</f>
        <v>4</v>
      </c>
      <c r="AA35" s="43"/>
    </row>
    <row r="38" spans="1:27" ht="18.75" x14ac:dyDescent="0.3">
      <c r="A38" s="148" t="s">
        <v>59</v>
      </c>
      <c r="I38" s="147">
        <v>8.3333333333333329E-2</v>
      </c>
      <c r="J38" t="s">
        <v>57</v>
      </c>
    </row>
    <row r="40" spans="1:27" ht="15.75" thickBot="1" x14ac:dyDescent="0.3">
      <c r="B40" s="263" t="s">
        <v>34</v>
      </c>
      <c r="C40" s="263"/>
      <c r="D40" s="263"/>
      <c r="E40" s="263"/>
      <c r="F40" s="263"/>
      <c r="G40" s="263"/>
      <c r="H40" s="263"/>
      <c r="I40" s="263"/>
      <c r="K40" s="263" t="s">
        <v>35</v>
      </c>
      <c r="L40" s="263"/>
      <c r="M40" s="263"/>
      <c r="N40" s="263"/>
      <c r="O40" s="263"/>
      <c r="P40" s="263"/>
      <c r="Q40" s="263"/>
      <c r="R40" s="263"/>
    </row>
    <row r="41" spans="1:27" ht="15.75" thickBot="1" x14ac:dyDescent="0.3">
      <c r="B41" s="109" t="s">
        <v>5</v>
      </c>
      <c r="C41" s="109" t="s">
        <v>0</v>
      </c>
      <c r="D41" s="109" t="s">
        <v>1</v>
      </c>
      <c r="E41" s="109" t="s">
        <v>7</v>
      </c>
      <c r="F41" s="109" t="s">
        <v>3</v>
      </c>
      <c r="G41" s="109" t="s">
        <v>2</v>
      </c>
      <c r="H41" s="109" t="s">
        <v>4</v>
      </c>
      <c r="I41" s="110" t="s">
        <v>6</v>
      </c>
      <c r="J41" s="1"/>
      <c r="K41" s="109" t="s">
        <v>5</v>
      </c>
      <c r="L41" s="109" t="s">
        <v>0</v>
      </c>
      <c r="M41" s="109" t="s">
        <v>1</v>
      </c>
      <c r="N41" s="109" t="s">
        <v>7</v>
      </c>
      <c r="O41" s="109" t="s">
        <v>3</v>
      </c>
      <c r="P41" s="109" t="s">
        <v>2</v>
      </c>
      <c r="Q41" s="109" t="s">
        <v>4</v>
      </c>
      <c r="R41" s="110" t="s">
        <v>6</v>
      </c>
    </row>
    <row r="42" spans="1:27" ht="15.75" thickBot="1" x14ac:dyDescent="0.3">
      <c r="A42" s="9">
        <v>1</v>
      </c>
      <c r="B42" s="3">
        <v>2</v>
      </c>
      <c r="C42" s="4">
        <f>B42+1</f>
        <v>3</v>
      </c>
      <c r="D42" s="4">
        <f t="shared" ref="D42:I42" si="2">C42+1</f>
        <v>4</v>
      </c>
      <c r="E42" s="4">
        <f t="shared" si="2"/>
        <v>5</v>
      </c>
      <c r="F42" s="4">
        <f t="shared" si="2"/>
        <v>6</v>
      </c>
      <c r="G42" s="4">
        <f t="shared" si="2"/>
        <v>7</v>
      </c>
      <c r="H42" s="4">
        <f t="shared" si="2"/>
        <v>8</v>
      </c>
      <c r="I42" s="4">
        <f t="shared" si="2"/>
        <v>9</v>
      </c>
      <c r="J42" s="9">
        <v>1</v>
      </c>
      <c r="K42" s="3">
        <f>2</f>
        <v>2</v>
      </c>
      <c r="L42" s="4">
        <f>K42+1</f>
        <v>3</v>
      </c>
      <c r="M42" s="4">
        <f t="shared" ref="M42:R42" si="3">L42+1</f>
        <v>4</v>
      </c>
      <c r="N42" s="4">
        <f t="shared" si="3"/>
        <v>5</v>
      </c>
      <c r="O42" s="4">
        <f t="shared" si="3"/>
        <v>6</v>
      </c>
      <c r="P42" s="4">
        <f t="shared" si="3"/>
        <v>7</v>
      </c>
      <c r="Q42" s="4">
        <f t="shared" si="3"/>
        <v>8</v>
      </c>
      <c r="R42" s="4">
        <f t="shared" si="3"/>
        <v>9</v>
      </c>
      <c r="S42" s="9"/>
      <c r="T42" s="101" t="s">
        <v>8</v>
      </c>
      <c r="U42" s="43"/>
    </row>
    <row r="43" spans="1:27" x14ac:dyDescent="0.25">
      <c r="A43" s="11">
        <v>0</v>
      </c>
      <c r="B43" s="14">
        <v>-0.5</v>
      </c>
      <c r="C43" s="5">
        <f>-(SQRT(2)-1)/2</f>
        <v>-0.20710678118654757</v>
      </c>
      <c r="D43" s="5">
        <f>0</f>
        <v>0</v>
      </c>
      <c r="E43" s="5">
        <f>0</f>
        <v>0</v>
      </c>
      <c r="F43" s="14">
        <f>-0.28</f>
        <v>-0.28000000000000003</v>
      </c>
      <c r="G43" s="10">
        <f>-0.5</f>
        <v>-0.5</v>
      </c>
      <c r="H43" s="5">
        <f>0</f>
        <v>0</v>
      </c>
      <c r="I43" s="14">
        <f>0</f>
        <v>0</v>
      </c>
      <c r="J43" s="11">
        <v>0</v>
      </c>
      <c r="K43" s="14">
        <f>B43</f>
        <v>-0.5</v>
      </c>
      <c r="L43" s="14">
        <f>-0.5</f>
        <v>-0.5</v>
      </c>
      <c r="M43" s="6">
        <f>-0.5</f>
        <v>-0.5</v>
      </c>
      <c r="N43" s="6">
        <f>-0.61</f>
        <v>-0.61</v>
      </c>
      <c r="O43" s="6">
        <f>-0.48</f>
        <v>-0.48</v>
      </c>
      <c r="P43" s="14">
        <f>-0.38</f>
        <v>-0.38</v>
      </c>
      <c r="Q43" s="6">
        <f>-0.5</f>
        <v>-0.5</v>
      </c>
      <c r="R43" s="6">
        <v>-0.55000000000000004</v>
      </c>
      <c r="S43" s="11"/>
      <c r="T43" s="101" t="str">
        <f>B41</f>
        <v>Rectangle</v>
      </c>
      <c r="U43" s="43"/>
    </row>
    <row r="44" spans="1:27" x14ac:dyDescent="0.25">
      <c r="A44" s="11">
        <v>0</v>
      </c>
      <c r="B44" s="15">
        <f>-B43</f>
        <v>0.5</v>
      </c>
      <c r="C44" s="7">
        <f>-C43</f>
        <v>0.20710678118654757</v>
      </c>
      <c r="D44" s="7">
        <f>0.25</f>
        <v>0.25</v>
      </c>
      <c r="E44" s="7">
        <f>0.5</f>
        <v>0.5</v>
      </c>
      <c r="F44" s="15">
        <f>-F43</f>
        <v>0.28000000000000003</v>
      </c>
      <c r="G44" s="11">
        <f>-G43</f>
        <v>0.5</v>
      </c>
      <c r="H44" s="7">
        <f>-Q43</f>
        <v>0.5</v>
      </c>
      <c r="I44" s="15">
        <f>0.25</f>
        <v>0.25</v>
      </c>
      <c r="J44" s="11">
        <v>0</v>
      </c>
      <c r="K44" s="15">
        <f>K43</f>
        <v>-0.5</v>
      </c>
      <c r="L44" s="15">
        <v>-0.5</v>
      </c>
      <c r="M44" s="8">
        <f>-SQRT(3)/4</f>
        <v>-0.4330127018922193</v>
      </c>
      <c r="N44" s="8">
        <f>1+N43</f>
        <v>0.39</v>
      </c>
      <c r="O44" s="8">
        <f>O43</f>
        <v>-0.48</v>
      </c>
      <c r="P44" s="15">
        <f>P43</f>
        <v>-0.38</v>
      </c>
      <c r="Q44" s="8">
        <f>H43</f>
        <v>0</v>
      </c>
      <c r="R44" s="8">
        <f>-SQRT(3)/4</f>
        <v>-0.4330127018922193</v>
      </c>
      <c r="S44" s="11"/>
      <c r="T44" s="101" t="str">
        <f>C41</f>
        <v>Octagon</v>
      </c>
      <c r="U44" s="43"/>
    </row>
    <row r="45" spans="1:27" x14ac:dyDescent="0.25">
      <c r="A45" s="11">
        <v>0</v>
      </c>
      <c r="B45" s="15">
        <f>B44</f>
        <v>0.5</v>
      </c>
      <c r="C45" s="7">
        <v>0.5</v>
      </c>
      <c r="D45" s="7">
        <f>SQRT(2)/4</f>
        <v>0.35355339059327379</v>
      </c>
      <c r="E45" s="7">
        <f>-E44</f>
        <v>-0.5</v>
      </c>
      <c r="F45" s="15">
        <f>0.5</f>
        <v>0.5</v>
      </c>
      <c r="G45" s="11">
        <f>G44</f>
        <v>0.5</v>
      </c>
      <c r="H45" s="7">
        <f>H43</f>
        <v>0</v>
      </c>
      <c r="I45" s="15">
        <f>SQRT(2)/4</f>
        <v>0.35355339059327379</v>
      </c>
      <c r="J45" s="11">
        <v>0</v>
      </c>
      <c r="K45" s="15">
        <f>B45</f>
        <v>0.5</v>
      </c>
      <c r="L45" s="15">
        <f>C43</f>
        <v>-0.20710678118654757</v>
      </c>
      <c r="M45" s="8">
        <f>-D45</f>
        <v>-0.35355339059327379</v>
      </c>
      <c r="N45" s="8">
        <f>N44</f>
        <v>0.39</v>
      </c>
      <c r="O45" s="245">
        <f>0.34</f>
        <v>0.34</v>
      </c>
      <c r="P45" s="15">
        <f>0.12</f>
        <v>0.12</v>
      </c>
      <c r="Q45" s="8">
        <f>H44</f>
        <v>0.5</v>
      </c>
      <c r="R45" s="8">
        <f>-I45</f>
        <v>-0.35355339059327379</v>
      </c>
      <c r="S45" s="11"/>
      <c r="T45" s="101" t="str">
        <f>D41</f>
        <v>Circle</v>
      </c>
      <c r="U45" s="43"/>
    </row>
    <row r="46" spans="1:27" x14ac:dyDescent="0.25">
      <c r="A46" s="11">
        <v>0</v>
      </c>
      <c r="B46" s="15">
        <f>B43</f>
        <v>-0.5</v>
      </c>
      <c r="C46" s="7">
        <v>0.5</v>
      </c>
      <c r="D46" s="7">
        <f>-M44</f>
        <v>0.4330127018922193</v>
      </c>
      <c r="E46" s="7">
        <f>E43</f>
        <v>0</v>
      </c>
      <c r="F46" s="15">
        <f>0</f>
        <v>0</v>
      </c>
      <c r="G46" s="11">
        <f>0</f>
        <v>0</v>
      </c>
      <c r="H46" s="7">
        <f>Q43</f>
        <v>-0.5</v>
      </c>
      <c r="I46" s="15">
        <f>0.5</f>
        <v>0.5</v>
      </c>
      <c r="J46" s="11">
        <v>0</v>
      </c>
      <c r="K46" s="15">
        <f>B45</f>
        <v>0.5</v>
      </c>
      <c r="L46" s="15">
        <f>C44</f>
        <v>0.20710678118654757</v>
      </c>
      <c r="M46" s="8">
        <f>-D44</f>
        <v>-0.25</v>
      </c>
      <c r="N46" s="8">
        <f>N43</f>
        <v>-0.61</v>
      </c>
      <c r="O46" s="8">
        <f>1+O44</f>
        <v>0.52</v>
      </c>
      <c r="P46" s="15">
        <f>1+P44</f>
        <v>0.62</v>
      </c>
      <c r="Q46" s="8">
        <f>H43</f>
        <v>0</v>
      </c>
      <c r="R46" s="8">
        <f>0</f>
        <v>0</v>
      </c>
      <c r="S46" s="11"/>
      <c r="T46" s="101" t="str">
        <f>E41</f>
        <v>Yield</v>
      </c>
      <c r="U46" s="43"/>
    </row>
    <row r="47" spans="1:27" x14ac:dyDescent="0.25">
      <c r="A47" s="11">
        <v>0</v>
      </c>
      <c r="B47" s="15">
        <f>B43</f>
        <v>-0.5</v>
      </c>
      <c r="C47" s="7">
        <f>C44</f>
        <v>0.20710678118654757</v>
      </c>
      <c r="D47" s="7">
        <f>-M43</f>
        <v>0.5</v>
      </c>
      <c r="E47" s="19">
        <f>E46</f>
        <v>0</v>
      </c>
      <c r="F47" s="15">
        <f>-F45</f>
        <v>-0.5</v>
      </c>
      <c r="G47" s="11">
        <f>G43</f>
        <v>-0.5</v>
      </c>
      <c r="H47" s="7">
        <f>H43</f>
        <v>0</v>
      </c>
      <c r="I47" s="15">
        <f>I45+0.07</f>
        <v>0.42355339059327379</v>
      </c>
      <c r="J47" s="11">
        <v>0</v>
      </c>
      <c r="K47" s="15">
        <f>B47</f>
        <v>-0.5</v>
      </c>
      <c r="L47" s="15">
        <v>0.5</v>
      </c>
      <c r="M47" s="8">
        <f>D43</f>
        <v>0</v>
      </c>
      <c r="N47" s="31">
        <f>N43</f>
        <v>-0.61</v>
      </c>
      <c r="O47" s="8">
        <f>O45</f>
        <v>0.34</v>
      </c>
      <c r="P47" s="15">
        <f>P45</f>
        <v>0.12</v>
      </c>
      <c r="Q47" s="8">
        <f>Q43</f>
        <v>-0.5</v>
      </c>
      <c r="R47" s="8">
        <f>-R45-0.05</f>
        <v>0.3035533905932738</v>
      </c>
      <c r="S47" s="11"/>
      <c r="T47" s="101" t="str">
        <f>F41</f>
        <v>County</v>
      </c>
      <c r="U47" s="43"/>
    </row>
    <row r="48" spans="1:27" x14ac:dyDescent="0.25">
      <c r="A48" s="11">
        <v>0</v>
      </c>
      <c r="B48" s="20">
        <f>$B$47</f>
        <v>-0.5</v>
      </c>
      <c r="C48" s="7">
        <f>C43</f>
        <v>-0.20710678118654757</v>
      </c>
      <c r="D48" s="7">
        <f>D46</f>
        <v>0.4330127018922193</v>
      </c>
      <c r="E48" s="19">
        <f>E46</f>
        <v>0</v>
      </c>
      <c r="F48" s="15">
        <f>F43</f>
        <v>-0.28000000000000003</v>
      </c>
      <c r="G48" s="11">
        <f>G47</f>
        <v>-0.5</v>
      </c>
      <c r="H48" s="19">
        <f>H43</f>
        <v>0</v>
      </c>
      <c r="I48" s="15">
        <f>0.25+0.075</f>
        <v>0.32500000000000001</v>
      </c>
      <c r="J48" s="11">
        <v>0</v>
      </c>
      <c r="K48" s="20">
        <f>$K$47</f>
        <v>-0.5</v>
      </c>
      <c r="L48" s="15">
        <v>0.5</v>
      </c>
      <c r="M48" s="8">
        <f>-M46</f>
        <v>0.25</v>
      </c>
      <c r="N48" s="31">
        <f>N43</f>
        <v>-0.61</v>
      </c>
      <c r="O48" s="8">
        <f>O43</f>
        <v>-0.48</v>
      </c>
      <c r="P48" s="15">
        <f>P43</f>
        <v>-0.38</v>
      </c>
      <c r="Q48" s="31">
        <f>Q43</f>
        <v>-0.5</v>
      </c>
      <c r="R48" s="8">
        <f>1+R43</f>
        <v>0.44999999999999996</v>
      </c>
      <c r="S48" s="11"/>
      <c r="T48" s="101" t="str">
        <f>G41</f>
        <v>School</v>
      </c>
      <c r="U48" s="43"/>
    </row>
    <row r="49" spans="1:21" x14ac:dyDescent="0.25">
      <c r="A49" s="11">
        <v>0</v>
      </c>
      <c r="B49" s="20">
        <f t="shared" ref="B49:B59" si="4">$B$47</f>
        <v>-0.5</v>
      </c>
      <c r="C49" s="7">
        <v>-0.5</v>
      </c>
      <c r="D49" s="7">
        <f>D45</f>
        <v>0.35355339059327379</v>
      </c>
      <c r="E49" s="19">
        <f>E46</f>
        <v>0</v>
      </c>
      <c r="F49" s="20">
        <f>F43</f>
        <v>-0.28000000000000003</v>
      </c>
      <c r="G49" s="27">
        <f>G47</f>
        <v>-0.5</v>
      </c>
      <c r="H49" s="19">
        <f>H43</f>
        <v>0</v>
      </c>
      <c r="I49" s="15">
        <f>I48*2/3</f>
        <v>0.21666666666666667</v>
      </c>
      <c r="J49" s="11">
        <v>0</v>
      </c>
      <c r="K49" s="20">
        <f t="shared" ref="K49:K59" si="5">$K$47</f>
        <v>-0.5</v>
      </c>
      <c r="L49" s="15">
        <f>L46</f>
        <v>0.20710678118654757</v>
      </c>
      <c r="M49" s="8">
        <f>-M45</f>
        <v>0.35355339059327379</v>
      </c>
      <c r="N49" s="31">
        <f>N43</f>
        <v>-0.61</v>
      </c>
      <c r="O49" s="31">
        <f>O43</f>
        <v>-0.48</v>
      </c>
      <c r="P49" s="20">
        <f>P43</f>
        <v>-0.38</v>
      </c>
      <c r="Q49" s="31">
        <f>Q43</f>
        <v>-0.5</v>
      </c>
      <c r="R49" s="8">
        <v>0.42</v>
      </c>
      <c r="S49" s="11"/>
      <c r="T49" s="101" t="str">
        <f>H41</f>
        <v>Diamond</v>
      </c>
      <c r="U49" s="43"/>
    </row>
    <row r="50" spans="1:21" x14ac:dyDescent="0.25">
      <c r="A50" s="11">
        <v>0</v>
      </c>
      <c r="B50" s="20">
        <f t="shared" si="4"/>
        <v>-0.5</v>
      </c>
      <c r="C50" s="7">
        <v>-0.5</v>
      </c>
      <c r="D50" s="7">
        <f>M48</f>
        <v>0.25</v>
      </c>
      <c r="E50" s="19">
        <f>E46</f>
        <v>0</v>
      </c>
      <c r="F50" s="20">
        <f>F43</f>
        <v>-0.28000000000000003</v>
      </c>
      <c r="G50" s="27">
        <f>G47</f>
        <v>-0.5</v>
      </c>
      <c r="H50" s="19">
        <f>H43</f>
        <v>0</v>
      </c>
      <c r="I50" s="15">
        <f>I48/3</f>
        <v>0.10833333333333334</v>
      </c>
      <c r="J50" s="11">
        <v>0</v>
      </c>
      <c r="K50" s="20">
        <f t="shared" si="5"/>
        <v>-0.5</v>
      </c>
      <c r="L50" s="15">
        <f>L45</f>
        <v>-0.20710678118654757</v>
      </c>
      <c r="M50" s="8">
        <f>D48</f>
        <v>0.4330127018922193</v>
      </c>
      <c r="N50" s="31">
        <f>N43</f>
        <v>-0.61</v>
      </c>
      <c r="O50" s="31">
        <f>O43</f>
        <v>-0.48</v>
      </c>
      <c r="P50" s="20">
        <f>P43</f>
        <v>-0.38</v>
      </c>
      <c r="Q50" s="31">
        <f>Q43</f>
        <v>-0.5</v>
      </c>
      <c r="R50" s="8">
        <f>R49</f>
        <v>0.42</v>
      </c>
      <c r="S50" s="11"/>
      <c r="T50" s="101" t="str">
        <f>I41</f>
        <v>Shield</v>
      </c>
      <c r="U50" s="43"/>
    </row>
    <row r="51" spans="1:21" x14ac:dyDescent="0.25">
      <c r="A51" s="11">
        <v>0</v>
      </c>
      <c r="B51" s="20">
        <f t="shared" si="4"/>
        <v>-0.5</v>
      </c>
      <c r="C51" s="7">
        <f>C43</f>
        <v>-0.20710678118654757</v>
      </c>
      <c r="D51" s="7">
        <f>M47</f>
        <v>0</v>
      </c>
      <c r="E51" s="19">
        <f>E46</f>
        <v>0</v>
      </c>
      <c r="F51" s="20">
        <f>F43</f>
        <v>-0.28000000000000003</v>
      </c>
      <c r="G51" s="27">
        <f>G47</f>
        <v>-0.5</v>
      </c>
      <c r="H51" s="19">
        <f>H43</f>
        <v>0</v>
      </c>
      <c r="I51" s="15">
        <f>0</f>
        <v>0</v>
      </c>
      <c r="J51" s="11">
        <v>0</v>
      </c>
      <c r="K51" s="20">
        <f t="shared" si="5"/>
        <v>-0.5</v>
      </c>
      <c r="L51" s="15">
        <v>-0.5</v>
      </c>
      <c r="M51" s="8">
        <f>D47</f>
        <v>0.5</v>
      </c>
      <c r="N51" s="31">
        <f>N43</f>
        <v>-0.61</v>
      </c>
      <c r="O51" s="31">
        <f>O43</f>
        <v>-0.48</v>
      </c>
      <c r="P51" s="20">
        <f>P43</f>
        <v>-0.38</v>
      </c>
      <c r="Q51" s="31">
        <f>Q43</f>
        <v>-0.5</v>
      </c>
      <c r="R51" s="8">
        <f>R48</f>
        <v>0.44999999999999996</v>
      </c>
      <c r="S51" s="11"/>
    </row>
    <row r="52" spans="1:21" x14ac:dyDescent="0.25">
      <c r="A52" s="11">
        <v>0</v>
      </c>
      <c r="B52" s="20">
        <f t="shared" si="4"/>
        <v>-0.5</v>
      </c>
      <c r="C52" s="19">
        <f>C51</f>
        <v>-0.20710678118654757</v>
      </c>
      <c r="D52" s="7">
        <f>-D50</f>
        <v>-0.25</v>
      </c>
      <c r="E52" s="19">
        <f>E46</f>
        <v>0</v>
      </c>
      <c r="F52" s="20">
        <f>F43</f>
        <v>-0.28000000000000003</v>
      </c>
      <c r="G52" s="27">
        <f>G47</f>
        <v>-0.5</v>
      </c>
      <c r="H52" s="19">
        <f>H43</f>
        <v>0</v>
      </c>
      <c r="I52" s="15">
        <f>-I50</f>
        <v>-0.10833333333333334</v>
      </c>
      <c r="J52" s="11">
        <v>0</v>
      </c>
      <c r="K52" s="20">
        <f t="shared" si="5"/>
        <v>-0.5</v>
      </c>
      <c r="L52" s="20">
        <v>-0.5</v>
      </c>
      <c r="M52" s="8">
        <f>M50</f>
        <v>0.4330127018922193</v>
      </c>
      <c r="N52" s="31">
        <f>N43</f>
        <v>-0.61</v>
      </c>
      <c r="O52" s="31">
        <f>O43</f>
        <v>-0.48</v>
      </c>
      <c r="P52" s="20">
        <f>P43</f>
        <v>-0.38</v>
      </c>
      <c r="Q52" s="31">
        <f>Q43</f>
        <v>-0.5</v>
      </c>
      <c r="R52" s="8">
        <f>R50</f>
        <v>0.42</v>
      </c>
      <c r="S52" s="11"/>
    </row>
    <row r="53" spans="1:21" x14ac:dyDescent="0.25">
      <c r="A53" s="11">
        <v>0</v>
      </c>
      <c r="B53" s="20">
        <f t="shared" si="4"/>
        <v>-0.5</v>
      </c>
      <c r="C53" s="19">
        <f>C51</f>
        <v>-0.20710678118654757</v>
      </c>
      <c r="D53" s="7">
        <f>-D49</f>
        <v>-0.35355339059327379</v>
      </c>
      <c r="E53" s="19">
        <f>E46</f>
        <v>0</v>
      </c>
      <c r="F53" s="20">
        <f>F43</f>
        <v>-0.28000000000000003</v>
      </c>
      <c r="G53" s="27">
        <f>G47</f>
        <v>-0.5</v>
      </c>
      <c r="H53" s="19">
        <f>H43</f>
        <v>0</v>
      </c>
      <c r="I53" s="15">
        <f>-I49</f>
        <v>-0.21666666666666667</v>
      </c>
      <c r="J53" s="11">
        <v>0</v>
      </c>
      <c r="K53" s="20">
        <f t="shared" si="5"/>
        <v>-0.5</v>
      </c>
      <c r="L53" s="20">
        <v>-0.5</v>
      </c>
      <c r="M53" s="8">
        <f>M49</f>
        <v>0.35355339059327379</v>
      </c>
      <c r="N53" s="31">
        <f>N43</f>
        <v>-0.61</v>
      </c>
      <c r="O53" s="31">
        <f>O43</f>
        <v>-0.48</v>
      </c>
      <c r="P53" s="20">
        <f>P43</f>
        <v>-0.38</v>
      </c>
      <c r="Q53" s="31">
        <f>Q43</f>
        <v>-0.5</v>
      </c>
      <c r="R53" s="8">
        <f>R49</f>
        <v>0.42</v>
      </c>
      <c r="S53" s="11"/>
    </row>
    <row r="54" spans="1:21" x14ac:dyDescent="0.25">
      <c r="A54" s="11">
        <v>0</v>
      </c>
      <c r="B54" s="20">
        <f t="shared" si="4"/>
        <v>-0.5</v>
      </c>
      <c r="C54" s="19">
        <f>C51</f>
        <v>-0.20710678118654757</v>
      </c>
      <c r="D54" s="7">
        <f>-D48</f>
        <v>-0.4330127018922193</v>
      </c>
      <c r="E54" s="19">
        <f>E46</f>
        <v>0</v>
      </c>
      <c r="F54" s="20">
        <f>F43</f>
        <v>-0.28000000000000003</v>
      </c>
      <c r="G54" s="27">
        <f>G47</f>
        <v>-0.5</v>
      </c>
      <c r="H54" s="19">
        <f>H43</f>
        <v>0</v>
      </c>
      <c r="I54" s="15">
        <f>-I48</f>
        <v>-0.32500000000000001</v>
      </c>
      <c r="J54" s="11">
        <v>0</v>
      </c>
      <c r="K54" s="20">
        <f t="shared" si="5"/>
        <v>-0.5</v>
      </c>
      <c r="L54" s="20">
        <v>-0.5</v>
      </c>
      <c r="M54" s="8">
        <f>M48</f>
        <v>0.25</v>
      </c>
      <c r="N54" s="31">
        <f>N43</f>
        <v>-0.61</v>
      </c>
      <c r="O54" s="31">
        <f>O43</f>
        <v>-0.48</v>
      </c>
      <c r="P54" s="20">
        <f>P43</f>
        <v>-0.38</v>
      </c>
      <c r="Q54" s="31">
        <f>Q43</f>
        <v>-0.5</v>
      </c>
      <c r="R54" s="8">
        <f>R48</f>
        <v>0.44999999999999996</v>
      </c>
      <c r="S54" s="11"/>
    </row>
    <row r="55" spans="1:21" x14ac:dyDescent="0.25">
      <c r="A55" s="11">
        <v>0</v>
      </c>
      <c r="B55" s="20">
        <f t="shared" si="4"/>
        <v>-0.5</v>
      </c>
      <c r="C55" s="19">
        <f>C51</f>
        <v>-0.20710678118654757</v>
      </c>
      <c r="D55" s="7">
        <f>-D47</f>
        <v>-0.5</v>
      </c>
      <c r="E55" s="19">
        <f>E46</f>
        <v>0</v>
      </c>
      <c r="F55" s="20">
        <f>F43</f>
        <v>-0.28000000000000003</v>
      </c>
      <c r="G55" s="27">
        <f>G47</f>
        <v>-0.5</v>
      </c>
      <c r="H55" s="19">
        <f>H43</f>
        <v>0</v>
      </c>
      <c r="I55" s="15">
        <f>-I47</f>
        <v>-0.42355339059327379</v>
      </c>
      <c r="J55" s="11">
        <v>0</v>
      </c>
      <c r="K55" s="20">
        <f t="shared" si="5"/>
        <v>-0.5</v>
      </c>
      <c r="L55" s="20">
        <v>-0.5</v>
      </c>
      <c r="M55" s="8">
        <f>M47</f>
        <v>0</v>
      </c>
      <c r="N55" s="31">
        <f>N43</f>
        <v>-0.61</v>
      </c>
      <c r="O55" s="31">
        <f>O43</f>
        <v>-0.48</v>
      </c>
      <c r="P55" s="20">
        <f>P43</f>
        <v>-0.38</v>
      </c>
      <c r="Q55" s="31">
        <f>Q43</f>
        <v>-0.5</v>
      </c>
      <c r="R55" s="8">
        <f>R47</f>
        <v>0.3035533905932738</v>
      </c>
      <c r="S55" s="11"/>
    </row>
    <row r="56" spans="1:21" x14ac:dyDescent="0.25">
      <c r="A56" s="11">
        <v>0</v>
      </c>
      <c r="B56" s="20">
        <f t="shared" si="4"/>
        <v>-0.5</v>
      </c>
      <c r="C56" s="19">
        <f>C51</f>
        <v>-0.20710678118654757</v>
      </c>
      <c r="D56" s="7">
        <f>D54</f>
        <v>-0.4330127018922193</v>
      </c>
      <c r="E56" s="19">
        <f>E46</f>
        <v>0</v>
      </c>
      <c r="F56" s="20">
        <f>F43</f>
        <v>-0.28000000000000003</v>
      </c>
      <c r="G56" s="27">
        <f>G47</f>
        <v>-0.5</v>
      </c>
      <c r="H56" s="19">
        <f>H43</f>
        <v>0</v>
      </c>
      <c r="I56" s="15">
        <f>-I46</f>
        <v>-0.5</v>
      </c>
      <c r="J56" s="11">
        <v>0</v>
      </c>
      <c r="K56" s="20">
        <f t="shared" si="5"/>
        <v>-0.5</v>
      </c>
      <c r="L56" s="20">
        <v>-0.5</v>
      </c>
      <c r="M56" s="8">
        <f>-M54</f>
        <v>-0.25</v>
      </c>
      <c r="N56" s="31">
        <f>N43</f>
        <v>-0.61</v>
      </c>
      <c r="O56" s="31">
        <f>O43</f>
        <v>-0.48</v>
      </c>
      <c r="P56" s="20">
        <f>P43</f>
        <v>-0.38</v>
      </c>
      <c r="Q56" s="31">
        <f>Q43</f>
        <v>-0.5</v>
      </c>
      <c r="R56" s="8">
        <f>R46</f>
        <v>0</v>
      </c>
      <c r="S56" s="11"/>
    </row>
    <row r="57" spans="1:21" x14ac:dyDescent="0.25">
      <c r="A57" s="11">
        <v>0</v>
      </c>
      <c r="B57" s="20">
        <f t="shared" si="4"/>
        <v>-0.5</v>
      </c>
      <c r="C57" s="19">
        <f>C51</f>
        <v>-0.20710678118654757</v>
      </c>
      <c r="D57" s="7">
        <f>D53</f>
        <v>-0.35355339059327379</v>
      </c>
      <c r="E57" s="19">
        <f>E46</f>
        <v>0</v>
      </c>
      <c r="F57" s="20">
        <f>F43</f>
        <v>-0.28000000000000003</v>
      </c>
      <c r="G57" s="27">
        <f>G47</f>
        <v>-0.5</v>
      </c>
      <c r="H57" s="19">
        <f>H43</f>
        <v>0</v>
      </c>
      <c r="I57" s="15">
        <f>-I45</f>
        <v>-0.35355339059327379</v>
      </c>
      <c r="J57" s="11">
        <v>0</v>
      </c>
      <c r="K57" s="20">
        <f t="shared" si="5"/>
        <v>-0.5</v>
      </c>
      <c r="L57" s="20">
        <v>-0.5</v>
      </c>
      <c r="M57" s="8">
        <f>-M53</f>
        <v>-0.35355339059327379</v>
      </c>
      <c r="N57" s="31">
        <f>N43</f>
        <v>-0.61</v>
      </c>
      <c r="O57" s="31">
        <f>O43</f>
        <v>-0.48</v>
      </c>
      <c r="P57" s="20">
        <f>P43</f>
        <v>-0.38</v>
      </c>
      <c r="Q57" s="31">
        <f>Q43</f>
        <v>-0.5</v>
      </c>
      <c r="R57" s="8">
        <f>R45</f>
        <v>-0.35355339059327379</v>
      </c>
      <c r="S57" s="11"/>
    </row>
    <row r="58" spans="1:21" x14ac:dyDescent="0.25">
      <c r="A58" s="11">
        <v>0</v>
      </c>
      <c r="B58" s="20">
        <f t="shared" si="4"/>
        <v>-0.5</v>
      </c>
      <c r="C58" s="19">
        <f>C51</f>
        <v>-0.20710678118654757</v>
      </c>
      <c r="D58" s="7">
        <f>M56</f>
        <v>-0.25</v>
      </c>
      <c r="E58" s="19">
        <f>E46</f>
        <v>0</v>
      </c>
      <c r="F58" s="20">
        <f>F43</f>
        <v>-0.28000000000000003</v>
      </c>
      <c r="G58" s="27">
        <f>G47</f>
        <v>-0.5</v>
      </c>
      <c r="H58" s="19">
        <f>H43</f>
        <v>0</v>
      </c>
      <c r="I58" s="15">
        <f>-I44</f>
        <v>-0.25</v>
      </c>
      <c r="J58" s="11">
        <v>0</v>
      </c>
      <c r="K58" s="20">
        <f t="shared" si="5"/>
        <v>-0.5</v>
      </c>
      <c r="L58" s="20">
        <v>-0.5</v>
      </c>
      <c r="M58" s="8">
        <f>D56</f>
        <v>-0.4330127018922193</v>
      </c>
      <c r="N58" s="31">
        <f>N43</f>
        <v>-0.61</v>
      </c>
      <c r="O58" s="31">
        <f>O43</f>
        <v>-0.48</v>
      </c>
      <c r="P58" s="20">
        <f>P43</f>
        <v>-0.38</v>
      </c>
      <c r="Q58" s="31">
        <f>Q43</f>
        <v>-0.5</v>
      </c>
      <c r="R58" s="8">
        <f>R44</f>
        <v>-0.4330127018922193</v>
      </c>
      <c r="S58" s="11"/>
    </row>
    <row r="59" spans="1:21" ht="15.75" thickBot="1" x14ac:dyDescent="0.3">
      <c r="A59" s="11">
        <v>0</v>
      </c>
      <c r="B59" s="29">
        <f t="shared" si="4"/>
        <v>-0.5</v>
      </c>
      <c r="C59" s="26">
        <f>C51</f>
        <v>-0.20710678118654757</v>
      </c>
      <c r="D59" s="12">
        <f>D43</f>
        <v>0</v>
      </c>
      <c r="E59" s="26">
        <f>E46</f>
        <v>0</v>
      </c>
      <c r="F59" s="29">
        <f>F43</f>
        <v>-0.28000000000000003</v>
      </c>
      <c r="G59" s="28">
        <f>G47</f>
        <v>-0.5</v>
      </c>
      <c r="H59" s="26">
        <f>H43</f>
        <v>0</v>
      </c>
      <c r="I59" s="16">
        <f>I43</f>
        <v>0</v>
      </c>
      <c r="J59" s="11">
        <v>0</v>
      </c>
      <c r="K59" s="29">
        <f t="shared" si="5"/>
        <v>-0.5</v>
      </c>
      <c r="L59" s="29">
        <v>-0.5</v>
      </c>
      <c r="M59" s="13">
        <f t="shared" ref="M59:R59" si="6">M43</f>
        <v>-0.5</v>
      </c>
      <c r="N59" s="32">
        <f t="shared" si="6"/>
        <v>-0.61</v>
      </c>
      <c r="O59" s="32">
        <f t="shared" si="6"/>
        <v>-0.48</v>
      </c>
      <c r="P59" s="29">
        <f t="shared" si="6"/>
        <v>-0.38</v>
      </c>
      <c r="Q59" s="32">
        <f t="shared" si="6"/>
        <v>-0.5</v>
      </c>
      <c r="R59" s="13">
        <f t="shared" si="6"/>
        <v>-0.55000000000000004</v>
      </c>
      <c r="S59" s="11"/>
    </row>
    <row r="60" spans="1:21" x14ac:dyDescent="0.25">
      <c r="A60" s="100">
        <v>0</v>
      </c>
      <c r="B60" s="103">
        <f>B45</f>
        <v>0.5</v>
      </c>
      <c r="C60" s="103">
        <f>C45</f>
        <v>0.5</v>
      </c>
      <c r="D60" s="103">
        <f>D47</f>
        <v>0.5</v>
      </c>
      <c r="E60" s="103">
        <f>E44</f>
        <v>0.5</v>
      </c>
      <c r="F60" s="103">
        <f>F45</f>
        <v>0.5</v>
      </c>
      <c r="G60" s="103">
        <f>G45</f>
        <v>0.5</v>
      </c>
      <c r="H60" s="103">
        <v>0.5</v>
      </c>
      <c r="I60" s="103">
        <f>I47</f>
        <v>0.42355339059327379</v>
      </c>
      <c r="J60" s="100">
        <v>0</v>
      </c>
      <c r="K60" s="103">
        <f>K45</f>
        <v>0.5</v>
      </c>
      <c r="L60" s="103">
        <f>L47</f>
        <v>0.5</v>
      </c>
      <c r="M60" s="103">
        <f>M51</f>
        <v>0.5</v>
      </c>
      <c r="N60" s="103">
        <f>-N46</f>
        <v>0.61</v>
      </c>
      <c r="O60" s="103">
        <f>-O48</f>
        <v>0.48</v>
      </c>
      <c r="P60" s="103">
        <f>-P48</f>
        <v>0.38</v>
      </c>
      <c r="Q60" s="103">
        <v>0.5</v>
      </c>
      <c r="R60" s="103">
        <f>-R59</f>
        <v>0.55000000000000004</v>
      </c>
      <c r="S60" t="s">
        <v>13</v>
      </c>
    </row>
    <row r="70" spans="1:12" x14ac:dyDescent="0.25">
      <c r="A70" s="30">
        <f>IF(G156&gt;4,-A157/2-I38,0)</f>
        <v>-1.3333333333333333</v>
      </c>
      <c r="B70" t="s">
        <v>30</v>
      </c>
      <c r="F70" s="30">
        <f>IF(B156&gt;4,F157/2+I38,0)</f>
        <v>1.3333333333333333</v>
      </c>
      <c r="G70" t="s">
        <v>30</v>
      </c>
      <c r="K70" t="s">
        <v>19</v>
      </c>
      <c r="L70" s="30">
        <f>MAX(B158,G158)</f>
        <v>12.916666666666666</v>
      </c>
    </row>
    <row r="71" spans="1:12" ht="15.75" thickBot="1" x14ac:dyDescent="0.3"/>
    <row r="72" spans="1:12" x14ac:dyDescent="0.25">
      <c r="A72" s="104" t="s">
        <v>9</v>
      </c>
      <c r="B72" s="25">
        <f>'Sign Suppport Design'!G6</f>
        <v>2</v>
      </c>
      <c r="C72" t="s">
        <v>33</v>
      </c>
      <c r="F72" s="104" t="s">
        <v>14</v>
      </c>
      <c r="G72" s="25">
        <f>'Sign Suppport Design'!M6</f>
        <v>2</v>
      </c>
      <c r="H72" t="s">
        <v>33</v>
      </c>
      <c r="K72" s="111" t="s">
        <v>18</v>
      </c>
      <c r="L72" s="34"/>
    </row>
    <row r="73" spans="1:12" x14ac:dyDescent="0.25">
      <c r="A73" s="112">
        <f>IF('Sign Suppport Design'!G6=8,'Sign Suppport Design'!E7*1.41/12,IF('Sign Suppport Design'!G6&gt;1,'Sign Suppport Design'!E7/12,0))</f>
        <v>2</v>
      </c>
      <c r="B73" s="106">
        <f>IF('Sign Suppport Design'!G6=2,'Sign Suppport Design'!F7/12,(IF('Sign Suppport Design'!G6=5,'Sign Suppport Design'!F7*0.87/12,(IF('Sign Suppport Design'!G6=9,'Sign Suppport Design'!F7/12,A73)))))</f>
        <v>1</v>
      </c>
      <c r="C73" t="s">
        <v>26</v>
      </c>
      <c r="F73" s="112">
        <f>IF('Sign Suppport Design'!M6=8,'Sign Suppport Design'!N7*1.41/12,IF('Sign Suppport Design'!M6&gt;1,'Sign Suppport Design'!N7/12,0))</f>
        <v>2</v>
      </c>
      <c r="G73" s="106">
        <f>IF('Sign Suppport Design'!M6=2,'Sign Suppport Design'!O7/12,(IF(G72=5,'Sign Suppport Design'!N7*0.87/12,(IF('Sign Suppport Design'!M6=9,'Sign Suppport Design'!O7/12,F73)))))</f>
        <v>1</v>
      </c>
      <c r="H73" t="s">
        <v>26</v>
      </c>
      <c r="K73" s="107">
        <f>-L34/24</f>
        <v>-0.16666666666666666</v>
      </c>
      <c r="L73" s="149">
        <v>0</v>
      </c>
    </row>
    <row r="74" spans="1:12" ht="15.75" thickBot="1" x14ac:dyDescent="0.3">
      <c r="A74" s="113">
        <f>A70</f>
        <v>-1.3333333333333333</v>
      </c>
      <c r="B74" s="105">
        <f>B95+IF(B72&gt;1,B73*HLOOKUP(B72,$K$42:$R$60,19)+IF(B93=1,0,B94+I38-B94*HLOOKUP(B93,$K$42:$R$60,19)),0)</f>
        <v>11.916666666666668</v>
      </c>
      <c r="C74" t="s">
        <v>27</v>
      </c>
      <c r="F74" s="113">
        <f>F70</f>
        <v>1.3333333333333333</v>
      </c>
      <c r="G74" s="105">
        <f>G95+IF(G72&gt;1,G73*HLOOKUP(G72,$K$42:$R$60,19)+IF(G93=1,0,G94+I38-G94*HLOOKUP(G93,$K$42:$R$60,19)),0)</f>
        <v>12.416666666666666</v>
      </c>
      <c r="H74" t="s">
        <v>27</v>
      </c>
      <c r="K74" s="107">
        <f>-K73</f>
        <v>0.16666666666666666</v>
      </c>
      <c r="L74" s="149">
        <v>0</v>
      </c>
    </row>
    <row r="75" spans="1:12" x14ac:dyDescent="0.25">
      <c r="A75" s="41">
        <f>$A73*HLOOKUP('Sign Suppport Design'!$G$6,$A$42:$I$59,2)+A74</f>
        <v>-2.333333333333333</v>
      </c>
      <c r="B75" s="42">
        <f>$B73*HLOOKUP($B72,$J$42:$R$59,2)+B74</f>
        <v>11.416666666666668</v>
      </c>
      <c r="F75" s="23">
        <f>$F$73*HLOOKUP($G$72,$A$42:$I$59,2)+$F$74</f>
        <v>0.33333333333333326</v>
      </c>
      <c r="G75" s="24">
        <f>$G73*HLOOKUP($G72,$J$42:$R$59,2)+G74</f>
        <v>11.916666666666666</v>
      </c>
      <c r="K75" s="107">
        <f>K74</f>
        <v>0.16666666666666666</v>
      </c>
      <c r="L75" s="149">
        <f>L70</f>
        <v>12.916666666666666</v>
      </c>
    </row>
    <row r="76" spans="1:12" x14ac:dyDescent="0.25">
      <c r="A76" s="17">
        <f>$A73*HLOOKUP('Sign Suppport Design'!$G$6,$A$42:$I$59,3)+A74</f>
        <v>-0.33333333333333326</v>
      </c>
      <c r="B76" s="21">
        <f>$B73*HLOOKUP($B72,$J$42:$R$59,3)+B74</f>
        <v>11.416666666666668</v>
      </c>
      <c r="F76" s="23">
        <f>$F$73*HLOOKUP($G$72,$A$42:$I$59,3)+$F$74</f>
        <v>2.333333333333333</v>
      </c>
      <c r="G76" s="21">
        <f>$G73*HLOOKUP($G72,$J$42:$R$59,3)+G74</f>
        <v>11.916666666666666</v>
      </c>
      <c r="K76" s="107">
        <f>K73</f>
        <v>-0.16666666666666666</v>
      </c>
      <c r="L76" s="149">
        <f>L70</f>
        <v>12.916666666666666</v>
      </c>
    </row>
    <row r="77" spans="1:12" ht="15.75" thickBot="1" x14ac:dyDescent="0.3">
      <c r="A77" s="17">
        <f>$A73*HLOOKUP('Sign Suppport Design'!$G$6,$A$42:$I$59,4)+A74</f>
        <v>-0.33333333333333326</v>
      </c>
      <c r="B77" s="21">
        <f>$B73*HLOOKUP($B72,$J$42:$R$59,4)+B74</f>
        <v>12.416666666666668</v>
      </c>
      <c r="F77" s="23">
        <f>$F$73*HLOOKUP($G$72,$A$42:$I$59,4)+$F$74</f>
        <v>2.333333333333333</v>
      </c>
      <c r="G77" s="21">
        <f>$G73*HLOOKUP($G72,$J$42:$R$59,4)+G74</f>
        <v>12.916666666666666</v>
      </c>
      <c r="K77" s="108">
        <f>K73</f>
        <v>-0.16666666666666666</v>
      </c>
      <c r="L77" s="150">
        <v>0</v>
      </c>
    </row>
    <row r="78" spans="1:12" x14ac:dyDescent="0.25">
      <c r="A78" s="17">
        <f>$A73*HLOOKUP('Sign Suppport Design'!$G$6,$A$42:$I$59,5)+A74</f>
        <v>-2.333333333333333</v>
      </c>
      <c r="B78" s="21">
        <f>$B73*HLOOKUP($B72,$J$42:$R$59,5)+B74</f>
        <v>12.416666666666668</v>
      </c>
      <c r="F78" s="23">
        <f>$F$73*HLOOKUP($G$72,$A$42:$I$59,5)+$F$74</f>
        <v>0.33333333333333326</v>
      </c>
      <c r="G78" s="21">
        <f>$G73*HLOOKUP($G72,$J$42:$R$59,5)+G74</f>
        <v>12.916666666666666</v>
      </c>
    </row>
    <row r="79" spans="1:12" x14ac:dyDescent="0.25">
      <c r="A79" s="17">
        <f>$A73*HLOOKUP('Sign Suppport Design'!$G$6,$A$42:$I$59,6)+A74</f>
        <v>-2.333333333333333</v>
      </c>
      <c r="B79" s="21">
        <f>$B73*HLOOKUP($B72,$J$42:$R$59,6)+B74</f>
        <v>11.416666666666668</v>
      </c>
      <c r="F79" s="23">
        <f>$F$73*HLOOKUP($G$72,$A$42:$I$59,6)+$F$74</f>
        <v>0.33333333333333326</v>
      </c>
      <c r="G79" s="21">
        <f>$G73*HLOOKUP($G72,$J$42:$R$59,6)+G74</f>
        <v>11.916666666666666</v>
      </c>
    </row>
    <row r="80" spans="1:12" x14ac:dyDescent="0.25">
      <c r="A80" s="17">
        <f>$A73*HLOOKUP('Sign Suppport Design'!$G$6,$A$42:$I$59,7)+A74</f>
        <v>-2.333333333333333</v>
      </c>
      <c r="B80" s="21">
        <f>$B73*HLOOKUP($B72,$J$42:$R$59,7)+B74</f>
        <v>11.416666666666668</v>
      </c>
      <c r="F80" s="23">
        <f>$F$73*HLOOKUP($G$72,$A$42:$I$59,7)+$F$74</f>
        <v>0.33333333333333326</v>
      </c>
      <c r="G80" s="21">
        <f>$G73*HLOOKUP($G72,$J$42:$R$59,7)+G74</f>
        <v>11.916666666666666</v>
      </c>
    </row>
    <row r="81" spans="1:8" x14ac:dyDescent="0.25">
      <c r="A81" s="17">
        <f>$A73*HLOOKUP('Sign Suppport Design'!$G$6,$A$42:$I$59,8)+A74</f>
        <v>-2.333333333333333</v>
      </c>
      <c r="B81" s="21">
        <f>$B73*HLOOKUP($B72,$J$42:$R$59,8)+B74</f>
        <v>11.416666666666668</v>
      </c>
      <c r="F81" s="23">
        <f>$F$73*HLOOKUP($G$72,$A$42:$I$59,8)+$F$74</f>
        <v>0.33333333333333326</v>
      </c>
      <c r="G81" s="21">
        <f>$G73*HLOOKUP($G72,$J$42:$R$59,8)+G74</f>
        <v>11.916666666666666</v>
      </c>
    </row>
    <row r="82" spans="1:8" x14ac:dyDescent="0.25">
      <c r="A82" s="17">
        <f>$A73*HLOOKUP('Sign Suppport Design'!$G$6,$A$42:$I$59,9)+A74</f>
        <v>-2.333333333333333</v>
      </c>
      <c r="B82" s="21">
        <f>$B73*HLOOKUP($B72,$J$42:$R$59,9)+B74</f>
        <v>11.416666666666668</v>
      </c>
      <c r="F82" s="23">
        <f>$F$73*HLOOKUP($G$72,$A$42:$I$59,9)+$F$74</f>
        <v>0.33333333333333326</v>
      </c>
      <c r="G82" s="21">
        <f>$G73*HLOOKUP($G72,$J$42:$R$59,9)+G74</f>
        <v>11.916666666666666</v>
      </c>
    </row>
    <row r="83" spans="1:8" x14ac:dyDescent="0.25">
      <c r="A83" s="17">
        <f>$A73*HLOOKUP('Sign Suppport Design'!$G$6,$A$42:$I$59,10)+A74</f>
        <v>-2.333333333333333</v>
      </c>
      <c r="B83" s="21">
        <f>$B73*HLOOKUP($B72,$J$42:$R$59,10)+B74</f>
        <v>11.416666666666668</v>
      </c>
      <c r="F83" s="23">
        <f>$F$73*HLOOKUP($G$72,$A$42:$I$59,10)+$F$74</f>
        <v>0.33333333333333326</v>
      </c>
      <c r="G83" s="21">
        <f>$G73*HLOOKUP($G72,$J$42:$R$59,10)+G74</f>
        <v>11.916666666666666</v>
      </c>
    </row>
    <row r="84" spans="1:8" x14ac:dyDescent="0.25">
      <c r="A84" s="17">
        <f>$A73*HLOOKUP('Sign Suppport Design'!$G$6,$A$42:$I$59,11)+A74</f>
        <v>-2.333333333333333</v>
      </c>
      <c r="B84" s="21">
        <f>$B73*HLOOKUP($B72,$J$42:$R$59,11)+B74</f>
        <v>11.416666666666668</v>
      </c>
      <c r="F84" s="23">
        <f>$F$73*HLOOKUP($G$72,$A$42:$I$59,11)+$F$74</f>
        <v>0.33333333333333326</v>
      </c>
      <c r="G84" s="21">
        <f>$G73*HLOOKUP($G72,$J$42:$R$59,11)+G74</f>
        <v>11.916666666666666</v>
      </c>
    </row>
    <row r="85" spans="1:8" x14ac:dyDescent="0.25">
      <c r="A85" s="17">
        <f>$A73*HLOOKUP('Sign Suppport Design'!$G$6,$A$42:$I$59,12)+A74</f>
        <v>-2.333333333333333</v>
      </c>
      <c r="B85" s="21">
        <f>$B73*HLOOKUP($B72,$J$42:$R$59,12)+B74</f>
        <v>11.416666666666668</v>
      </c>
      <c r="F85" s="23">
        <f>$F$73*HLOOKUP($G$72,$A$42:$I$59,12)+$F$74</f>
        <v>0.33333333333333326</v>
      </c>
      <c r="G85" s="21">
        <f>$G73*HLOOKUP($G72,$J$42:$R$59,12)+G74</f>
        <v>11.916666666666666</v>
      </c>
    </row>
    <row r="86" spans="1:8" x14ac:dyDescent="0.25">
      <c r="A86" s="17">
        <f>$A73*HLOOKUP('Sign Suppport Design'!$G$6,$A$42:$I$59,13)+A74</f>
        <v>-2.333333333333333</v>
      </c>
      <c r="B86" s="21">
        <f>$B73*HLOOKUP($B72,$J$42:$R$59,13)+B74</f>
        <v>11.416666666666668</v>
      </c>
      <c r="F86" s="23">
        <f>$F$73*HLOOKUP($G$72,$A$42:$I$59,13)+$F$74</f>
        <v>0.33333333333333326</v>
      </c>
      <c r="G86" s="21">
        <f>$G73*HLOOKUP($G72,$J$42:$R$59,13)+G74</f>
        <v>11.916666666666666</v>
      </c>
    </row>
    <row r="87" spans="1:8" x14ac:dyDescent="0.25">
      <c r="A87" s="17">
        <f>$A73*HLOOKUP('Sign Suppport Design'!$G$6,$A$42:$I$59,14)+A74</f>
        <v>-2.333333333333333</v>
      </c>
      <c r="B87" s="21">
        <f>$B73*HLOOKUP($B72,$J$42:$R$59,14)+B74</f>
        <v>11.416666666666668</v>
      </c>
      <c r="F87" s="23">
        <f>$F$73*HLOOKUP($G$72,$A$42:$I$59,14)+$F$74</f>
        <v>0.33333333333333326</v>
      </c>
      <c r="G87" s="21">
        <f>$G73*HLOOKUP($G72,$J$42:$R$59,14)+G74</f>
        <v>11.916666666666666</v>
      </c>
    </row>
    <row r="88" spans="1:8" x14ac:dyDescent="0.25">
      <c r="A88" s="17">
        <f>$A73*HLOOKUP('Sign Suppport Design'!$G$6,$A$42:$I$59,15)+A74</f>
        <v>-2.333333333333333</v>
      </c>
      <c r="B88" s="21">
        <f>$B73*HLOOKUP($B72,$J$42:$R$59,15)+B74</f>
        <v>11.416666666666668</v>
      </c>
      <c r="F88" s="23">
        <f>$F$73*HLOOKUP($G$72,$A$42:$I$59,15)+$F$74</f>
        <v>0.33333333333333326</v>
      </c>
      <c r="G88" s="21">
        <f>$G73*HLOOKUP($G72,$J$42:$R$59,15)+G74</f>
        <v>11.916666666666666</v>
      </c>
    </row>
    <row r="89" spans="1:8" x14ac:dyDescent="0.25">
      <c r="A89" s="17">
        <f>$A73*HLOOKUP('Sign Suppport Design'!$G$6,$A$42:$I$59,16)+A74</f>
        <v>-2.333333333333333</v>
      </c>
      <c r="B89" s="21">
        <f>$B73*HLOOKUP($B72,$J$42:$R$59,16)+B74</f>
        <v>11.416666666666668</v>
      </c>
      <c r="F89" s="23">
        <f>$F$73*HLOOKUP($G$72,$A$42:$I$59,16)+$F$74</f>
        <v>0.33333333333333326</v>
      </c>
      <c r="G89" s="21">
        <f>$G73*HLOOKUP($G72,$J$42:$R$59,16)+G74</f>
        <v>11.916666666666666</v>
      </c>
    </row>
    <row r="90" spans="1:8" x14ac:dyDescent="0.25">
      <c r="A90" s="17">
        <f>$A73*HLOOKUP('Sign Suppport Design'!$G$6,$A$42:$I$59,17)+A74</f>
        <v>-2.333333333333333</v>
      </c>
      <c r="B90" s="21">
        <f>$B73*HLOOKUP($B72,$J$42:$R$59,17)+B74</f>
        <v>11.416666666666668</v>
      </c>
      <c r="C90" s="40" t="s">
        <v>20</v>
      </c>
      <c r="F90" s="23">
        <f>$F$73*HLOOKUP($G$72,$A$42:$I$59,17)+$F$74</f>
        <v>0.33333333333333326</v>
      </c>
      <c r="G90" s="21">
        <f>$G73*HLOOKUP($G72,$J$42:$R$59,17)+G74</f>
        <v>11.916666666666666</v>
      </c>
      <c r="H90" s="40" t="s">
        <v>20</v>
      </c>
    </row>
    <row r="91" spans="1:8" ht="15.75" thickBot="1" x14ac:dyDescent="0.3">
      <c r="A91" s="18">
        <f>$A73*HLOOKUP('Sign Suppport Design'!$G$6,$A$42:$I$59,18)+A74</f>
        <v>-2.333333333333333</v>
      </c>
      <c r="B91" s="22">
        <f>$B73*HLOOKUP($B72,$J$42:$R$59,18)+B74</f>
        <v>11.416666666666668</v>
      </c>
      <c r="C91" s="102">
        <f>IF(B72=1,0,IF(B72=3,0.83*A73*B73,IF(B72=4,3.14*(A73/2)^2,IF(B72=5,0.43*A73^2,IF(B72=6,0.76*A73^2,IF(B72=7,0.75*A73^2,IF(B72=8,A73*A73/1.41^2,IF(B72=9,0.8*A73*B73,A73*B73))))))))</f>
        <v>2</v>
      </c>
      <c r="F91" s="23">
        <f>$F$73*HLOOKUP($G$72,$A$42:$I$59,18)+$F$74</f>
        <v>0.33333333333333326</v>
      </c>
      <c r="G91" s="22">
        <f>$G73*HLOOKUP($G72,$J$42:$R$59,18)+G74</f>
        <v>11.916666666666666</v>
      </c>
      <c r="H91" s="102">
        <f>IF(G72=1,0,IF(G72=3,0.83*F73*G73,IF(G72=4,3.14*(F73/2)^2,IF(G72=5,0.43*F73^2,IF(G72=6,0.76*F73^2,IF(G72=7,0.75*F73^2,IF(G72=8,F73*F73/1.41^2,IF(G72=9,0.8*F73*G73,F73*G73))))))))</f>
        <v>2</v>
      </c>
    </row>
    <row r="92" spans="1:8" ht="15.75" thickBot="1" x14ac:dyDescent="0.3">
      <c r="A92" s="2"/>
      <c r="F92" s="2"/>
    </row>
    <row r="93" spans="1:8" x14ac:dyDescent="0.25">
      <c r="A93" s="104" t="s">
        <v>10</v>
      </c>
      <c r="B93" s="25">
        <f>'Sign Suppport Design'!G8</f>
        <v>2</v>
      </c>
      <c r="C93" t="s">
        <v>33</v>
      </c>
      <c r="F93" s="104" t="s">
        <v>16</v>
      </c>
      <c r="G93" s="25">
        <f>'Sign Suppport Design'!M8</f>
        <v>6</v>
      </c>
      <c r="H93" t="s">
        <v>33</v>
      </c>
    </row>
    <row r="94" spans="1:8" x14ac:dyDescent="0.25">
      <c r="A94" s="112">
        <f>IF('Sign Suppport Design'!G8=8,'Sign Suppport Design'!E9*1.41/12,IF('Sign Suppport Design'!G8&gt;1,'Sign Suppport Design'!E9/12,0))</f>
        <v>2.5</v>
      </c>
      <c r="B94" s="106">
        <f>IF('Sign Suppport Design'!G8=2,'Sign Suppport Design'!F9/12,(IF('Sign Suppport Design'!G8=5,'Sign Suppport Design'!F9*0.87/12,(IF('Sign Suppport Design'!G8=9,'Sign Suppport Design'!F9/12,A94)))))</f>
        <v>2</v>
      </c>
      <c r="C94" t="s">
        <v>26</v>
      </c>
      <c r="F94" s="112">
        <f>IF('Sign Suppport Design'!M8=8,'Sign Suppport Design'!N9*1.41/12,IF('Sign Suppport Design'!M8&gt;1,'Sign Suppport Design'!N9/12,0))</f>
        <v>2.5</v>
      </c>
      <c r="G94" s="106">
        <f>IF('Sign Suppport Design'!M8=2,'Sign Suppport Design'!O9/12,(IF(G93=5,'Sign Suppport Design'!N9*0.87/12,(IF('Sign Suppport Design'!M8=9,'Sign Suppport Design'!O9/12,F94)))))</f>
        <v>2.5</v>
      </c>
      <c r="H94" t="s">
        <v>26</v>
      </c>
    </row>
    <row r="95" spans="1:8" ht="15.75" thickBot="1" x14ac:dyDescent="0.3">
      <c r="A95" s="113">
        <f>A70</f>
        <v>-1.3333333333333333</v>
      </c>
      <c r="B95" s="105">
        <f>B116+IF(B93&gt;1,B94*HLOOKUP(B93,$K$42:$R$60,19)+IF(B114=1,0,B115+I38-B115*HLOOKUP(B114,$K$42:$R$60,19)),0)</f>
        <v>10.333333333333334</v>
      </c>
      <c r="C95" t="s">
        <v>27</v>
      </c>
      <c r="F95" s="113">
        <f>F70</f>
        <v>1.3333333333333333</v>
      </c>
      <c r="G95" s="105">
        <f>G116+IF(G93&gt;1,G94*HLOOKUP(G93,$K$42:$R$60,19)+IF(G114=1,0,G115+I38-G115*HLOOKUP(G114,$K$42:$R$60,19)),0)</f>
        <v>10.533333333333333</v>
      </c>
      <c r="H95" t="s">
        <v>27</v>
      </c>
    </row>
    <row r="96" spans="1:8" x14ac:dyDescent="0.25">
      <c r="A96" s="23">
        <f>A94*HLOOKUP(B93,$A$42:$I$59,2)+A95</f>
        <v>-2.583333333333333</v>
      </c>
      <c r="B96" s="24">
        <f>$B94*HLOOKUP($B93,$J$42:$R$59,2)+B95</f>
        <v>9.3333333333333339</v>
      </c>
      <c r="F96" s="23">
        <f>$F94*HLOOKUP($G93,$A$42:$I$59,2)+F95</f>
        <v>0.63333333333333319</v>
      </c>
      <c r="G96" s="24">
        <f>$G94*HLOOKUP($G93,$J$42:$R$59,2)+G95</f>
        <v>9.3333333333333339</v>
      </c>
    </row>
    <row r="97" spans="1:8" x14ac:dyDescent="0.25">
      <c r="A97" s="17">
        <f>$A94*HLOOKUP($B93,$A$42:$I$59,3)+A95</f>
        <v>-8.3333333333333259E-2</v>
      </c>
      <c r="B97" s="21">
        <f>$B94*HLOOKUP($B93,$J$42:$R$59,3)+B95</f>
        <v>9.3333333333333339</v>
      </c>
      <c r="F97" s="17">
        <f>$F94*HLOOKUP($G93,$A$42:$I$59,3)+F95</f>
        <v>2.0333333333333332</v>
      </c>
      <c r="G97" s="21">
        <f>$G94*HLOOKUP($G93,$J$42:$R$59,3)+G95</f>
        <v>9.3333333333333339</v>
      </c>
    </row>
    <row r="98" spans="1:8" x14ac:dyDescent="0.25">
      <c r="A98" s="17">
        <f>$A94*HLOOKUP($B93,$A$42:$I$59,4)+A95</f>
        <v>-8.3333333333333259E-2</v>
      </c>
      <c r="B98" s="21">
        <f>$B94*HLOOKUP($B93,$J$42:$R$59,4)+B95</f>
        <v>11.333333333333334</v>
      </c>
      <c r="F98" s="17">
        <f>$F94*HLOOKUP($G93,$A$42:$I$59,4)+F95</f>
        <v>2.583333333333333</v>
      </c>
      <c r="G98" s="21">
        <f>$G94*HLOOKUP($G93,$J$42:$R$59,4)+G95</f>
        <v>11.383333333333333</v>
      </c>
    </row>
    <row r="99" spans="1:8" x14ac:dyDescent="0.25">
      <c r="A99" s="17">
        <f>$A94*HLOOKUP($B93,$A$42:$I$59,5)+A95</f>
        <v>-2.583333333333333</v>
      </c>
      <c r="B99" s="21">
        <f>$B94*HLOOKUP($B93,$J$42:$R$59,5)+B95</f>
        <v>11.333333333333334</v>
      </c>
      <c r="F99" s="17">
        <f>$F94*HLOOKUP($G93,$A$42:$I$59,5)+F95</f>
        <v>1.3333333333333333</v>
      </c>
      <c r="G99" s="21">
        <f>$G94*HLOOKUP($G93,$J$42:$R$59,5)+G95</f>
        <v>11.833333333333334</v>
      </c>
    </row>
    <row r="100" spans="1:8" x14ac:dyDescent="0.25">
      <c r="A100" s="17">
        <f>$A94*HLOOKUP($B93,$A$42:$I$59,6)+A95</f>
        <v>-2.583333333333333</v>
      </c>
      <c r="B100" s="21">
        <f>$B94*HLOOKUP($B93,$J$42:$R$59,6)+B95</f>
        <v>9.3333333333333339</v>
      </c>
      <c r="F100" s="17">
        <f>$F94*HLOOKUP($G93,$A$42:$I$59,6)+F95</f>
        <v>8.3333333333333259E-2</v>
      </c>
      <c r="G100" s="21">
        <f>$G94*HLOOKUP($G93,$J$42:$R$59,6)+G95</f>
        <v>11.383333333333333</v>
      </c>
    </row>
    <row r="101" spans="1:8" x14ac:dyDescent="0.25">
      <c r="A101" s="17">
        <f>$A94*HLOOKUP($B93,$A$42:$I$59,7)+A95</f>
        <v>-2.583333333333333</v>
      </c>
      <c r="B101" s="21">
        <f>$B94*HLOOKUP($B93,$J$42:$R$59,7)+B95</f>
        <v>9.3333333333333339</v>
      </c>
      <c r="F101" s="17">
        <f>$F94*HLOOKUP($G93,$A$42:$I$59,7)+F95</f>
        <v>0.63333333333333319</v>
      </c>
      <c r="G101" s="21">
        <f>$G94*HLOOKUP($G93,$J$42:$R$59,7)+G95</f>
        <v>9.3333333333333339</v>
      </c>
    </row>
    <row r="102" spans="1:8" x14ac:dyDescent="0.25">
      <c r="A102" s="17">
        <f>$A94*HLOOKUP($B93,$A$42:$I$59,8)+A95</f>
        <v>-2.583333333333333</v>
      </c>
      <c r="B102" s="21">
        <f>$B94*HLOOKUP($B93,$J$42:$R$59,8)+B95</f>
        <v>9.3333333333333339</v>
      </c>
      <c r="F102" s="17">
        <f>$F94*HLOOKUP($G93,$A$42:$I$59,8)+F95</f>
        <v>0.63333333333333319</v>
      </c>
      <c r="G102" s="21">
        <f>$G94*HLOOKUP($G93,$J$42:$R$59,8)+G95</f>
        <v>9.3333333333333339</v>
      </c>
    </row>
    <row r="103" spans="1:8" x14ac:dyDescent="0.25">
      <c r="A103" s="17">
        <f>$A94*HLOOKUP($B93,$A$42:$I$59,9)+A95</f>
        <v>-2.583333333333333</v>
      </c>
      <c r="B103" s="21">
        <f>$B94*HLOOKUP($B93,$J$42:$R$59,9)+B95</f>
        <v>9.3333333333333339</v>
      </c>
      <c r="F103" s="17">
        <f>$F94*HLOOKUP($G93,$A$42:$I$59,9)+F95</f>
        <v>0.63333333333333319</v>
      </c>
      <c r="G103" s="21">
        <f>$G94*HLOOKUP($G93,$J$42:$R$59,9)+G95</f>
        <v>9.3333333333333339</v>
      </c>
    </row>
    <row r="104" spans="1:8" x14ac:dyDescent="0.25">
      <c r="A104" s="17">
        <f>$A94*HLOOKUP($B93,$A$42:$I$59,10)+A95</f>
        <v>-2.583333333333333</v>
      </c>
      <c r="B104" s="21">
        <f>$B94*HLOOKUP($B93,$J$42:$R$59,10)+B95</f>
        <v>9.3333333333333339</v>
      </c>
      <c r="F104" s="17">
        <f>$F94*HLOOKUP($G93,$A$42:$I$59,10)+F95</f>
        <v>0.63333333333333319</v>
      </c>
      <c r="G104" s="21">
        <f>$G94*HLOOKUP($G93,$J$42:$R$59,10)+G95</f>
        <v>9.3333333333333339</v>
      </c>
    </row>
    <row r="105" spans="1:8" x14ac:dyDescent="0.25">
      <c r="A105" s="17">
        <f>$A94*HLOOKUP($B93,$A$42:$I$59,11)+A95</f>
        <v>-2.583333333333333</v>
      </c>
      <c r="B105" s="21">
        <f>$B94*HLOOKUP($B93,$J$42:$R$59,11)+B95</f>
        <v>9.3333333333333339</v>
      </c>
      <c r="F105" s="17">
        <f>$F94*HLOOKUP($G93,$A$42:$I$59,11)+F95</f>
        <v>0.63333333333333319</v>
      </c>
      <c r="G105" s="21">
        <f>$G94*HLOOKUP($G93,$J$42:$R$59,11)+G95</f>
        <v>9.3333333333333339</v>
      </c>
    </row>
    <row r="106" spans="1:8" x14ac:dyDescent="0.25">
      <c r="A106" s="17">
        <f>$A94*HLOOKUP($B93,$A$42:$I$59,12)+A95</f>
        <v>-2.583333333333333</v>
      </c>
      <c r="B106" s="21">
        <f>$B94*HLOOKUP($B93,$J$42:$R$59,12)+B95</f>
        <v>9.3333333333333339</v>
      </c>
      <c r="F106" s="17">
        <f>$F94*HLOOKUP($G93,$A$42:$I$59,12)+F95</f>
        <v>0.63333333333333319</v>
      </c>
      <c r="G106" s="21">
        <f>$G94*HLOOKUP($G93,$J$42:$R$59,12)+G95</f>
        <v>9.3333333333333339</v>
      </c>
    </row>
    <row r="107" spans="1:8" x14ac:dyDescent="0.25">
      <c r="A107" s="17">
        <f>$A94*HLOOKUP($B93,$A$42:$I$59,13)+A95</f>
        <v>-2.583333333333333</v>
      </c>
      <c r="B107" s="21">
        <f>$B94*HLOOKUP($B93,$J$42:$R$59,13)+B95</f>
        <v>9.3333333333333339</v>
      </c>
      <c r="F107" s="17">
        <f>$F94*HLOOKUP($G93,$A$42:$I$59,13)+F95</f>
        <v>0.63333333333333319</v>
      </c>
      <c r="G107" s="21">
        <f>$G94*HLOOKUP($G93,$J$42:$R$59,13)+G95</f>
        <v>9.3333333333333339</v>
      </c>
    </row>
    <row r="108" spans="1:8" x14ac:dyDescent="0.25">
      <c r="A108" s="17">
        <f>$A94*HLOOKUP($B93,$A$42:$I$59,14)+A95</f>
        <v>-2.583333333333333</v>
      </c>
      <c r="B108" s="21">
        <f>$B94*HLOOKUP($B93,$J$42:$R$59,14)+B95</f>
        <v>9.3333333333333339</v>
      </c>
      <c r="F108" s="17">
        <f>$F94*HLOOKUP($G93,$A$42:$I$59,14)+F95</f>
        <v>0.63333333333333319</v>
      </c>
      <c r="G108" s="21">
        <f>$G94*HLOOKUP($G93,$J$42:$R$59,14)+G95</f>
        <v>9.3333333333333339</v>
      </c>
    </row>
    <row r="109" spans="1:8" x14ac:dyDescent="0.25">
      <c r="A109" s="17">
        <f>$A94*HLOOKUP($B93,$A$42:$I$59,15)+A95</f>
        <v>-2.583333333333333</v>
      </c>
      <c r="B109" s="21">
        <f>$B94*HLOOKUP($B93,$J$42:$R$59,15)+B95</f>
        <v>9.3333333333333339</v>
      </c>
      <c r="F109" s="17">
        <f>$F94*HLOOKUP($G93,$A$42:$I$59,15)+F95</f>
        <v>0.63333333333333319</v>
      </c>
      <c r="G109" s="21">
        <f>$G94*HLOOKUP($G93,$J$42:$R$59,15)+G95</f>
        <v>9.3333333333333339</v>
      </c>
    </row>
    <row r="110" spans="1:8" x14ac:dyDescent="0.25">
      <c r="A110" s="17">
        <f>$A94*HLOOKUP($B93,$A$42:$I$59,16)+A95</f>
        <v>-2.583333333333333</v>
      </c>
      <c r="B110" s="21">
        <f>$B94*HLOOKUP($B93,$J$42:$R$59,16)+B95</f>
        <v>9.3333333333333339</v>
      </c>
      <c r="F110" s="17">
        <f>$F94*HLOOKUP($G93,$A$42:$I$59,16)+F95</f>
        <v>0.63333333333333319</v>
      </c>
      <c r="G110" s="21">
        <f>$G94*HLOOKUP($G93,$J$42:$R$59,16)+G95</f>
        <v>9.3333333333333339</v>
      </c>
    </row>
    <row r="111" spans="1:8" x14ac:dyDescent="0.25">
      <c r="A111" s="17">
        <f>$A94*HLOOKUP($B93,$A$42:$I$59,17)+A95</f>
        <v>-2.583333333333333</v>
      </c>
      <c r="B111" s="21">
        <f>$B94*HLOOKUP($B93,$J$42:$R$59,17)+B95</f>
        <v>9.3333333333333339</v>
      </c>
      <c r="C111" s="40" t="s">
        <v>20</v>
      </c>
      <c r="F111" s="17">
        <f>$F94*HLOOKUP($G93,$A$42:$I$59,17)+F95</f>
        <v>0.63333333333333319</v>
      </c>
      <c r="G111" s="21">
        <f>$G94*HLOOKUP($G93,$J$42:$R$59,17)+G95</f>
        <v>9.3333333333333339</v>
      </c>
      <c r="H111" s="40" t="s">
        <v>20</v>
      </c>
    </row>
    <row r="112" spans="1:8" ht="15.75" thickBot="1" x14ac:dyDescent="0.3">
      <c r="A112" s="18">
        <f>$A94*HLOOKUP($B93,$A$42:$I$59,18)+A95</f>
        <v>-2.583333333333333</v>
      </c>
      <c r="B112" s="22">
        <f>$B94*HLOOKUP($B93,$J$42:$R$59,18)+B95</f>
        <v>9.3333333333333339</v>
      </c>
      <c r="C112" s="102">
        <f>IF(B93=1,0,IF(B93=3,0.83*A94*B94,IF(B93=4,3.14*(A94/2)^2,IF(B93=5,0.43*A94^2,IF(B93=6,0.76*A94^2,IF(B93=7,0.75*A94^2,IF(B93=8,A94*A94/1.41^2,IF(B93=9,0.8*A94*B94,A94*B94))))))))</f>
        <v>5</v>
      </c>
      <c r="F112" s="18">
        <f>$F94*HLOOKUP($G93,$A$42:$I$59,18)+F95</f>
        <v>0.63333333333333319</v>
      </c>
      <c r="G112" s="22">
        <f>$G94*HLOOKUP($G93,$J$42:$R$59,18)+G95</f>
        <v>9.3333333333333339</v>
      </c>
      <c r="H112" s="102">
        <f>IF(G93=1,0,IF(G93=3,0.83*F94*G94,IF(G93=4,3.14*(F94/2)^2,IF(G93=5,0.43*F94^2,IF(G93=6,0.76*F94^2,IF(G93=7,0.75*F94^2,IF(G93=8,F94*F94/1.41^2,IF(G93=9,0.8*F94*G94,F94*G94))))))))</f>
        <v>4.75</v>
      </c>
    </row>
    <row r="113" spans="1:8" ht="15.75" thickBot="1" x14ac:dyDescent="0.3"/>
    <row r="114" spans="1:8" x14ac:dyDescent="0.25">
      <c r="A114" s="104" t="s">
        <v>11</v>
      </c>
      <c r="B114" s="25">
        <f>'Sign Suppport Design'!G10</f>
        <v>2</v>
      </c>
      <c r="C114" t="s">
        <v>33</v>
      </c>
      <c r="F114" s="104" t="s">
        <v>15</v>
      </c>
      <c r="G114" s="25">
        <f>'Sign Suppport Design'!M10</f>
        <v>2</v>
      </c>
      <c r="H114" t="s">
        <v>33</v>
      </c>
    </row>
    <row r="115" spans="1:8" x14ac:dyDescent="0.25">
      <c r="A115" s="112">
        <f>IF('Sign Suppport Design'!G10=8,'Sign Suppport Design'!E11*1.41/12,IF('Sign Suppport Design'!G10&gt;1,'Sign Suppport Design'!E11/12,0))</f>
        <v>1.75</v>
      </c>
      <c r="B115" s="106">
        <f>IF(B114=2,'Sign Suppport Design'!F11/12,(IF(B114=5,'Sign Suppport Design'!F11*0.87/12,(IF(B114=9,'Sign Suppport Design'!F11/12,A115)))))</f>
        <v>1.25</v>
      </c>
      <c r="C115" t="s">
        <v>26</v>
      </c>
      <c r="F115" s="112">
        <f>IF('Sign Suppport Design'!M10=8,'Sign Suppport Design'!N11*1.41/12,IF('Sign Suppport Design'!M10&gt;1,'Sign Suppport Design'!N11/12,0))</f>
        <v>1.75</v>
      </c>
      <c r="G115" s="106">
        <f>IF(G114=2,'Sign Suppport Design'!O11/12,(IF(G114=5,'Sign Suppport Design'!N11*0.87/12,(IF(G114=9,'Sign Suppport Design'!O11/12,F115)))))</f>
        <v>1.25</v>
      </c>
      <c r="H115" t="s">
        <v>26</v>
      </c>
    </row>
    <row r="116" spans="1:8" ht="15.75" thickBot="1" x14ac:dyDescent="0.3">
      <c r="A116" s="113">
        <f>A70</f>
        <v>-1.3333333333333333</v>
      </c>
      <c r="B116" s="105">
        <f>B137+IF(B114&gt;1,B115*HLOOKUP(B114,$K$42:$R$60,19)+IF(B135=1,0,B136+I38-B136*HLOOKUP(B135,$K$42:$R$60,19)),0)</f>
        <v>8.625</v>
      </c>
      <c r="C116" t="s">
        <v>27</v>
      </c>
      <c r="F116" s="113">
        <f>F70</f>
        <v>1.3333333333333333</v>
      </c>
      <c r="G116" s="105">
        <f>G137+IF(G114&gt;1,G115*HLOOKUP(G114,$K$42:$R$60,19)+IF(G135=1,0,G136+I38-G136*HLOOKUP(G135,$K$42:$R$60,19)),0)</f>
        <v>8.625</v>
      </c>
      <c r="H116" t="s">
        <v>27</v>
      </c>
    </row>
    <row r="117" spans="1:8" x14ac:dyDescent="0.25">
      <c r="A117" s="23">
        <f>$A115*HLOOKUP($B114,$A$42:$I$59,2)+A116</f>
        <v>-2.208333333333333</v>
      </c>
      <c r="B117" s="24">
        <f>$B115*HLOOKUP($B114,$J$42:$R$59,2)+B116</f>
        <v>8</v>
      </c>
      <c r="F117" s="23">
        <f>$F115*HLOOKUP($G114,$A$42:$I$59,2)+F116</f>
        <v>0.45833333333333326</v>
      </c>
      <c r="G117" s="24">
        <f>$G115*HLOOKUP($G114,$J$42:$R$59,2)+G116</f>
        <v>8</v>
      </c>
    </row>
    <row r="118" spans="1:8" x14ac:dyDescent="0.25">
      <c r="A118" s="17">
        <f>$A115*HLOOKUP($B114,$A$42:$I$59,3)+A116</f>
        <v>-0.45833333333333326</v>
      </c>
      <c r="B118" s="21">
        <f>$B115*HLOOKUP($B114,$J$42:$R$59,3)+B116</f>
        <v>8</v>
      </c>
      <c r="F118" s="17">
        <f>$F115*HLOOKUP($G114,$A$42:$I$59,3)+F116</f>
        <v>2.208333333333333</v>
      </c>
      <c r="G118" s="21">
        <f>$G115*HLOOKUP($G114,$J$42:$R$59,3)+G116</f>
        <v>8</v>
      </c>
    </row>
    <row r="119" spans="1:8" x14ac:dyDescent="0.25">
      <c r="A119" s="17">
        <f>$A115*HLOOKUP($B114,$A$42:$I$59,4)+A116</f>
        <v>-0.45833333333333326</v>
      </c>
      <c r="B119" s="21">
        <f>$B115*HLOOKUP($B114,$J$42:$R$59,4)+B116</f>
        <v>9.25</v>
      </c>
      <c r="F119" s="17">
        <f>$F115*HLOOKUP($G114,$A$42:$I$59,4)+F116</f>
        <v>2.208333333333333</v>
      </c>
      <c r="G119" s="21">
        <f>$G115*HLOOKUP($G114,$J$42:$R$59,4)+G116</f>
        <v>9.25</v>
      </c>
    </row>
    <row r="120" spans="1:8" x14ac:dyDescent="0.25">
      <c r="A120" s="17">
        <f>$A115*HLOOKUP($B114,$A$42:$I$59,5)+A116</f>
        <v>-2.208333333333333</v>
      </c>
      <c r="B120" s="21">
        <f>$B115*HLOOKUP($B114,$J$42:$R$59,5)+B116</f>
        <v>9.25</v>
      </c>
      <c r="F120" s="17">
        <f>$F115*HLOOKUP($G114,$A$42:$I$59,5)+F116</f>
        <v>0.45833333333333326</v>
      </c>
      <c r="G120" s="21">
        <f>$G115*HLOOKUP($G114,$J$42:$R$59,5)+G116</f>
        <v>9.25</v>
      </c>
    </row>
    <row r="121" spans="1:8" x14ac:dyDescent="0.25">
      <c r="A121" s="17">
        <f>$A115*HLOOKUP($B114,$A$42:$I$59,6)+A116</f>
        <v>-2.208333333333333</v>
      </c>
      <c r="B121" s="21">
        <f>$B115*HLOOKUP($B114,$J$42:$R$59,6)+B116</f>
        <v>8</v>
      </c>
      <c r="F121" s="17">
        <f>$F115*HLOOKUP($G114,$A$42:$I$59,6)+F116</f>
        <v>0.45833333333333326</v>
      </c>
      <c r="G121" s="21">
        <f>$G115*HLOOKUP($G114,$J$42:$R$59,6)+G116</f>
        <v>8</v>
      </c>
    </row>
    <row r="122" spans="1:8" x14ac:dyDescent="0.25">
      <c r="A122" s="17">
        <f>$A115*HLOOKUP($B114,$A$42:$I$59,7)+A116</f>
        <v>-2.208333333333333</v>
      </c>
      <c r="B122" s="21">
        <f>$B115*HLOOKUP($B114,$J$42:$R$59,7)+B116</f>
        <v>8</v>
      </c>
      <c r="F122" s="17">
        <f>$F115*HLOOKUP($G114,$A$42:$I$59,7)+F116</f>
        <v>0.45833333333333326</v>
      </c>
      <c r="G122" s="21">
        <f>$G115*HLOOKUP($G114,$J$42:$R$59,7)+G116</f>
        <v>8</v>
      </c>
    </row>
    <row r="123" spans="1:8" x14ac:dyDescent="0.25">
      <c r="A123" s="17">
        <f>$A115*HLOOKUP($B114,$A$42:$I$59,8)+A116</f>
        <v>-2.208333333333333</v>
      </c>
      <c r="B123" s="21">
        <f>$B115*HLOOKUP($B114,$J$42:$R$59,8)+B116</f>
        <v>8</v>
      </c>
      <c r="F123" s="17">
        <f>$F115*HLOOKUP($G114,$A$42:$I$59,8)+F116</f>
        <v>0.45833333333333326</v>
      </c>
      <c r="G123" s="21">
        <f>$G115*HLOOKUP($G114,$J$42:$R$59,8)+G116</f>
        <v>8</v>
      </c>
    </row>
    <row r="124" spans="1:8" x14ac:dyDescent="0.25">
      <c r="A124" s="17">
        <f>$A115*HLOOKUP($B114,$A$42:$I$59,9)+A116</f>
        <v>-2.208333333333333</v>
      </c>
      <c r="B124" s="21">
        <f>$B115*HLOOKUP($B114,$J$42:$R$59,9)+B116</f>
        <v>8</v>
      </c>
      <c r="F124" s="17">
        <f>$F115*HLOOKUP($G114,$A$42:$I$59,9)+F116</f>
        <v>0.45833333333333326</v>
      </c>
      <c r="G124" s="21">
        <f>$G115*HLOOKUP($G114,$J$42:$R$59,9)+G116</f>
        <v>8</v>
      </c>
    </row>
    <row r="125" spans="1:8" x14ac:dyDescent="0.25">
      <c r="A125" s="17">
        <f>$A115*HLOOKUP($B114,$A$42:$I$59,10)+A116</f>
        <v>-2.208333333333333</v>
      </c>
      <c r="B125" s="21">
        <f>$B115*HLOOKUP($B114,$J$42:$R$59,10)+B116</f>
        <v>8</v>
      </c>
      <c r="F125" s="17">
        <f>$F115*HLOOKUP($G114,$A$42:$I$59,10)+F116</f>
        <v>0.45833333333333326</v>
      </c>
      <c r="G125" s="21">
        <f>$G115*HLOOKUP($G114,$J$42:$R$59,10)+G116</f>
        <v>8</v>
      </c>
    </row>
    <row r="126" spans="1:8" x14ac:dyDescent="0.25">
      <c r="A126" s="17">
        <f>$A115*HLOOKUP($B114,$A$42:$I$59,11)+A116</f>
        <v>-2.208333333333333</v>
      </c>
      <c r="B126" s="21">
        <f>$B115*HLOOKUP($B114,$J$42:$R$59,11)+B116</f>
        <v>8</v>
      </c>
      <c r="F126" s="17">
        <f>$F115*HLOOKUP($G114,$A$42:$I$59,11)+F116</f>
        <v>0.45833333333333326</v>
      </c>
      <c r="G126" s="21">
        <f>$G115*HLOOKUP($G114,$J$42:$R$59,11)+G116</f>
        <v>8</v>
      </c>
    </row>
    <row r="127" spans="1:8" x14ac:dyDescent="0.25">
      <c r="A127" s="17">
        <f>$A115*HLOOKUP($B114,$A$42:$I$59,12)+A116</f>
        <v>-2.208333333333333</v>
      </c>
      <c r="B127" s="21">
        <f>$B115*HLOOKUP($B114,$J$42:$R$59,12)+B116</f>
        <v>8</v>
      </c>
      <c r="F127" s="17">
        <f>$F115*HLOOKUP($G114,$A$42:$I$59,12)+F116</f>
        <v>0.45833333333333326</v>
      </c>
      <c r="G127" s="21">
        <f>$G115*HLOOKUP($G114,$J$42:$R$59,12)+G116</f>
        <v>8</v>
      </c>
    </row>
    <row r="128" spans="1:8" x14ac:dyDescent="0.25">
      <c r="A128" s="17">
        <f>$A115*HLOOKUP($B114,$A$42:$I$59,13)+A116</f>
        <v>-2.208333333333333</v>
      </c>
      <c r="B128" s="21">
        <f>$B115*HLOOKUP($B114,$J$42:$R$59,13)+B116</f>
        <v>8</v>
      </c>
      <c r="F128" s="17">
        <f>$F115*HLOOKUP($G114,$A$42:$I$59,13)+F116</f>
        <v>0.45833333333333326</v>
      </c>
      <c r="G128" s="21">
        <f>$G115*HLOOKUP($G114,$J$42:$R$59,13)+G116</f>
        <v>8</v>
      </c>
    </row>
    <row r="129" spans="1:8" x14ac:dyDescent="0.25">
      <c r="A129" s="17">
        <f>$A115*HLOOKUP($B114,$A$42:$I$59,14)+A116</f>
        <v>-2.208333333333333</v>
      </c>
      <c r="B129" s="21">
        <f>$B115*HLOOKUP($B114,$J$42:$R$59,14)+B116</f>
        <v>8</v>
      </c>
      <c r="F129" s="17">
        <f>$F115*HLOOKUP($G114,$A$42:$I$59,14)+F116</f>
        <v>0.45833333333333326</v>
      </c>
      <c r="G129" s="21">
        <f>$G115*HLOOKUP($G114,$J$42:$R$59,14)+G116</f>
        <v>8</v>
      </c>
    </row>
    <row r="130" spans="1:8" x14ac:dyDescent="0.25">
      <c r="A130" s="17">
        <f>$A115*HLOOKUP($B114,$A$42:$I$59,15)+A116</f>
        <v>-2.208333333333333</v>
      </c>
      <c r="B130" s="21">
        <f>$B115*HLOOKUP($B114,$J$42:$R$59,15)+B116</f>
        <v>8</v>
      </c>
      <c r="F130" s="17">
        <f>$F115*HLOOKUP($G114,$A$42:$I$59,15)+F116</f>
        <v>0.45833333333333326</v>
      </c>
      <c r="G130" s="21">
        <f>$G115*HLOOKUP($G114,$J$42:$R$59,15)+G116</f>
        <v>8</v>
      </c>
    </row>
    <row r="131" spans="1:8" x14ac:dyDescent="0.25">
      <c r="A131" s="17">
        <f>$A115*HLOOKUP($B114,$A$42:$I$59,16)+A116</f>
        <v>-2.208333333333333</v>
      </c>
      <c r="B131" s="21">
        <f>$B115*HLOOKUP($B114,$J$42:$R$59,16)+B116</f>
        <v>8</v>
      </c>
      <c r="F131" s="17">
        <f>$F115*HLOOKUP($G114,$A$42:$I$59,16)+F116</f>
        <v>0.45833333333333326</v>
      </c>
      <c r="G131" s="21">
        <f>$G115*HLOOKUP($G114,$J$42:$R$59,16)+G116</f>
        <v>8</v>
      </c>
    </row>
    <row r="132" spans="1:8" x14ac:dyDescent="0.25">
      <c r="A132" s="17">
        <f>$A115*HLOOKUP($B114,$A$42:$I$59,17)+A116</f>
        <v>-2.208333333333333</v>
      </c>
      <c r="B132" s="21">
        <f>$B115*HLOOKUP($B114,$J$42:$R$59,17)+B116</f>
        <v>8</v>
      </c>
      <c r="C132" s="40" t="s">
        <v>20</v>
      </c>
      <c r="F132" s="17">
        <f>$F115*HLOOKUP($G114,$A$42:$I$59,17)+F116</f>
        <v>0.45833333333333326</v>
      </c>
      <c r="G132" s="21">
        <f>$G115*HLOOKUP($G114,$J$42:$R$59,17)+G116</f>
        <v>8</v>
      </c>
      <c r="H132" s="40" t="s">
        <v>20</v>
      </c>
    </row>
    <row r="133" spans="1:8" ht="15.75" thickBot="1" x14ac:dyDescent="0.3">
      <c r="A133" s="18">
        <f>$A115*HLOOKUP($B114,$A$42:$I$59,18)+A116</f>
        <v>-2.208333333333333</v>
      </c>
      <c r="B133" s="22">
        <f>$B115*HLOOKUP($B114,$J$42:$R$59,18)+B116</f>
        <v>8</v>
      </c>
      <c r="C133" s="102">
        <f>IF(B114=1,0,IF(B114=3,0.83*A115*B115,IF(B114=4,3.14*(A115/2)^2,IF(B114=5,0.43*A115^2,IF(B114=6,0.76*A115^2,IF(B114=7,0.75*A115^2,IF(B114=8,A115*A115/1.41^2,IF(B114=9,0.8*A115*B115,A115*B115))))))))</f>
        <v>2.1875</v>
      </c>
      <c r="F133" s="18">
        <f>$F115*HLOOKUP($G114,$A$42:$I$59,18)+F116</f>
        <v>0.45833333333333326</v>
      </c>
      <c r="G133" s="22">
        <f>$G115*HLOOKUP($G114,$J$42:$R$59,18)+G116</f>
        <v>8</v>
      </c>
      <c r="H133" s="102">
        <f>IF(G114=1,0,IF(G114=3,0.83*F115*G115,IF(G114=4,3.14*(F115/2)^2,IF(G114=5,0.43*F115^2,IF(G114=6,0.76*F115^2,IF(G114=7,0.75*F115^2,IF(G114=8,F115*F115/1.41^2,IF(G114=9,0.8*F115*G115,F115*G115))))))))</f>
        <v>2.1875</v>
      </c>
    </row>
    <row r="134" spans="1:8" ht="15.75" thickBot="1" x14ac:dyDescent="0.3"/>
    <row r="135" spans="1:8" x14ac:dyDescent="0.25">
      <c r="A135" s="104" t="s">
        <v>12</v>
      </c>
      <c r="B135" s="25">
        <f>'Sign Suppport Design'!G12</f>
        <v>1</v>
      </c>
      <c r="C135" t="s">
        <v>33</v>
      </c>
      <c r="F135" s="104" t="s">
        <v>17</v>
      </c>
      <c r="G135" s="25">
        <f>'Sign Suppport Design'!M12</f>
        <v>1</v>
      </c>
      <c r="H135" t="s">
        <v>33</v>
      </c>
    </row>
    <row r="136" spans="1:8" x14ac:dyDescent="0.25">
      <c r="A136" s="112">
        <f>IF('Sign Suppport Design'!G12=8,'Sign Suppport Design'!E13*1.41/12,IF('Sign Suppport Design'!G12&gt;1,'Sign Suppport Design'!E13/12,0))</f>
        <v>0</v>
      </c>
      <c r="B136" s="106">
        <f>IF(B135=2,'Sign Suppport Design'!F13/12,(IF(B135=5,'Sign Suppport Design'!F13*0.87/12,(IF(B135=9,'Sign Suppport Design'!F13/12,A136)))))</f>
        <v>0</v>
      </c>
      <c r="C136" t="s">
        <v>26</v>
      </c>
      <c r="F136" s="112">
        <f>IF('Sign Suppport Design'!M12=8,'Sign Suppport Design'!N13*1.41/12,IF('Sign Suppport Design'!M12&gt;1,'Sign Suppport Design'!N13/12,0))</f>
        <v>0</v>
      </c>
      <c r="G136" s="106">
        <f>IF(G135=2,'Sign Suppport Design'!O13/12,(IF(G135=5,'Sign Suppport Design'!N13*0.87/12,(IF(G135=9,'Sign Suppport Design'!O13/12,F136)))))</f>
        <v>0</v>
      </c>
      <c r="H136" t="s">
        <v>26</v>
      </c>
    </row>
    <row r="137" spans="1:8" ht="15.75" thickBot="1" x14ac:dyDescent="0.3">
      <c r="A137" s="113">
        <f>A70</f>
        <v>-1.3333333333333333</v>
      </c>
      <c r="B137" s="105">
        <f>'Sign Suppport Design'!K4+IF(B135=1,0,B136*HLOOKUP(B135,$K$42:$R$60,19))</f>
        <v>8</v>
      </c>
      <c r="C137" t="s">
        <v>27</v>
      </c>
      <c r="F137" s="113">
        <f>F70</f>
        <v>1.3333333333333333</v>
      </c>
      <c r="G137" s="105">
        <f>'Sign Suppport Design'!K4+IF(G135=1,0,G136*HLOOKUP(G135,$K$42:$R$60,19))</f>
        <v>8</v>
      </c>
      <c r="H137" t="s">
        <v>27</v>
      </c>
    </row>
    <row r="138" spans="1:8" x14ac:dyDescent="0.25">
      <c r="A138" s="23">
        <f>$A136*HLOOKUP($B135,$A$42:$I$59,2)+A137</f>
        <v>-1.3333333333333333</v>
      </c>
      <c r="B138" s="24">
        <f>$B136*HLOOKUP($B135,$J$42:$R$59,2)+B137</f>
        <v>8</v>
      </c>
      <c r="F138" s="23">
        <f>$F136*HLOOKUP($G135,$A$42:$I$59,2)+F137</f>
        <v>1.3333333333333333</v>
      </c>
      <c r="G138" s="24">
        <f>$G136*HLOOKUP($G135,$J$42:$R$59,2)+G137</f>
        <v>8</v>
      </c>
    </row>
    <row r="139" spans="1:8" x14ac:dyDescent="0.25">
      <c r="A139" s="17">
        <f>$A136*HLOOKUP($B135,$A$42:$I$59,3)+A137</f>
        <v>-1.3333333333333333</v>
      </c>
      <c r="B139" s="21">
        <f>$B136*HLOOKUP($B135,$J$42:$R$59,3)+B137</f>
        <v>8</v>
      </c>
      <c r="F139" s="17">
        <f>$F136*HLOOKUP($G135,$A$42:$I$59,3)+F137</f>
        <v>1.3333333333333333</v>
      </c>
      <c r="G139" s="21">
        <f>$G136*HLOOKUP($G135,$J$42:$R$59,3)+G137</f>
        <v>8</v>
      </c>
    </row>
    <row r="140" spans="1:8" x14ac:dyDescent="0.25">
      <c r="A140" s="17">
        <f>$A136*HLOOKUP($B135,$A$42:$I$59,4)+A137</f>
        <v>-1.3333333333333333</v>
      </c>
      <c r="B140" s="21">
        <f>$B136*HLOOKUP($B135,$J$42:$R$59,4)+B137</f>
        <v>8</v>
      </c>
      <c r="F140" s="17">
        <f>$F136*HLOOKUP($G135,$A$42:$I$59,4)+F137</f>
        <v>1.3333333333333333</v>
      </c>
      <c r="G140" s="21">
        <f>$G136*HLOOKUP($G135,$J$42:$R$59,4)+G137</f>
        <v>8</v>
      </c>
    </row>
    <row r="141" spans="1:8" x14ac:dyDescent="0.25">
      <c r="A141" s="17">
        <f>$A136*HLOOKUP($B135,$A$42:$I$59,5)+A137</f>
        <v>-1.3333333333333333</v>
      </c>
      <c r="B141" s="21">
        <f>$B136*HLOOKUP($B135,$J$42:$R$59,5)+B137</f>
        <v>8</v>
      </c>
      <c r="F141" s="17">
        <f>$F136*HLOOKUP($G135,$A$42:$I$59,5)+F137</f>
        <v>1.3333333333333333</v>
      </c>
      <c r="G141" s="21">
        <f>$G136*HLOOKUP($G135,$J$42:$R$59,5)+G137</f>
        <v>8</v>
      </c>
    </row>
    <row r="142" spans="1:8" x14ac:dyDescent="0.25">
      <c r="A142" s="17">
        <f>$A136*HLOOKUP($B135,$A$42:$I$59,6)+A137</f>
        <v>-1.3333333333333333</v>
      </c>
      <c r="B142" s="21">
        <f>$B136*HLOOKUP($B135,$J$42:$R$59,6)+B137</f>
        <v>8</v>
      </c>
      <c r="F142" s="17">
        <f>$F136*HLOOKUP($G135,$A$42:$I$59,6)+F137</f>
        <v>1.3333333333333333</v>
      </c>
      <c r="G142" s="21">
        <f>$G136*HLOOKUP($G135,$J$42:$R$59,6)+G137</f>
        <v>8</v>
      </c>
    </row>
    <row r="143" spans="1:8" x14ac:dyDescent="0.25">
      <c r="A143" s="17">
        <f>$A136*HLOOKUP($B135,$A$42:$I$59,7)+A137</f>
        <v>-1.3333333333333333</v>
      </c>
      <c r="B143" s="21">
        <f>$B136*HLOOKUP($B135,$J$42:$R$59,7)+B137</f>
        <v>8</v>
      </c>
      <c r="F143" s="17">
        <f>$F136*HLOOKUP($G135,$A$42:$I$59,7)+F137</f>
        <v>1.3333333333333333</v>
      </c>
      <c r="G143" s="21">
        <f>$G136*HLOOKUP($G135,$J$42:$R$59,7)+G137</f>
        <v>8</v>
      </c>
    </row>
    <row r="144" spans="1:8" x14ac:dyDescent="0.25">
      <c r="A144" s="17">
        <f>$A136*HLOOKUP($B135,$A$42:$I$59,8)+A137</f>
        <v>-1.3333333333333333</v>
      </c>
      <c r="B144" s="21">
        <f>$B136*HLOOKUP($B135,$J$42:$R$59,8)+B137</f>
        <v>8</v>
      </c>
      <c r="F144" s="17">
        <f>$F136*HLOOKUP($G135,$A$42:$I$59,8)+F137</f>
        <v>1.3333333333333333</v>
      </c>
      <c r="G144" s="21">
        <f>$G136*HLOOKUP($G135,$J$42:$R$59,8)+G137</f>
        <v>8</v>
      </c>
    </row>
    <row r="145" spans="1:8" x14ac:dyDescent="0.25">
      <c r="A145" s="17">
        <f>$A136*HLOOKUP($B135,$A$42:$I$59,9)+A137</f>
        <v>-1.3333333333333333</v>
      </c>
      <c r="B145" s="21">
        <f>$B136*HLOOKUP($B135,$J$42:$R$59,9)+B137</f>
        <v>8</v>
      </c>
      <c r="F145" s="17">
        <f>$F136*HLOOKUP($G135,$A$42:$I$59,9)+F137</f>
        <v>1.3333333333333333</v>
      </c>
      <c r="G145" s="21">
        <f>$G136*HLOOKUP($G135,$J$42:$R$59,9)+G137</f>
        <v>8</v>
      </c>
    </row>
    <row r="146" spans="1:8" x14ac:dyDescent="0.25">
      <c r="A146" s="17">
        <f>$A136*HLOOKUP($B135,$A$42:$I$59,10)+A137</f>
        <v>-1.3333333333333333</v>
      </c>
      <c r="B146" s="21">
        <f>$B136*HLOOKUP($B135,$J$42:$R$59,10)+B137</f>
        <v>8</v>
      </c>
      <c r="F146" s="17">
        <f>$F136*HLOOKUP($G135,$A$42:$I$59,10)+F137</f>
        <v>1.3333333333333333</v>
      </c>
      <c r="G146" s="21">
        <f>$G136*HLOOKUP($G135,$J$42:$R$59,10)+G137</f>
        <v>8</v>
      </c>
    </row>
    <row r="147" spans="1:8" x14ac:dyDescent="0.25">
      <c r="A147" s="17">
        <f>$A136*HLOOKUP($B135,$A$42:$I$59,11)+A137</f>
        <v>-1.3333333333333333</v>
      </c>
      <c r="B147" s="21">
        <f>$B136*HLOOKUP($B135,$J$42:$R$59,11)+B137</f>
        <v>8</v>
      </c>
      <c r="F147" s="17">
        <f>$F136*HLOOKUP($G135,$A$42:$I$59,11)+F137</f>
        <v>1.3333333333333333</v>
      </c>
      <c r="G147" s="21">
        <f>$G136*HLOOKUP($G135,$J$42:$R$59,11)+G137</f>
        <v>8</v>
      </c>
    </row>
    <row r="148" spans="1:8" x14ac:dyDescent="0.25">
      <c r="A148" s="17">
        <f>$A136*HLOOKUP($B135,$A$42:$I$59,12)+A137</f>
        <v>-1.3333333333333333</v>
      </c>
      <c r="B148" s="21">
        <f>$B136*HLOOKUP($B135,$J$42:$R$59,12)+B137</f>
        <v>8</v>
      </c>
      <c r="F148" s="17">
        <f>$F136*HLOOKUP($G135,$A$42:$I$59,12)+F137</f>
        <v>1.3333333333333333</v>
      </c>
      <c r="G148" s="21">
        <f>$G136*HLOOKUP($G135,$J$42:$R$59,12)+G137</f>
        <v>8</v>
      </c>
    </row>
    <row r="149" spans="1:8" x14ac:dyDescent="0.25">
      <c r="A149" s="17">
        <f>$A136*HLOOKUP($B135,$A$42:$I$59,13)+A137</f>
        <v>-1.3333333333333333</v>
      </c>
      <c r="B149" s="21">
        <f>$B136*HLOOKUP($B135,$J$42:$R$59,13)+B137</f>
        <v>8</v>
      </c>
      <c r="F149" s="17">
        <f>$F136*HLOOKUP($G135,$A$42:$I$59,13)+F137</f>
        <v>1.3333333333333333</v>
      </c>
      <c r="G149" s="21">
        <f>$G136*HLOOKUP($G135,$J$42:$R$59,13)+G137</f>
        <v>8</v>
      </c>
    </row>
    <row r="150" spans="1:8" x14ac:dyDescent="0.25">
      <c r="A150" s="17">
        <f>$A136*HLOOKUP($B135,$A$42:$I$59,14)+A137</f>
        <v>-1.3333333333333333</v>
      </c>
      <c r="B150" s="21">
        <f>$B136*HLOOKUP($B135,$J$42:$R$59,14)+B137</f>
        <v>8</v>
      </c>
      <c r="F150" s="17">
        <f>$F136*HLOOKUP($G135,$A$42:$I$59,14)+F137</f>
        <v>1.3333333333333333</v>
      </c>
      <c r="G150" s="21">
        <f>$G136*HLOOKUP($G135,$J$42:$R$59,14)+G137</f>
        <v>8</v>
      </c>
    </row>
    <row r="151" spans="1:8" x14ac:dyDescent="0.25">
      <c r="A151" s="17">
        <f>$A136*HLOOKUP($B135,$A$42:$I$59,15)+A137</f>
        <v>-1.3333333333333333</v>
      </c>
      <c r="B151" s="21">
        <f>$B136*HLOOKUP($B135,$J$42:$R$59,15)+B137</f>
        <v>8</v>
      </c>
      <c r="F151" s="17">
        <f>$F136*HLOOKUP($G135,$A$42:$I$59,15)+F137</f>
        <v>1.3333333333333333</v>
      </c>
      <c r="G151" s="21">
        <f>$G136*HLOOKUP($G135,$J$42:$R$59,15)+G137</f>
        <v>8</v>
      </c>
    </row>
    <row r="152" spans="1:8" x14ac:dyDescent="0.25">
      <c r="A152" s="17">
        <f>$A136*HLOOKUP($B135,$A$42:$I$59,16)+A137</f>
        <v>-1.3333333333333333</v>
      </c>
      <c r="B152" s="21">
        <f>$B136*HLOOKUP($B135,$J$42:$R$59,16)+B137</f>
        <v>8</v>
      </c>
      <c r="F152" s="17">
        <f>$F136*HLOOKUP($G135,$A$42:$I$59,16)+F137</f>
        <v>1.3333333333333333</v>
      </c>
      <c r="G152" s="21">
        <f>$G136*HLOOKUP($G135,$J$42:$R$59,16)+G137</f>
        <v>8</v>
      </c>
    </row>
    <row r="153" spans="1:8" x14ac:dyDescent="0.25">
      <c r="A153" s="17">
        <f>$A136*HLOOKUP($B135,$A$42:$I$59,17)+A137</f>
        <v>-1.3333333333333333</v>
      </c>
      <c r="B153" s="21">
        <f>$B136*HLOOKUP($B135,$J$42:$R$59,17)+B137</f>
        <v>8</v>
      </c>
      <c r="C153" s="40" t="s">
        <v>20</v>
      </c>
      <c r="F153" s="17">
        <f>$F136*HLOOKUP($G135,$A$42:$I$59,17)+F137</f>
        <v>1.3333333333333333</v>
      </c>
      <c r="G153" s="21">
        <f>$G136*HLOOKUP($G135,$J$42:$R$59,17)+G137</f>
        <v>8</v>
      </c>
      <c r="H153" s="40" t="s">
        <v>20</v>
      </c>
    </row>
    <row r="154" spans="1:8" ht="15.75" thickBot="1" x14ac:dyDescent="0.3">
      <c r="A154" s="18">
        <f>$A136*HLOOKUP($B135,$A$42:$I$59,18)+A137</f>
        <v>-1.3333333333333333</v>
      </c>
      <c r="B154" s="22">
        <f>$B136*HLOOKUP($B135,$J$42:$R$59,18)+B137</f>
        <v>8</v>
      </c>
      <c r="C154" s="102">
        <f>IF(B135=1,0,IF(B135=3,0.83*A136*B136,IF(B135=4,3.14*(A136/2)^2,IF(B135=5,0.43*A136^2,IF(B135=6,0.76*A136^2,IF(B135=7,0.75*A136^2,IF(B135=8,A136*A136/1.41^2,IF(B135=9,0.8*A136*B136,A136*B136))))))))</f>
        <v>0</v>
      </c>
      <c r="F154" s="17">
        <f>$F136*HLOOKUP($G135,$A$42:$I$59,18)+F137</f>
        <v>1.3333333333333333</v>
      </c>
      <c r="G154" s="22">
        <f>$G136*HLOOKUP($G135,$J$42:$R$59,18)+G137</f>
        <v>8</v>
      </c>
      <c r="H154" s="102">
        <f>IF(G135=1,0,IF(G135=3,0.83*F136*G136,IF(G135=4,3.14*(F136/2)^2,IF(G135=5,0.43*F136^2,IF(G135=6,0.76*F136^2,IF(G135=7,0.75*F136^2,IF(G135=8,F136*F136/1.41^2,IF(G135=9,0.8*F136*G136,F136*G136))))))))</f>
        <v>0</v>
      </c>
    </row>
    <row r="156" spans="1:8" x14ac:dyDescent="0.25">
      <c r="B156" s="39">
        <f>B72+B93+B114+B135</f>
        <v>7</v>
      </c>
      <c r="G156" s="39">
        <f>G72+G93+G114+G135</f>
        <v>11</v>
      </c>
      <c r="H156" t="s">
        <v>29</v>
      </c>
    </row>
    <row r="157" spans="1:8" x14ac:dyDescent="0.25">
      <c r="A157" s="72">
        <f>MAX(A73,A94,A115,A136)</f>
        <v>2.5</v>
      </c>
      <c r="B157" t="s">
        <v>28</v>
      </c>
      <c r="F157" s="72">
        <f>MAX(F73,F94,F115,F136)</f>
        <v>2.5</v>
      </c>
      <c r="G157" t="s">
        <v>28</v>
      </c>
    </row>
    <row r="158" spans="1:8" x14ac:dyDescent="0.25">
      <c r="B158" s="114">
        <f>MAX(B138:B154,B117:B133,B96:B112,B75:B91)</f>
        <v>12.416666666666668</v>
      </c>
      <c r="C158" t="s">
        <v>31</v>
      </c>
      <c r="G158" s="114">
        <f>MAX(G138:G154,G117:G133,G96:G112,G75:G91)</f>
        <v>12.916666666666666</v>
      </c>
      <c r="H158" t="s">
        <v>31</v>
      </c>
    </row>
  </sheetData>
  <mergeCells count="6">
    <mergeCell ref="E2:L2"/>
    <mergeCell ref="D34:E34"/>
    <mergeCell ref="D35:E35"/>
    <mergeCell ref="I34:K34"/>
    <mergeCell ref="B40:I40"/>
    <mergeCell ref="K40:R40"/>
  </mergeCells>
  <conditionalFormatting sqref="A3:O32">
    <cfRule type="expression" dxfId="1" priority="71">
      <formula>A$3=$H$35</formula>
    </cfRule>
    <cfRule type="expression" dxfId="0" priority="72">
      <formula>$A3=$H$34</formula>
    </cfRule>
  </conditionalFormatting>
  <pageMargins left="0.7" right="0.7" top="0.75" bottom="0.75" header="0.3" footer="0.3"/>
  <pageSetup scale="74" orientation="landscape" r:id="rId1"/>
  <rowBreaks count="1" manualBreakCount="1">
    <brk id="36" max="16383" man="1"/>
  </rowBreaks>
  <colBreaks count="1" manualBreakCount="1">
    <brk id="18" max="157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156091838F4479CE8F27A6E100A2D" ma:contentTypeVersion="0" ma:contentTypeDescription="Create a new document." ma:contentTypeScope="" ma:versionID="d01a7b8c8fbe646a915a7959a98f4e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1F74F-A432-45AE-99DB-856C5DA50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9068F5-B7DC-41C8-80F2-C3DF5610C1B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CEE82F-3741-4D48-88DB-2326D75DA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 Suppport Design</vt:lpstr>
      <vt:lpstr>Calculations</vt:lpstr>
      <vt:lpstr>'Sign Suppport Design'!Print_Area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st986ap</dc:creator>
  <cp:lastModifiedBy>Wan, Ge</cp:lastModifiedBy>
  <cp:lastPrinted>2016-08-23T20:11:16Z</cp:lastPrinted>
  <dcterms:created xsi:type="dcterms:W3CDTF">2016-04-21T13:39:03Z</dcterms:created>
  <dcterms:modified xsi:type="dcterms:W3CDTF">2022-11-02T14:27:23Z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0x010100BDB156091838F4479CE8F27A6E100A2D</vt:lpwstr>
  </property>
</Properties>
</file>